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PK\MGP\Report\Daily\2026\09. Sep\"/>
    </mc:Choice>
  </mc:AlternateContent>
  <xr:revisionPtr revIDLastSave="0" documentId="8_{F1491D70-02D9-462A-8C46-CCCF64A9F848}" xr6:coauthVersionLast="47" xr6:coauthVersionMax="47" xr10:uidLastSave="{00000000-0000-0000-0000-000000000000}"/>
  <bookViews>
    <workbookView xWindow="0" yWindow="0" windowWidth="23040" windowHeight="10224" tabRatio="882" xr2:uid="{00000000-000D-0000-FFFF-FFFF00000000}"/>
  </bookViews>
  <sheets>
    <sheet name="Dashboard" sheetId="20" r:id="rId1"/>
    <sheet name="Summary" sheetId="1" r:id="rId2"/>
    <sheet name="Budget" sheetId="6" r:id="rId3"/>
    <sheet name="Actual" sheetId="4" r:id="rId4"/>
    <sheet name="Equipment " sheetId="9" r:id="rId5"/>
    <sheet name="Graphic Production" sheetId="17" r:id="rId6"/>
    <sheet name="Loading &amp; Stock" sheetId="15" r:id="rId7"/>
    <sheet name="Graph" sheetId="13" state="hidden" r:id="rId8"/>
    <sheet name="Production per Tunnel" sheetId="19" state="hidden" r:id="rId9"/>
    <sheet name="1" sheetId="25" state="hidden" r:id="rId10"/>
    <sheet name="ROM Quality (Process)" sheetId="29" state="hidden" r:id="rId11"/>
    <sheet name="ROM per Block" sheetId="27" state="hidden" r:id="rId12"/>
    <sheet name="Outlook" sheetId="5" r:id="rId13"/>
    <sheet name="Quality FC " sheetId="32" r:id="rId14"/>
    <sheet name="Quality ROM" sheetId="31" r:id="rId15"/>
    <sheet name="Quality ROM ver01" sheetId="30" state="hidden" r:id="rId16"/>
    <sheet name="Copy" sheetId="22" state="hidden" r:id="rId17"/>
    <sheet name="Weat_Con" sheetId="21" state="hidden" r:id="rId18"/>
    <sheet name="Water Level" sheetId="23" r:id="rId19"/>
    <sheet name="R&amp;S" sheetId="24" state="hidden" r:id="rId20"/>
    <sheet name="Sheet1" sheetId="28" state="hidden" r:id="rId21"/>
    <sheet name="Loading &amp; stock_ASLI" sheetId="14" state="hidden" r:id="rId22"/>
    <sheet name="Coal Stock Temporary" sheetId="18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1A1_Z1...A10_Z10" localSheetId="1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10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>[1]Validation!$A$31</definedName>
    <definedName name="_ffggggg" localSheetId="10">#REF!</definedName>
    <definedName name="_ffggggg">#REF!</definedName>
    <definedName name="_xlnm._FilterDatabase" localSheetId="19" hidden="1">'R&amp;S'!$B$3:$E$35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10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1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1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 localSheetId="10">'[2]MTD OB Forecasting'!#REF!</definedName>
    <definedName name="a" hidden="1">{#N/A,#N/A,FALSE,"M01";#N/A,#N/A,FALSE,"M02";#N/A,#N/A,FALSE,"M03";#N/A,#N/A,FALSE,"M04";#N/A,#N/A,FALSE,"M05";#N/A,#N/A,FALSE,"M08"}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1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1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1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1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10" hidden="1">{#N/A,#N/A,FALSE,"M06";#N/A,#N/A,FALSE,"M07"}</definedName>
    <definedName name="aaaaa" hidden="1">{#N/A,#N/A,FALSE,"M06";#N/A,#N/A,FALSE,"M07"}</definedName>
    <definedName name="aasa" hidden="1">{#N/A,#N/A,FALSE,"M01";#N/A,#N/A,FALSE,"M02";#N/A,#N/A,FALSE,"M03";#N/A,#N/A,FALSE,"M04";#N/A,#N/A,FALSE,"M05";#N/A,#N/A,FALSE,"M08"}</definedName>
    <definedName name="ab" localSheetId="10">'[2]MTD OB Forecasting'!#REF!</definedName>
    <definedName name="ab" hidden="1">{#N/A,#N/A,FALSE,"M01";#N/A,#N/A,FALSE,"M02";#N/A,#N/A,FALSE,"M03";#N/A,#N/A,FALSE,"M04";#N/A,#N/A,FALSE,"M05";#N/A,#N/A,FALSE,"M08"}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10">#REF!</definedName>
    <definedName name="actual">#REF!</definedName>
    <definedName name="ADFFF" localSheetId="10">#REF!</definedName>
    <definedName name="ADFFF">#REF!</definedName>
    <definedName name="afafa" localSheetId="10">#REF!</definedName>
    <definedName name="afafa">#REF!</definedName>
    <definedName name="alksjhdheujsjs" hidden="1">#REF!</definedName>
    <definedName name="Anas_f" localSheetId="10">'[5]MTD OB Forecasting'!#REF!</definedName>
    <definedName name="Anas_f">'[5]MTD OB Forecasting'!#REF!</definedName>
    <definedName name="ance" localSheetId="10">'[5]MTD OB Forecasting'!#REF!</definedName>
    <definedName name="ance">'[5]MTD OB Forecasting'!#REF!</definedName>
    <definedName name="anscount" hidden="1">6</definedName>
    <definedName name="anto" localSheetId="10">'[5]MTD OB Forecasting'!#REF!</definedName>
    <definedName name="anto">'[5]MTD OB Forecasting'!#REF!</definedName>
    <definedName name="anto1" localSheetId="10">'[5]MTD OB Forecasting'!#REF!</definedName>
    <definedName name="anto1">'[5]MTD OB Forecasting'!#REF!</definedName>
    <definedName name="april" hidden="1">{#N/A,#N/A,FALSE,"M01";#N/A,#N/A,FALSE,"M02";#N/A,#N/A,FALSE,"M03";#N/A,#N/A,FALSE,"M04";#N/A,#N/A,FALSE,"M05";#N/A,#N/A,FALSE,"M08"}</definedName>
    <definedName name="aqaq">'[2]MTD OB Forecasting'!#REF!</definedName>
    <definedName name="aqaqaqaqaq">#REF!</definedName>
    <definedName name="aqsw">'[5]MTD OB Forecasting'!#REF!</definedName>
    <definedName name="asa" hidden="1">{#N/A,#N/A,FALSE,"M06";#N/A,#N/A,FALSE,"M07"}</definedName>
    <definedName name="ASS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10">#REF!</definedName>
    <definedName name="b" hidden="1">{#N/A,#N/A,FALSE,"M01";#N/A,#N/A,FALSE,"M02";#N/A,#N/A,FALSE,"M03";#N/A,#N/A,FALSE,"M04";#N/A,#N/A,FALSE,"M05";#N/A,#N/A,FALSE,"M08"}</definedName>
    <definedName name="BARU" hidden="1">{#N/A,#N/A,FALSE,"M06";#N/A,#N/A,FALSE,"M07"}</definedName>
    <definedName name="bb" localSheetId="1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10">#REF!</definedName>
    <definedName name="bd">#REF!</definedName>
    <definedName name="BEK">[6]BEK!$A$1:$T$56</definedName>
    <definedName name="Bharinto" localSheetId="10">Business_Unit</definedName>
    <definedName name="Bharinto">Business_Unit</definedName>
    <definedName name="BKKKLK" localSheetId="10">#REF!</definedName>
    <definedName name="BKKKLK">#REF!</definedName>
    <definedName name="BONUS" localSheetId="10">#REF!</definedName>
    <definedName name="BONUS">#REF!</definedName>
    <definedName name="BTS1BW" localSheetId="10">#REF!</definedName>
    <definedName name="BTS1BW">#REF!</definedName>
    <definedName name="BTS1FW" localSheetId="10">#REF!</definedName>
    <definedName name="BTS1FW">#REF!</definedName>
    <definedName name="BTS1HW" localSheetId="10">#REF!</definedName>
    <definedName name="BTS1HW">#REF!</definedName>
    <definedName name="BTS2BW" localSheetId="10">#REF!</definedName>
    <definedName name="BTS2BW">#REF!</definedName>
    <definedName name="BTS2FW" localSheetId="10">#REF!</definedName>
    <definedName name="BTS2FW">#REF!</definedName>
    <definedName name="BTS2HW" localSheetId="1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1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10">#REF!</definedName>
    <definedName name="CCR">#REF!</definedName>
    <definedName name="CD" localSheetId="10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mpany">[8]!Company</definedName>
    <definedName name="COS" localSheetId="10">#REF!</definedName>
    <definedName name="COS">#REF!</definedName>
    <definedName name="CostCenter">[8]!Cost_Center</definedName>
    <definedName name="COSUBCO1" localSheetId="10">#REF!</definedName>
    <definedName name="COSUBCO1">#REF!</definedName>
    <definedName name="COSUBCO2" localSheetId="10">#REF!</definedName>
    <definedName name="COSUBCO2">#REF!</definedName>
    <definedName name="COSUBCO3" localSheetId="10">#REF!</definedName>
    <definedName name="COSUBCO3">#REF!</definedName>
    <definedName name="COSUBCO4" localSheetId="10">#REF!</definedName>
    <definedName name="COSUBCO4">#REF!</definedName>
    <definedName name="COSUBCO5" localSheetId="10">#REF!</definedName>
    <definedName name="COSUBCO5">#REF!</definedName>
    <definedName name="COSUBCO6" localSheetId="10">#REF!</definedName>
    <definedName name="COSUBCO6">#REF!</definedName>
    <definedName name="COSUBOB1" localSheetId="10">#REF!</definedName>
    <definedName name="COSUBOB1">#REF!</definedName>
    <definedName name="COSUBOB10" localSheetId="10">#REF!</definedName>
    <definedName name="COSUBOB10">#REF!</definedName>
    <definedName name="COSUBOB11" localSheetId="10">#REF!</definedName>
    <definedName name="COSUBOB11">#REF!</definedName>
    <definedName name="COSUBOB12" localSheetId="10">#REF!</definedName>
    <definedName name="COSUBOB12">#REF!</definedName>
    <definedName name="COSUBOB2" localSheetId="10">#REF!</definedName>
    <definedName name="COSUBOB2">#REF!</definedName>
    <definedName name="COSUBOB3" localSheetId="10">#REF!</definedName>
    <definedName name="COSUBOB3">#REF!</definedName>
    <definedName name="COSUBOB4" localSheetId="10">#REF!</definedName>
    <definedName name="COSUBOB4">#REF!</definedName>
    <definedName name="COSUBOB5" localSheetId="10">#REF!</definedName>
    <definedName name="COSUBOB5">#REF!</definedName>
    <definedName name="COSUBOB6" localSheetId="10">#REF!</definedName>
    <definedName name="COSUBOB6">#REF!</definedName>
    <definedName name="COSUBOB7" localSheetId="10">#REF!</definedName>
    <definedName name="COSUBOB7">#REF!</definedName>
    <definedName name="COSUBOB8" localSheetId="10">#REF!</definedName>
    <definedName name="COSUBOB8">#REF!</definedName>
    <definedName name="COSUBOB9" localSheetId="10">#REF!</definedName>
    <definedName name="COSUBOB9">#REF!</definedName>
    <definedName name="CUSTOMER">[9]dBase!$C$2:$C$4381</definedName>
    <definedName name="d" localSheetId="1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10">#REF!</definedName>
    <definedName name="DAFAF">#REF!</definedName>
    <definedName name="DAFDAF" localSheetId="10">#REF!</definedName>
    <definedName name="DAFDAF">#REF!</definedName>
    <definedName name="DATA_ASAL" localSheetId="1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10" hidden="1">{#N/A,#N/A,FALSE,"M06";#N/A,#N/A,FALSE,"M07"}</definedName>
    <definedName name="dd" hidden="1">{#N/A,#N/A,FALSE,"M06";#N/A,#N/A,FALSE,"M07"}</definedName>
    <definedName name="ddd" localSheetId="1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10">#REF!</definedName>
    <definedName name="ddddd">#REF!</definedName>
    <definedName name="dddf" hidden="1">{#N/A,#N/A,FALSE,"M01";#N/A,#N/A,FALSE,"M02";#N/A,#N/A,FALSE,"M03";#N/A,#N/A,FALSE,"M04";#N/A,#N/A,FALSE,"M05";#N/A,#N/A,FALSE,"M08"}</definedName>
    <definedName name="DF" localSheetId="10">#REF!</definedName>
    <definedName name="DF">#REF!</definedName>
    <definedName name="dfg" hidden="1">{#N/A,#N/A,FALSE,"M06";#N/A,#N/A,FALSE,"M07"}</definedName>
    <definedName name="dfm" localSheetId="10">'[2]MTD OB Forecasting'!#REF!</definedName>
    <definedName name="dfm">'[2]MTD OB Forecasting'!#REF!</definedName>
    <definedName name="dfvvdfv" hidden="1">{#N/A,#N/A,FALSE,"M01";#N/A,#N/A,FALSE,"M02";#N/A,#N/A,FALSE,"M03";#N/A,#N/A,FALSE,"M04";#N/A,#N/A,FALSE,"M05";#N/A,#N/A,FALSE,"M08"}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10">#REF!</definedName>
    <definedName name="DS">#REF!</definedName>
    <definedName name="DUMPBIN">'[4]HAUL C1,C2,C3'!$BL$7:$BM$41</definedName>
    <definedName name="DUMPBIN1">'[4]HAUL C1,C2,C3'!$V$48:$W$82</definedName>
    <definedName name="dzfcdsf" hidden="1">{#N/A,#N/A,FALSE,"QR";#N/A,#N/A,FALSE,"R02";#N/A,#N/A,FALSE,"R04";#N/A,#N/A,FALSE,"R05";#N/A,#N/A,FALSE,"R08"}</definedName>
    <definedName name="e" localSheetId="1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10" hidden="1">{#N/A,#N/A,FALSE,"M06";#N/A,#N/A,FALSE,"M07"}</definedName>
    <definedName name="ebe" hidden="1">{#N/A,#N/A,FALSE,"M06";#N/A,#N/A,FALSE,"M07"}</definedName>
    <definedName name="ee" localSheetId="1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de_h1" hidden="1">{#N/A,#N/A,FALSE,"M01";#N/A,#N/A,FALSE,"M02";#N/A,#N/A,FALSE,"M03";#N/A,#N/A,FALSE,"M04";#N/A,#N/A,FALSE,"M05";#N/A,#N/A,FALSE,"M08"}</definedName>
    <definedName name="ees" hidden="1">{#N/A,#N/A,FALSE,"M01";#N/A,#N/A,FALSE,"M02";#N/A,#N/A,FALSE,"M03";#N/A,#N/A,FALSE,"M04";#N/A,#N/A,FALSE,"M05";#N/A,#N/A,FALSE,"M08"}</definedName>
    <definedName name="eewq" localSheetId="10">#REF!</definedName>
    <definedName name="eewq">#REF!</definedName>
    <definedName name="eqe" localSheetId="10">#REF!</definedName>
    <definedName name="eqe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>[26]Project!$A$3:$A$1003</definedName>
    <definedName name="EXCA_COAL" localSheetId="10">#REF!</definedName>
    <definedName name="EXCA_COAL">#REF!</definedName>
    <definedName name="EXCA_OB" localSheetId="10">#REF!</definedName>
    <definedName name="EXCA_OB">#REF!</definedName>
    <definedName name="excel" localSheetId="10">'[5]MTD OB Forecasting'!#REF!</definedName>
    <definedName name="excel">'[5]MTD OB Forecasting'!#REF!</definedName>
    <definedName name="Excel_01" localSheetId="10">'[2]MTD OB Forecasting'!#REF!</definedName>
    <definedName name="Excel_01">'[2]MTD OB Forecasting'!#REF!</definedName>
    <definedName name="excel_02" localSheetId="10">'[2]MTD OB Forecasting'!#REF!</definedName>
    <definedName name="excel_02">'[2]MTD OB Forecasting'!#REF!</definedName>
    <definedName name="Excel_BuiltIn__FilterDatabase_1" localSheetId="10">#REF!</definedName>
    <definedName name="Excel_BuiltIn__FilterDatabase_1">#REF!</definedName>
    <definedName name="Excel_BuiltIn__FilterDatabase_1_1">[27]Project!$Q$7:$Q$10</definedName>
    <definedName name="Excel_BuiltIn_Print_Area" localSheetId="10">#REF!</definedName>
    <definedName name="Excel_BuiltIn_Print_Area">#REF!</definedName>
    <definedName name="Excel_BuiltIn_Print_Area_1" localSheetId="10">#REF!</definedName>
    <definedName name="Excel_BuiltIn_Print_Area_1">#REF!</definedName>
    <definedName name="Excel_BuiltIn_Print_Area_10" localSheetId="10">'[5]MTD OB Forecasting'!#REF!</definedName>
    <definedName name="Excel_BuiltIn_Print_Area_10">'[5]MTD OB Forecasting'!#REF!</definedName>
    <definedName name="Excel_BuiltIn_Print_Area_10_1" localSheetId="10">'[5]MTD OB Forecasting'!#REF!</definedName>
    <definedName name="Excel_BuiltIn_Print_Area_10_1">'[5]MTD OB Forecasting'!#REF!</definedName>
    <definedName name="Excel_BuiltIn_Print_Area_10_20" localSheetId="10">'[2]MTD OB Forecasting'!#REF!</definedName>
    <definedName name="Excel_BuiltIn_Print_Area_10_20">'[2]MTD OB Forecasting'!#REF!</definedName>
    <definedName name="Excel_BuiltIn_Print_Area_13" localSheetId="10">#REF!</definedName>
    <definedName name="Excel_BuiltIn_Print_Area_13">#REF!</definedName>
    <definedName name="Excel_BuiltIn_Print_Titles" localSheetId="10">#REF!</definedName>
    <definedName name="Excel_BuiltIn_Print_Titles">#REF!</definedName>
    <definedName name="Excel_BuiltIn_Print_Titles_1" localSheetId="10">#REF!</definedName>
    <definedName name="Excel_BuiltIn_Print_Titles_1">#REF!</definedName>
    <definedName name="ExchageCode">[8]!Exchange_Code</definedName>
    <definedName name="ExchangeRate">'[28]Detail Exp.'!$Z$3</definedName>
    <definedName name="f" localSheetId="10" hidden="1">{#N/A,#N/A,FALSE,"M06";#N/A,#N/A,FALSE,"M07"}</definedName>
    <definedName name="f" hidden="1">{#N/A,#N/A,FALSE,"M06";#N/A,#N/A,FALSE,"M07"}</definedName>
    <definedName name="FD" localSheetId="10">#REF!</definedName>
    <definedName name="FD">#REF!</definedName>
    <definedName name="FF" localSheetId="10">#REF!</definedName>
    <definedName name="ff" hidden="1">{#N/A,#N/A,FALSE,"M01";#N/A,#N/A,FALSE,"M02";#N/A,#N/A,FALSE,"M03";#N/A,#N/A,FALSE,"M04";#N/A,#N/A,FALSE,"M05";#N/A,#N/A,FALSE,"M08"}</definedName>
    <definedName name="ffff" localSheetId="10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ormal" hidden="1">{#N/A,#N/A,FALSE,"M01";#N/A,#N/A,FALSE,"M02";#N/A,#N/A,FALSE,"M03";#N/A,#N/A,FALSE,"M04";#N/A,#N/A,FALSE,"M05";#N/A,#N/A,FALSE,"M08"}</definedName>
    <definedName name="fs" localSheetId="1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1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fjfj" hidden="1">{#N/A,#N/A,FALSE,"M06";#N/A,#N/A,FALSE,"M07"}</definedName>
    <definedName name="gg" hidden="1">{#N/A,#N/A,FALSE,"QR";#N/A,#N/A,FALSE,"R02";#N/A,#N/A,FALSE,"R04";#N/A,#N/A,FALSE,"R05";#N/A,#N/A,FALSE,"R08"}</definedName>
    <definedName name="ggg" localSheetId="1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10">#REF!</definedName>
    <definedName name="GNRL_OB">#REF!</definedName>
    <definedName name="grg" hidden="1">{#N/A,#N/A,FALSE,"M06";#N/A,#N/A,FALSE,"M07"}</definedName>
    <definedName name="GT" localSheetId="10">#REF!</definedName>
    <definedName name="GT">#REF!</definedName>
    <definedName name="h" localSheetId="1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10">#REF!</definedName>
    <definedName name="harian">#REF!</definedName>
    <definedName name="HAUL_COAL" localSheetId="10">#REF!</definedName>
    <definedName name="HAUL_COAL">#REF!</definedName>
    <definedName name="HAUL_OB" localSheetId="10">#REF!</definedName>
    <definedName name="HAUL_OB">#REF!</definedName>
    <definedName name="HAULPLAN">'[4]OB PLAN'!$B$46:$Q$79</definedName>
    <definedName name="HC" localSheetId="10">#REF!</definedName>
    <definedName name="HC">#REF!</definedName>
    <definedName name="he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10">#REF!</definedName>
    <definedName name="hfhahfha">#REF!</definedName>
    <definedName name="hhka334" localSheetId="10">#REF!</definedName>
    <definedName name="hhka334">#REF!</definedName>
    <definedName name="HJKKKLLL" localSheetId="10">#REF!</definedName>
    <definedName name="HJKKKLLL">#REF!</definedName>
    <definedName name="HL2brm" localSheetId="10">#REF!</definedName>
    <definedName name="HL2brm">#REF!</definedName>
    <definedName name="HL3brm" localSheetId="10">#REF!</definedName>
    <definedName name="HL3brm">#REF!</definedName>
    <definedName name="HLS2BW" localSheetId="10">#REF!</definedName>
    <definedName name="HLS2BW">#REF!</definedName>
    <definedName name="HLS2FW" localSheetId="10">#REF!</definedName>
    <definedName name="HLS2FW">#REF!</definedName>
    <definedName name="HLS2HW" localSheetId="10">#REF!</definedName>
    <definedName name="HLS2HW">#REF!</definedName>
    <definedName name="HLS3BW" localSheetId="10">#REF!</definedName>
    <definedName name="HLS3BW">#REF!</definedName>
    <definedName name="HLS3FW" localSheetId="10">#REF!</definedName>
    <definedName name="HLS3FW">#REF!</definedName>
    <definedName name="HLS3HW" localSheetId="10">#REF!</definedName>
    <definedName name="HLS3HW">#REF!</definedName>
    <definedName name="HM">[3]Data!$B$212:$AG$243</definedName>
    <definedName name="HO" localSheetId="1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dle">[3]Data!$B$139:$AG$144</definedName>
    <definedName name="IMM">[6]IMM!$A$2:$Y$60</definedName>
    <definedName name="IMM.LCV.BCT" localSheetId="10">#REF!</definedName>
    <definedName name="IMM.LCV.BCT">#REF!</definedName>
    <definedName name="IMM.LCV.BoCT" localSheetId="10">#REF!</definedName>
    <definedName name="IMM.LCV.BoCT">#REF!</definedName>
    <definedName name="IMM.LCV.Samarinda" localSheetId="10">#REF!</definedName>
    <definedName name="IMM.LCV.Samarinda">#REF!</definedName>
    <definedName name="IMM.West.BCT" localSheetId="10">#REF!</definedName>
    <definedName name="IMM.West.BCT">#REF!</definedName>
    <definedName name="IMM.West.BoCT" localSheetId="10">#REF!</definedName>
    <definedName name="IMM.West.BoCT">#REF!</definedName>
    <definedName name="IMM.West.Samarinda" localSheetId="10">#REF!</definedName>
    <definedName name="IMM.West.Samarinda">#REF!</definedName>
    <definedName name="IS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1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10">'[5]MTD OB Forecasting'!#REF!</definedName>
    <definedName name="jahsdkhjk">'[5]MTD OB Forecasting'!#REF!</definedName>
    <definedName name="JBG">[6]JBG!$B$3:$AK$87</definedName>
    <definedName name="jigsaw" localSheetId="10">#REF!</definedName>
    <definedName name="jigsaw">#REF!</definedName>
    <definedName name="jk" localSheetId="10">'[5]MTD OB Forecasting'!#REF!</definedName>
    <definedName name="jk">'[5]MTD OB Forecasting'!#REF!</definedName>
    <definedName name="Jum_Unit">[3]Data!$B$125:$AG$135</definedName>
    <definedName name="K" localSheetId="10">#REF!</definedName>
    <definedName name="K">#REF!</definedName>
    <definedName name="kj" localSheetId="10">'[5]MTD OB Forecasting'!#REF!</definedName>
    <definedName name="kj">'[5]MTD OB Forecasting'!#REF!</definedName>
    <definedName name="KK" hidden="1">{#N/A,#N/A,FALSE,"M01";#N/A,#N/A,FALSE,"M02";#N/A,#N/A,FALSE,"M03";#N/A,#N/A,FALSE,"M04";#N/A,#N/A,FALSE,"M05";#N/A,#N/A,FALSE,"M08"}</definedName>
    <definedName name="kl" localSheetId="10">'[2]MTD OB Forecasting'!#REF!</definedName>
    <definedName name="kl">'[2]MTD OB Forecasting'!#REF!</definedName>
    <definedName name="klj" localSheetId="10">'[5]MTD OB Forecasting'!#REF!</definedName>
    <definedName name="klj">'[5]MTD OB Forecasting'!#REF!</definedName>
    <definedName name="Konversi">'[3]Konversi Jarak'!$A$4:$B$34</definedName>
    <definedName name="KR1BW" localSheetId="10">#REF!</definedName>
    <definedName name="KR1BW">#REF!</definedName>
    <definedName name="KR1FW" localSheetId="10">#REF!</definedName>
    <definedName name="KR1FW">#REF!</definedName>
    <definedName name="KR1HW" localSheetId="10">#REF!</definedName>
    <definedName name="KR1HW">#REF!</definedName>
    <definedName name="KR2BW" localSheetId="10">#REF!</definedName>
    <definedName name="KR2BW">#REF!</definedName>
    <definedName name="KR2FW" localSheetId="10">#REF!</definedName>
    <definedName name="KR2FW">#REF!</definedName>
    <definedName name="KR2HW" localSheetId="10">#REF!</definedName>
    <definedName name="KR2HW">#REF!</definedName>
    <definedName name="kris" localSheetId="10">'[5]MTD OB Forecasting'!#REF!</definedName>
    <definedName name="kris">'[5]MTD OB Forecasting'!#REF!</definedName>
    <definedName name="kristisnto" localSheetId="10">'[2]MTD OB Forecasting'!#REF!</definedName>
    <definedName name="kristisnto">'[2]MTD OB Forecasting'!#REF!</definedName>
    <definedName name="KTD">[6]EMB!$A$4:$AX$55</definedName>
    <definedName name="L" localSheetId="10">#REF!</definedName>
    <definedName name="L">#REF!</definedName>
    <definedName name="limcount" hidden="1">2</definedName>
    <definedName name="LIST_11" localSheetId="10">#REF!</definedName>
    <definedName name="LIST_11">#REF!</definedName>
    <definedName name="LIST_12" localSheetId="10">#REF!</definedName>
    <definedName name="LIST_12">#REF!</definedName>
    <definedName name="LIST_19">[29]LIST!$C$3:$AC$438</definedName>
    <definedName name="LIST_20">[30]LIST!$C$3:$AC$438</definedName>
    <definedName name="LIST_8" localSheetId="10">#REF!</definedName>
    <definedName name="LIST_8">#REF!</definedName>
    <definedName name="LIST_9" localSheetId="10">#REF!</definedName>
    <definedName name="LIST_9">#REF!</definedName>
    <definedName name="LO" localSheetId="10">#REF!</definedName>
    <definedName name="LO">#REF!</definedName>
    <definedName name="LOAD_COAL" localSheetId="10">#REF!</definedName>
    <definedName name="LOAD_COAL">#REF!</definedName>
    <definedName name="LOAD_OB" localSheetId="10">#REF!</definedName>
    <definedName name="LOAD_OB">#REF!</definedName>
    <definedName name="lose" localSheetId="10">#REF!</definedName>
    <definedName name="lose">#REF!</definedName>
    <definedName name="MEASTHITS" localSheetId="10">#REF!</definedName>
    <definedName name="MEASTHITS">#REF!</definedName>
    <definedName name="MEASTMHITS" localSheetId="10">#REF!</definedName>
    <definedName name="MEASTMHITS">#REF!</definedName>
    <definedName name="minesche" localSheetId="10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10">#REF!</definedName>
    <definedName name="MMHITS">#REF!</definedName>
    <definedName name="MOHH">[25]ACUM!$ED$94:$FJ$117</definedName>
    <definedName name="MONTH">[9]dBase!$BE$2:$BE$4381</definedName>
    <definedName name="MSYINV" localSheetId="10">#REF!</definedName>
    <definedName name="MSYINV">#REF!</definedName>
    <definedName name="MTDMHCV" localSheetId="10">#REF!</definedName>
    <definedName name="MTDMHCV">#REF!</definedName>
    <definedName name="MTOTAL" localSheetId="10">#REF!</definedName>
    <definedName name="MTOTAL">#REF!</definedName>
    <definedName name="MWASH" localSheetId="10">#REF!</definedName>
    <definedName name="MWASH">#REF!</definedName>
    <definedName name="MWESTHITS" localSheetId="10">#REF!</definedName>
    <definedName name="MWESTHITS">#REF!</definedName>
    <definedName name="MWESTLOTS" localSheetId="10">#REF!</definedName>
    <definedName name="MWESTLOTS">#REF!</definedName>
    <definedName name="N" localSheetId="10">#REF!</definedName>
    <definedName name="N">#REF!</definedName>
    <definedName name="NAR">[31]sum_MSY!$DL$7:$DM$21</definedName>
    <definedName name="nav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10">'[5]MTD OB Forecasting'!#REF!</definedName>
    <definedName name="Nce">'[5]MTD OB Forecasting'!#REF!</definedName>
    <definedName name="nhg" localSheetId="10">'[2]MTD OB Forecasting'!#REF!</definedName>
    <definedName name="nhg">'[2]MTD OB Forecasting'!#REF!</definedName>
    <definedName name="nn" localSheetId="10">#REF!</definedName>
    <definedName name="nn">#REF!</definedName>
    <definedName name="nnn" localSheetId="10">#REF!</definedName>
    <definedName name="nnn">#REF!</definedName>
    <definedName name="nnnnn">[8]!Exchange_Code</definedName>
    <definedName name="NOM_11" localSheetId="10">#REF!</definedName>
    <definedName name="NOM_11">#REF!</definedName>
    <definedName name="NOM_12" localSheetId="10">#REF!</definedName>
    <definedName name="NOM_12">#REF!</definedName>
    <definedName name="NOM_19">[29]LIST!$B$4:$AE$437</definedName>
    <definedName name="NOM_20">[30]LIST!$B$4:$AE$437</definedName>
    <definedName name="NOM_8" localSheetId="10">#REF!</definedName>
    <definedName name="NOM_8">#REF!</definedName>
    <definedName name="NOM_9" localSheetId="10">#REF!</definedName>
    <definedName name="NOM_9">#REF!</definedName>
    <definedName name="O" localSheetId="10">#REF!</definedName>
    <definedName name="O">#REF!</definedName>
    <definedName name="OB" localSheetId="10">#REF!</definedName>
    <definedName name="OB">#REF!</definedName>
    <definedName name="oi" localSheetId="1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[32]bantuan!$B$2:$C$30</definedName>
    <definedName name="OPT_GL">[33]OPT_GL!$B$4:$S$33</definedName>
    <definedName name="OPT_GL_1">[33]OPT_GL!$B$4:$S$33</definedName>
    <definedName name="OPT_GL_1_1">[33]OPT_GL!$B$4:$S$33</definedName>
    <definedName name="OPT_GL_11">[33]OPT_GL!$B$4:$S$33</definedName>
    <definedName name="OPT_GL_11_1">[33]OPT_GL!$B$4:$S$33</definedName>
    <definedName name="OPT_GL_12">[33]OPT_GL!$B$4:$S$33</definedName>
    <definedName name="OPT_GL_13">[33]OPT_GL!$B$4:$S$33</definedName>
    <definedName name="OPT_GL_16">[33]OPT_GL!$B$4:$S$33</definedName>
    <definedName name="OPT_GL_17">[33]OPT_GL!$B$4:$S$33</definedName>
    <definedName name="OPT_GL_19">[33]OPT_GL!$B$4:$S$33</definedName>
    <definedName name="OPT_GL_2">[33]OPT_GL!$B$4:$S$33</definedName>
    <definedName name="OPT_GL_2_1">[33]OPT_GL!$B$4:$S$33</definedName>
    <definedName name="OPT_GL_20">[33]OPT_GL!$B$4:$S$33</definedName>
    <definedName name="OPT_GL_6">[33]OPT_GL!$B$4:$S$33</definedName>
    <definedName name="OPT_GL_8">[33]OPT_GL!$B$4:$S$33</definedName>
    <definedName name="OPT_GL_8_1">[33]OPT_GL!$B$4:$S$33</definedName>
    <definedName name="OPT_GL_9">[33]OPT_GL!$B$4:$S$33</definedName>
    <definedName name="OPT_GL_9_1">[33]OPT_GL!$B$4:$S$33</definedName>
    <definedName name="ORE" localSheetId="10">#REF!</definedName>
    <definedName name="ORE">#REF!</definedName>
    <definedName name="Outlook">'[6]Budget &amp; Outlook'!$T$5:$AG$41</definedName>
    <definedName name="P" localSheetId="10">#REF!</definedName>
    <definedName name="P">#REF!</definedName>
    <definedName name="PA_Actual">[3]Data!$B$86:$AG$95</definedName>
    <definedName name="PA_Plan">[3]Data!$B$73:$AG$82</definedName>
    <definedName name="paijo" localSheetId="10">'[2]MTD OB Forecasting'!#REF!</definedName>
    <definedName name="paijo">'[2]MTD OB Forecasting'!#REF!</definedName>
    <definedName name="PAMA">#REF!</definedName>
    <definedName name="PASS" localSheetId="10">#REF!</definedName>
    <definedName name="PASS">#REF!</definedName>
    <definedName name="PASS1" localSheetId="10">#REF!</definedName>
    <definedName name="PASS1">#REF!</definedName>
    <definedName name="PEASTHITS" localSheetId="10">#REF!</definedName>
    <definedName name="PEASTHITS">#REF!</definedName>
    <definedName name="PEMB" localSheetId="10">#REF!</definedName>
    <definedName name="PEMB">#REF!</definedName>
    <definedName name="PENALTY">[9]dBonus!$C$7:$J$73</definedName>
    <definedName name="pit_10" localSheetId="10">'[5]MTD OB Forecasting'!#REF!</definedName>
    <definedName name="pit_10">'[5]MTD OB Forecasting'!#REF!</definedName>
    <definedName name="PJBG" localSheetId="10">#REF!</definedName>
    <definedName name="PJBG">#REF!</definedName>
    <definedName name="Plan">[34]Plan!$A$3:$A$187</definedName>
    <definedName name="PLAN_1">[35]SUM!$B$34:$AB$58</definedName>
    <definedName name="PLAN_1_1">[35]SUM!$B$34:$AB$58</definedName>
    <definedName name="PLAN_11">[35]SUM!$B$34:$AB$58</definedName>
    <definedName name="PLAN_11_1">[35]SUM!$B$34:$AB$58</definedName>
    <definedName name="PLAN_12">[35]SUM!$B$34:$AB$58</definedName>
    <definedName name="PLAN_13">[35]SUM!$B$34:$AB$58</definedName>
    <definedName name="PLAN_16">[35]SUM!$B$34:$AB$58</definedName>
    <definedName name="PLAN_17">[35]SUM!$B$34:$AB$58</definedName>
    <definedName name="PLAN_19">[35]SUM!$B$34:$AB$58</definedName>
    <definedName name="PLAN_2">[35]SUM!$B$34:$AB$58</definedName>
    <definedName name="PLAN_2_1">[35]SUM!$B$34:$AB$58</definedName>
    <definedName name="PLAN_20">[35]SUM!$B$34:$AB$58</definedName>
    <definedName name="PLAN_6">[35]SUM!$B$34:$AB$58</definedName>
    <definedName name="PLAN_8">[35]SUM!$B$34:$AB$58</definedName>
    <definedName name="PLAN_8_1">[35]SUM!$B$34:$AB$58</definedName>
    <definedName name="PLAN_9">[35]SUM!$B$34:$AB$58</definedName>
    <definedName name="PLAN_9_1">[35]SUM!$B$34:$AB$58</definedName>
    <definedName name="PLAN_DAILY">'[36]Daily Plan'!$BH$8:$CA$33</definedName>
    <definedName name="PLAN_MONTHLY">[37]summary!$B$12:$AO$45</definedName>
    <definedName name="PLAN_MONTHLY_1">[37]summary!$B$12:$AO$45</definedName>
    <definedName name="PLAN_MONTHLY_1_1">[37]summary!$B$12:$AO$45</definedName>
    <definedName name="PLAN_MONTHLY_10">[38]summary!$B$12:$AO$45</definedName>
    <definedName name="PLAN_MONTHLY_11">[37]summary!$B$12:$AO$45</definedName>
    <definedName name="PLAN_MONTHLY_13">[37]summary!$B$12:$AO$45</definedName>
    <definedName name="PLAN_MONTHLY_16">[37]summary!$B$12:$AO$45</definedName>
    <definedName name="PLAN_MONTHLY_17">[39]summary!$B$12:$AO$45</definedName>
    <definedName name="PLAN_MONTHLY_19">[14]summary!$B$12:$AO$45</definedName>
    <definedName name="PLAN_MONTHLY_2">[37]summary!$B$12:$AO$45</definedName>
    <definedName name="PLAN_MONTHLY_2_1">[37]summary!$B$12:$AO$45</definedName>
    <definedName name="PLAN_MONTHLY_20">[40]summary!$B$12:$AO$45</definedName>
    <definedName name="PLAN_MONTHLY_3">[41]summary!$B$12:$AO$45</definedName>
    <definedName name="PLAN_MONTHLY_3_1">[41]summary!$B$12:$AO$45</definedName>
    <definedName name="PLAN_MONTHLY_4">[41]summary!$B$12:$AO$45</definedName>
    <definedName name="PLAN_MONTHLY_6">[41]summary!$B$12:$AO$45</definedName>
    <definedName name="PLAN_MONTHLY_6_1">[39]summary!$B$12:$AO$45</definedName>
    <definedName name="PLAN_MONTHLY_7">[41]summary!$B$12:$AO$45</definedName>
    <definedName name="PLAN_MONTHLY_7_1">[38]summary!$B$12:$AO$45</definedName>
    <definedName name="PLAN_MONTHLY_8">[39]summary!$B$12:$AO$45</definedName>
    <definedName name="PLAN_MONTHLY_9">[39]summary!$B$12:$AO$45</definedName>
    <definedName name="pm3brm" localSheetId="10">#REF!</definedName>
    <definedName name="pm3brm">#REF!</definedName>
    <definedName name="PMEASTHITS" localSheetId="10">#REF!</definedName>
    <definedName name="PMEASTHITS">#REF!</definedName>
    <definedName name="PMS3BW" localSheetId="10">#REF!</definedName>
    <definedName name="PMS3BW">#REF!</definedName>
    <definedName name="PMS3FW" localSheetId="10">#REF!</definedName>
    <definedName name="PMS3FW">#REF!</definedName>
    <definedName name="PMS3HW" localSheetId="10">#REF!</definedName>
    <definedName name="PMS3HW">#REF!</definedName>
    <definedName name="populasi" localSheetId="10">#REF!</definedName>
    <definedName name="populasi">#REF!</definedName>
    <definedName name="_xlnm.Print_Area" localSheetId="0">Dashboard!$A$1:$X$83</definedName>
    <definedName name="_xlnm.Print_Area" localSheetId="10">#REF!</definedName>
    <definedName name="_xlnm.Print_Area">#REF!</definedName>
    <definedName name="_xlnm.Print_Titles">#N/A</definedName>
    <definedName name="Print2" localSheetId="10">#REF!</definedName>
    <definedName name="Print2">#REF!</definedName>
    <definedName name="prod" localSheetId="10">#REF!</definedName>
    <definedName name="prod">#REF!</definedName>
    <definedName name="PROD_COAL">'[42]DP Report'!$F$42:$F$42</definedName>
    <definedName name="PROD_OB">'[42]DP Report'!$F$33:$F$33</definedName>
    <definedName name="ProdBdgt">'[43]Sum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10">#REF!</definedName>
    <definedName name="produksi">#REF!</definedName>
    <definedName name="Project">[34]Project!$A$3:$A$1003</definedName>
    <definedName name="Project1">[27]Project!$A$3:$A$1003</definedName>
    <definedName name="PSYINV2" localSheetId="10">#REF!</definedName>
    <definedName name="PSYINV2">#REF!</definedName>
    <definedName name="PT" localSheetId="10">#REF!</definedName>
    <definedName name="PT">#REF!</definedName>
    <definedName name="PTCMHCVHITS" localSheetId="10">#REF!</definedName>
    <definedName name="PTCMHCVHITS">#REF!</definedName>
    <definedName name="PTCMHCVLOTS" localSheetId="10">#REF!</definedName>
    <definedName name="PTCMHCVLOTS">#REF!</definedName>
    <definedName name="PTCMLCVLOTS" localSheetId="10">#REF!</definedName>
    <definedName name="PTCMLCVLOTS">#REF!</definedName>
    <definedName name="PTDMHCV" localSheetId="10">#REF!</definedName>
    <definedName name="PTDMHCV">#REF!</definedName>
    <definedName name="PTOTAL" localSheetId="10">#REF!</definedName>
    <definedName name="PTOTAL">#REF!</definedName>
    <definedName name="PWESTLOTS" localSheetId="10">#REF!</definedName>
    <definedName name="PWESTLOTS">#REF!</definedName>
    <definedName name="q" localSheetId="10">#REF!</definedName>
    <definedName name="Q" hidden="1">{#N/A,#N/A,FALSE,"M01";#N/A,#N/A,FALSE,"M02";#N/A,#N/A,FALSE,"M03";#N/A,#N/A,FALSE,"M04";#N/A,#N/A,FALSE,"M05";#N/A,#N/A,FALSE,"M08"}</definedName>
    <definedName name="qaqaqaqa">'[2]MTD OB Forecasting'!#REF!</definedName>
    <definedName name="qq" hidden="1">{#N/A,#N/A,FALSE,"M01";#N/A,#N/A,FALSE,"M02";#N/A,#N/A,FALSE,"M03";#N/A,#N/A,FALSE,"M04";#N/A,#N/A,FALSE,"M05";#N/A,#N/A,FALSE,"M08"}</definedName>
    <definedName name="QWS" localSheetId="10">#REF!</definedName>
    <definedName name="QWS">#REF!</definedName>
    <definedName name="rcc" localSheetId="10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cvfvcefve" hidden="1">{#N/A,#N/A,FALSE,"QR";#N/A,#N/A,FALSE,"R02";#N/A,#N/A,FALSE,"R04";#N/A,#N/A,FALSE,"R05";#N/A,#N/A,FALSE,"R08"}</definedName>
    <definedName name="RD" localSheetId="10">#REF!</definedName>
    <definedName name="RD">#REF!</definedName>
    <definedName name="re" localSheetId="1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klamasi" hidden="1">{#N/A,#N/A,FALSE,"M06";#N/A,#N/A,FALSE,"M07"}</definedName>
    <definedName name="REN_KPTJ">[25]TJ!$C$4:$Y$432</definedName>
    <definedName name="REN_LMA">[25]LM!$C$4:$Y$168</definedName>
    <definedName name="RENTAL">[25]ACUM!$B$4:$CT$27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p">[44]OFFICE!$AW$6</definedName>
    <definedName name="saaaqawsqaswawaq">#REF!</definedName>
    <definedName name="SC" localSheetId="10">#REF!</definedName>
    <definedName name="SC">#REF!</definedName>
    <definedName name="sdhjfwsa\" localSheetId="10">'[2]MTD OB Forecasting'!#REF!</definedName>
    <definedName name="sdhjfwsa\">'[2]MTD OB Forecasting'!#REF!</definedName>
    <definedName name="sencount" hidden="1">2</definedName>
    <definedName name="SFfuel">[45]Assumptions!$D$473</definedName>
    <definedName name="sfrain">'[46]PROD PLAN CAP 2007'!$T$7</definedName>
    <definedName name="sfsdfcxz" hidden="1">{#N/A,#N/A,FALSE,"M06";#N/A,#N/A,FALSE,"M07"}</definedName>
    <definedName name="Shikoku">[1]Validation!$A$10</definedName>
    <definedName name="SlsBudget">'[43]Sum Prod &amp; Sales Bdgt'!$C$35:$P$49</definedName>
    <definedName name="SO" localSheetId="10">#REF!</definedName>
    <definedName name="SO">#REF!</definedName>
    <definedName name="SolverModelArea">#REF!</definedName>
    <definedName name="SPRD_COAL" localSheetId="10">#REF!</definedName>
    <definedName name="SPRD_COAL">#REF!</definedName>
    <definedName name="SPRD_OB" localSheetId="10">#REF!</definedName>
    <definedName name="SPRD_OB">#REF!</definedName>
    <definedName name="sqaqaqaq" hidden="1">#REF!</definedName>
    <definedName name="sqaw">#REF!</definedName>
    <definedName name="ss" hidden="1">{#N/A,#N/A,FALSE,"QR";#N/A,#N/A,FALSE,"R02";#N/A,#N/A,FALSE,"R04";#N/A,#N/A,FALSE,"R05";#N/A,#N/A,FALSE,"R08"}</definedName>
    <definedName name="sss" hidden="1">{#N/A,#N/A,FALSE,"QR";#N/A,#N/A,FALSE,"R02";#N/A,#N/A,FALSE,"R04";#N/A,#N/A,FALSE,"R05";#N/A,#N/A,FALSE,"R08"}</definedName>
    <definedName name="ssss" localSheetId="10">#REF!</definedName>
    <definedName name="ssss">#REF!</definedName>
    <definedName name="STB">[25]ACUM!$ED$64:$FJ$87</definedName>
    <definedName name="SubAccount">[47]!Sub_Account</definedName>
    <definedName name="subhan" localSheetId="10">'[5]MTD OB Forecasting'!#REF!</definedName>
    <definedName name="subhan">'[5]MTD OB Forecasting'!#REF!</definedName>
    <definedName name="SummPRM">'[48]Summ PRM'!$B$6:$BO$108</definedName>
    <definedName name="suryanto" localSheetId="10">'[2]MTD OB Forecasting'!#REF!</definedName>
    <definedName name="suryanto">'[2]MTD OB Forecasting'!#REF!</definedName>
    <definedName name="TCM">[6]TCM!$A$2:$KE$234</definedName>
    <definedName name="TDM">[6]TDM!$A$4:$EW$40</definedName>
    <definedName name="test" localSheetId="10">#REF!</definedName>
    <definedName name="test">#REF!</definedName>
    <definedName name="TONNAGE">[9]dBase!$R$2:$R$4381</definedName>
    <definedName name="TOP_COSTUM" localSheetId="10">#REF!</definedName>
    <definedName name="TOP_COSTUM">#REF!</definedName>
    <definedName name="total" localSheetId="10">#REF!</definedName>
    <definedName name="total">#REF!</definedName>
    <definedName name="try" hidden="1">{#N/A,#N/A,FALSE,"QR";#N/A,#N/A,FALSE,"R02";#N/A,#N/A,FALSE,"R04";#N/A,#N/A,FALSE,"R05";#N/A,#N/A,FALSE,"R08"}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IO" hidden="1">{#N/A,#N/A,FALSE,"QR";#N/A,#N/A,FALSE,"R02";#N/A,#N/A,FALSE,"R04";#N/A,#N/A,FALSE,"R05";#N/A,#N/A,FALSE,"R08"}</definedName>
    <definedName name="uu" localSheetId="1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w" hidden="1">{#N/A,#N/A,FALSE,"M06";#N/A,#N/A,FALSE,"M07"}</definedName>
    <definedName name="WASTE" localSheetId="10">#REF!</definedName>
    <definedName name="WASTE">#REF!</definedName>
    <definedName name="Weat_Ico">INDEX(Weat_Con!$C$2:$C$3,MATCH(Weat_Con!$B$5,Weat_Con!$B$2:$B$3,0))</definedName>
    <definedName name="Wh" localSheetId="10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[25]ACUM!$ED$4:$FJ$27</definedName>
    <definedName name="Worksheet2016" localSheetId="10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M." localSheetId="1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1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1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1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10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" hidden="1">{#N/A,#N/A,FALSE,"QR";#N/A,#N/A,FALSE,"R02";#N/A,#N/A,FALSE,"R04";#N/A,#N/A,FALSE,"R05";#N/A,#N/A,FALSE,"R08"}</definedName>
    <definedName name="www" hidden="1">{#N/A,#N/A,FALSE,"M01";#N/A,#N/A,FALSE,"M02";#N/A,#N/A,FALSE,"M03";#N/A,#N/A,FALSE,"M04";#N/A,#N/A,FALSE,"M05";#N/A,#N/A,FALSE,"M08"}</definedName>
    <definedName name="xxx">#REF!</definedName>
    <definedName name="Y" localSheetId="1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10">'[5]MTD OB Forecasting'!#REF!</definedName>
    <definedName name="yes">'[5]MTD OB Forecasting'!#REF!</definedName>
    <definedName name="YTYT" hidden="1">{#N/A,#N/A,FALSE,"QR";#N/A,#N/A,FALSE,"R02";#N/A,#N/A,FALSE,"R04";#N/A,#N/A,FALSE,"R05";#N/A,#N/A,FALSE,"R08"}</definedName>
    <definedName name="yun" localSheetId="10">'[5]MTD OB Forecasting'!#REF!</definedName>
    <definedName name="yun">'[5]MTD OB Forecasting'!#REF!</definedName>
    <definedName name="yusuf" localSheetId="10">'[2]MTD OB Forecasting'!#REF!</definedName>
    <definedName name="yusuf">'[2]MTD OB Forecasting'!#REF!</definedName>
    <definedName name="yyy">#REF!</definedName>
    <definedName name="z" localSheetId="10">'[5]MTD OB Forecasting'!#REF!</definedName>
    <definedName name="Z" hidden="1">{#N/A,#N/A,FALSE,"M01";#N/A,#N/A,FALSE,"M02";#N/A,#N/A,FALSE,"M03";#N/A,#N/A,FALSE,"M04";#N/A,#N/A,FALSE,"M05";#N/A,#N/A,FALSE,"M08"}</definedName>
    <definedName name="zzz" hidden="1">{#N/A,#N/A,FALSE,"M01";#N/A,#N/A,FALSE,"M02";#N/A,#N/A,FALSE,"M03";#N/A,#N/A,FALSE,"M04";#N/A,#N/A,FALSE,"M05";#N/A,#N/A,FALSE,"M08"}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4" l="1"/>
  <c r="L11" i="9"/>
  <c r="B11" i="9"/>
  <c r="Q11" i="9"/>
  <c r="G11" i="9"/>
  <c r="F10" i="9" l="1"/>
  <c r="B10" i="9"/>
  <c r="Q10" i="9"/>
  <c r="G10" i="9"/>
  <c r="J225" i="4" l="1"/>
  <c r="L9" i="9" l="1"/>
  <c r="Q9" i="9"/>
  <c r="B9" i="9"/>
  <c r="G9" i="9"/>
  <c r="I219" i="4" l="1"/>
  <c r="L8" i="9" l="1"/>
  <c r="Q8" i="9"/>
  <c r="B8" i="9"/>
  <c r="G8" i="9"/>
  <c r="H219" i="4" l="1"/>
  <c r="L7" i="9" l="1"/>
  <c r="Q7" i="9"/>
  <c r="G7" i="9"/>
  <c r="C15" i="17" l="1"/>
  <c r="C12" i="17"/>
  <c r="C16" i="17" s="1"/>
  <c r="C9" i="17"/>
  <c r="C6" i="17"/>
  <c r="AI38" i="9"/>
  <c r="L6" i="9"/>
  <c r="B6" i="9"/>
  <c r="Q6" i="9"/>
  <c r="G6" i="9"/>
  <c r="C11" i="17" l="1"/>
  <c r="D3" i="28" l="1"/>
  <c r="Q120" i="4"/>
  <c r="Q36" i="9" l="1"/>
  <c r="G36" i="9"/>
  <c r="Q35" i="9" l="1"/>
  <c r="G35" i="9"/>
  <c r="Q34" i="9" l="1"/>
  <c r="G34" i="9"/>
  <c r="Q33" i="9" l="1"/>
  <c r="G33" i="9"/>
  <c r="Q32" i="9" l="1"/>
  <c r="G32" i="9"/>
  <c r="Q31" i="9" l="1"/>
  <c r="G31" i="9"/>
  <c r="Q29" i="9" l="1"/>
  <c r="Q30" i="9"/>
  <c r="G30" i="9"/>
  <c r="G29" i="9" l="1"/>
  <c r="Q28" i="9" l="1"/>
  <c r="Q27" i="9"/>
  <c r="G28" i="9"/>
  <c r="G27" i="9" l="1"/>
  <c r="AF65" i="20" l="1"/>
  <c r="Q26" i="9"/>
  <c r="G26" i="9"/>
  <c r="Q25" i="9" l="1"/>
  <c r="G25" i="9"/>
  <c r="Q24" i="9" l="1"/>
  <c r="G24" i="9"/>
  <c r="Q23" i="9" l="1"/>
  <c r="G23" i="9"/>
  <c r="G21" i="9" l="1"/>
  <c r="Q20" i="9" l="1"/>
  <c r="G20" i="9"/>
  <c r="Q19" i="9" l="1"/>
  <c r="G19" i="9"/>
  <c r="Q18" i="9" l="1"/>
  <c r="G18" i="9"/>
  <c r="Q17" i="9" l="1"/>
  <c r="G17" i="9"/>
  <c r="Q16" i="9" l="1"/>
  <c r="G16" i="9"/>
  <c r="Q15" i="9" l="1"/>
  <c r="G15" i="9"/>
  <c r="Q14" i="9" l="1"/>
  <c r="G14" i="9"/>
  <c r="Q13" i="9" l="1"/>
  <c r="G13" i="9"/>
  <c r="Q12" i="9" l="1"/>
  <c r="G12" i="9"/>
  <c r="T2" i="5" l="1"/>
  <c r="S2" i="5"/>
  <c r="C5" i="23" l="1"/>
  <c r="AF195" i="4" l="1"/>
  <c r="D30" i="24"/>
  <c r="AF196" i="4"/>
  <c r="E30" i="24" s="1"/>
  <c r="AG195" i="4"/>
  <c r="D31" i="24" s="1"/>
  <c r="AG196" i="4"/>
  <c r="E31" i="24" s="1"/>
  <c r="AH195" i="4"/>
  <c r="AH196" i="4"/>
  <c r="E32" i="24"/>
  <c r="AI195" i="4"/>
  <c r="D33" i="24" s="1"/>
  <c r="AI196" i="4"/>
  <c r="E33" i="24"/>
  <c r="AS129" i="4"/>
  <c r="Q22" i="9"/>
  <c r="G22" i="9"/>
  <c r="G39" i="9"/>
  <c r="G37" i="9" s="1"/>
  <c r="B158" i="4"/>
  <c r="K1" i="5"/>
  <c r="R14" i="1"/>
  <c r="R13" i="1"/>
  <c r="N11" i="1"/>
  <c r="N8" i="1"/>
  <c r="O8" i="1"/>
  <c r="K11" i="5"/>
  <c r="F142" i="4"/>
  <c r="F151" i="4" s="1"/>
  <c r="F157" i="4"/>
  <c r="F160" i="4"/>
  <c r="T14" i="1"/>
  <c r="T13" i="1"/>
  <c r="I70" i="5"/>
  <c r="I71" i="5"/>
  <c r="J70" i="5"/>
  <c r="J71" i="5"/>
  <c r="Q39" i="9"/>
  <c r="Q37" i="9" s="1"/>
  <c r="AK189" i="4"/>
  <c r="F43" i="31"/>
  <c r="J11" i="5"/>
  <c r="AA37" i="9"/>
  <c r="AB37" i="9"/>
  <c r="AC37" i="9"/>
  <c r="AD37" i="9"/>
  <c r="AE37" i="9"/>
  <c r="Z37" i="9"/>
  <c r="J41" i="5"/>
  <c r="C26" i="15"/>
  <c r="C100" i="32"/>
  <c r="D100" i="32"/>
  <c r="E100" i="32"/>
  <c r="F100" i="32"/>
  <c r="G100" i="32"/>
  <c r="H100" i="32"/>
  <c r="I100" i="32"/>
  <c r="J100" i="32"/>
  <c r="K100" i="32"/>
  <c r="L100" i="32"/>
  <c r="M100" i="32"/>
  <c r="N100" i="32"/>
  <c r="D15" i="17"/>
  <c r="E15" i="17" s="1"/>
  <c r="H66" i="5"/>
  <c r="I66" i="5"/>
  <c r="J66" i="5"/>
  <c r="K66" i="5"/>
  <c r="L66" i="5"/>
  <c r="M66" i="5"/>
  <c r="N66" i="5"/>
  <c r="O66" i="5"/>
  <c r="H67" i="5"/>
  <c r="I67" i="5"/>
  <c r="J67" i="5"/>
  <c r="K67" i="5"/>
  <c r="L67" i="5"/>
  <c r="M67" i="5"/>
  <c r="N67" i="5"/>
  <c r="O67" i="5"/>
  <c r="H65" i="5"/>
  <c r="I65" i="5"/>
  <c r="J65" i="5"/>
  <c r="K65" i="5"/>
  <c r="L65" i="5"/>
  <c r="M65" i="5"/>
  <c r="N65" i="5"/>
  <c r="O65" i="5"/>
  <c r="I64" i="5"/>
  <c r="J64" i="5"/>
  <c r="K64" i="5"/>
  <c r="L64" i="5"/>
  <c r="M64" i="5"/>
  <c r="N64" i="5"/>
  <c r="O64" i="5"/>
  <c r="H64" i="5"/>
  <c r="BH4" i="31"/>
  <c r="BH5" i="31" s="1"/>
  <c r="BH6" i="31" s="1"/>
  <c r="BH7" i="31" s="1"/>
  <c r="BH8" i="31" s="1"/>
  <c r="BH9" i="31" s="1"/>
  <c r="BH10" i="31" s="1"/>
  <c r="BH11" i="31" s="1"/>
  <c r="BH12" i="31" s="1"/>
  <c r="BH13" i="31" s="1"/>
  <c r="BH14" i="31" s="1"/>
  <c r="BH15" i="31" s="1"/>
  <c r="BH16" i="31" s="1"/>
  <c r="BH17" i="31" s="1"/>
  <c r="BH18" i="31" s="1"/>
  <c r="BH19" i="31" s="1"/>
  <c r="BH20" i="31" s="1"/>
  <c r="BH21" i="31" s="1"/>
  <c r="BH22" i="31" s="1"/>
  <c r="BH23" i="31" s="1"/>
  <c r="BH24" i="31" s="1"/>
  <c r="BH25" i="31" s="1"/>
  <c r="BH26" i="31" s="1"/>
  <c r="BH27" i="31" s="1"/>
  <c r="BH28" i="31" s="1"/>
  <c r="BH29" i="31" s="1"/>
  <c r="BH30" i="31" s="1"/>
  <c r="BH31" i="31" s="1"/>
  <c r="BH32" i="31" s="1"/>
  <c r="BH33" i="31" s="1"/>
  <c r="BI4" i="31"/>
  <c r="BI5" i="31" s="1"/>
  <c r="BI6" i="31" s="1"/>
  <c r="BI7" i="31" s="1"/>
  <c r="BI8" i="31" s="1"/>
  <c r="BI9" i="31" s="1"/>
  <c r="BI10" i="31" s="1"/>
  <c r="BI11" i="31" s="1"/>
  <c r="BI12" i="31" s="1"/>
  <c r="BI13" i="31" s="1"/>
  <c r="BI14" i="31" s="1"/>
  <c r="BI15" i="31" s="1"/>
  <c r="BI16" i="31" s="1"/>
  <c r="BI17" i="31" s="1"/>
  <c r="BI18" i="31" s="1"/>
  <c r="BI19" i="31" s="1"/>
  <c r="BI20" i="31" s="1"/>
  <c r="BI21" i="31" s="1"/>
  <c r="BI22" i="31" s="1"/>
  <c r="BI23" i="31" s="1"/>
  <c r="BI24" i="31" s="1"/>
  <c r="BI25" i="31" s="1"/>
  <c r="BI26" i="31" s="1"/>
  <c r="BI27" i="31" s="1"/>
  <c r="BI28" i="31" s="1"/>
  <c r="BI29" i="31" s="1"/>
  <c r="BI30" i="31" s="1"/>
  <c r="BI31" i="31" s="1"/>
  <c r="BI32" i="31" s="1"/>
  <c r="BI33" i="31" s="1"/>
  <c r="BJ4" i="31"/>
  <c r="BJ5" i="31" s="1"/>
  <c r="BJ6" i="31" s="1"/>
  <c r="BJ7" i="31" s="1"/>
  <c r="BJ8" i="31" s="1"/>
  <c r="BJ9" i="31" s="1"/>
  <c r="BJ10" i="31" s="1"/>
  <c r="BJ11" i="31" s="1"/>
  <c r="BJ12" i="31" s="1"/>
  <c r="BJ13" i="31" s="1"/>
  <c r="BJ14" i="31" s="1"/>
  <c r="BJ15" i="31" s="1"/>
  <c r="BJ16" i="31" s="1"/>
  <c r="BJ17" i="31" s="1"/>
  <c r="BJ18" i="31" s="1"/>
  <c r="BJ19" i="31" s="1"/>
  <c r="BJ20" i="31" s="1"/>
  <c r="BJ21" i="31" s="1"/>
  <c r="BJ22" i="31" s="1"/>
  <c r="BJ23" i="31" s="1"/>
  <c r="BJ24" i="31" s="1"/>
  <c r="BJ25" i="31" s="1"/>
  <c r="BJ26" i="31" s="1"/>
  <c r="BJ27" i="31" s="1"/>
  <c r="BJ28" i="31" s="1"/>
  <c r="BJ29" i="31" s="1"/>
  <c r="BJ30" i="31" s="1"/>
  <c r="BJ31" i="31" s="1"/>
  <c r="BJ32" i="31" s="1"/>
  <c r="BJ33" i="31" s="1"/>
  <c r="BK4" i="31"/>
  <c r="BK5" i="31" s="1"/>
  <c r="BK6" i="31" s="1"/>
  <c r="BK7" i="31" s="1"/>
  <c r="BK8" i="31" s="1"/>
  <c r="BK9" i="31" s="1"/>
  <c r="BK10" i="31" s="1"/>
  <c r="BK11" i="31" s="1"/>
  <c r="BK12" i="31" s="1"/>
  <c r="BK13" i="31" s="1"/>
  <c r="BK14" i="31" s="1"/>
  <c r="BK15" i="31" s="1"/>
  <c r="BK16" i="31" s="1"/>
  <c r="BK17" i="31" s="1"/>
  <c r="BK18" i="31" s="1"/>
  <c r="BK19" i="31" s="1"/>
  <c r="BK20" i="31" s="1"/>
  <c r="BK21" i="31" s="1"/>
  <c r="BK22" i="31" s="1"/>
  <c r="BK23" i="31" s="1"/>
  <c r="BK24" i="31" s="1"/>
  <c r="BK25" i="31" s="1"/>
  <c r="BK26" i="31" s="1"/>
  <c r="BK27" i="31" s="1"/>
  <c r="BK28" i="31" s="1"/>
  <c r="BK29" i="31" s="1"/>
  <c r="BK30" i="31" s="1"/>
  <c r="BK31" i="31" s="1"/>
  <c r="BK32" i="31" s="1"/>
  <c r="BK33" i="31" s="1"/>
  <c r="BL4" i="31"/>
  <c r="BL5" i="31" s="1"/>
  <c r="BL6" i="31" s="1"/>
  <c r="BL7" i="31" s="1"/>
  <c r="BL8" i="31" s="1"/>
  <c r="BL9" i="31" s="1"/>
  <c r="BL10" i="31" s="1"/>
  <c r="BL11" i="31" s="1"/>
  <c r="BL12" i="31" s="1"/>
  <c r="BL13" i="31" s="1"/>
  <c r="BL14" i="31" s="1"/>
  <c r="BL15" i="31" s="1"/>
  <c r="BL16" i="31" s="1"/>
  <c r="BL17" i="31" s="1"/>
  <c r="BL18" i="31" s="1"/>
  <c r="BL19" i="31" s="1"/>
  <c r="BL20" i="31" s="1"/>
  <c r="BL21" i="31" s="1"/>
  <c r="BL22" i="31" s="1"/>
  <c r="BL23" i="31" s="1"/>
  <c r="BL24" i="31" s="1"/>
  <c r="BL25" i="31" s="1"/>
  <c r="BL26" i="31" s="1"/>
  <c r="BL27" i="31" s="1"/>
  <c r="BL28" i="31" s="1"/>
  <c r="BL29" i="31" s="1"/>
  <c r="BL30" i="31" s="1"/>
  <c r="BL31" i="31" s="1"/>
  <c r="BL32" i="31" s="1"/>
  <c r="BL33" i="31" s="1"/>
  <c r="Z119" i="4"/>
  <c r="AU69" i="4" s="1"/>
  <c r="AK23" i="31" s="1"/>
  <c r="M50" i="31"/>
  <c r="M49" i="31"/>
  <c r="J62" i="31"/>
  <c r="J63" i="31"/>
  <c r="BG4" i="31"/>
  <c r="BG5" i="31" s="1"/>
  <c r="BG6" i="31" s="1"/>
  <c r="BG7" i="31" s="1"/>
  <c r="BG8" i="31" s="1"/>
  <c r="BG9" i="31" s="1"/>
  <c r="BG10" i="31" s="1"/>
  <c r="BG11" i="31" s="1"/>
  <c r="BG12" i="31" s="1"/>
  <c r="BG13" i="31" s="1"/>
  <c r="BG14" i="31" s="1"/>
  <c r="BG15" i="31" s="1"/>
  <c r="BG16" i="31" s="1"/>
  <c r="BG17" i="31" s="1"/>
  <c r="BG18" i="31" s="1"/>
  <c r="BG19" i="31" s="1"/>
  <c r="BG20" i="31" s="1"/>
  <c r="BG21" i="31" s="1"/>
  <c r="BG22" i="31" s="1"/>
  <c r="BG23" i="31" s="1"/>
  <c r="BG24" i="31" s="1"/>
  <c r="BG25" i="31" s="1"/>
  <c r="BG26" i="31" s="1"/>
  <c r="BG27" i="31" s="1"/>
  <c r="BG28" i="31" s="1"/>
  <c r="BG29" i="31" s="1"/>
  <c r="BG30" i="31" s="1"/>
  <c r="BG31" i="31" s="1"/>
  <c r="BG32" i="31" s="1"/>
  <c r="BG33" i="31" s="1"/>
  <c r="AP4" i="31"/>
  <c r="AP5" i="31"/>
  <c r="F177" i="4"/>
  <c r="F184" i="4"/>
  <c r="F191" i="4"/>
  <c r="F195" i="4"/>
  <c r="F196" i="4"/>
  <c r="R33" i="5"/>
  <c r="F34" i="5"/>
  <c r="G34" i="5"/>
  <c r="F197" i="4"/>
  <c r="B88" i="1" s="1"/>
  <c r="G123" i="4"/>
  <c r="AX50" i="4" s="1"/>
  <c r="CV4" i="31" s="1"/>
  <c r="CW4" i="31" s="1"/>
  <c r="CX4" i="31" s="1"/>
  <c r="CY4" i="31" s="1"/>
  <c r="CZ4" i="31" s="1"/>
  <c r="DA4" i="31" s="1"/>
  <c r="DB4" i="31" s="1"/>
  <c r="H123" i="4"/>
  <c r="AX51" i="4" s="1"/>
  <c r="CV5" i="31" s="1"/>
  <c r="CW5" i="31" s="1"/>
  <c r="CX5" i="31" s="1"/>
  <c r="CY5" i="31" s="1"/>
  <c r="CZ5" i="31" s="1"/>
  <c r="DA5" i="31" s="1"/>
  <c r="DB5" i="31" s="1"/>
  <c r="I123" i="4"/>
  <c r="AX52" i="4" s="1"/>
  <c r="CV6" i="31" s="1"/>
  <c r="CW6" i="31" s="1"/>
  <c r="CX6" i="31" s="1"/>
  <c r="CY6" i="31" s="1"/>
  <c r="CZ6" i="31" s="1"/>
  <c r="DA6" i="31" s="1"/>
  <c r="DB6" i="31" s="1"/>
  <c r="J123" i="4"/>
  <c r="AX53" i="4" s="1"/>
  <c r="CV7" i="31" s="1"/>
  <c r="CW7" i="31" s="1"/>
  <c r="CX7" i="31" s="1"/>
  <c r="CY7" i="31" s="1"/>
  <c r="CZ7" i="31" s="1"/>
  <c r="DA7" i="31" s="1"/>
  <c r="DB7" i="31" s="1"/>
  <c r="K123" i="4"/>
  <c r="AX54" i="4" s="1"/>
  <c r="CV8" i="31" s="1"/>
  <c r="CW8" i="31" s="1"/>
  <c r="CX8" i="31" s="1"/>
  <c r="CY8" i="31" s="1"/>
  <c r="CZ8" i="31" s="1"/>
  <c r="DA8" i="31" s="1"/>
  <c r="DB8" i="31" s="1"/>
  <c r="L123" i="4"/>
  <c r="M123" i="4"/>
  <c r="AX56" i="4" s="1"/>
  <c r="CV10" i="31" s="1"/>
  <c r="CW10" i="31" s="1"/>
  <c r="CX10" i="31" s="1"/>
  <c r="CY10" i="31" s="1"/>
  <c r="CZ10" i="31" s="1"/>
  <c r="DA10" i="31" s="1"/>
  <c r="DB10" i="31" s="1"/>
  <c r="N123" i="4"/>
  <c r="AX57" i="4" s="1"/>
  <c r="CV11" i="31" s="1"/>
  <c r="CW11" i="31" s="1"/>
  <c r="CX11" i="31" s="1"/>
  <c r="CY11" i="31" s="1"/>
  <c r="CZ11" i="31" s="1"/>
  <c r="DA11" i="31" s="1"/>
  <c r="DB11" i="31" s="1"/>
  <c r="O123" i="4"/>
  <c r="AX58" i="4" s="1"/>
  <c r="CV12" i="31" s="1"/>
  <c r="CW12" i="31" s="1"/>
  <c r="CX12" i="31" s="1"/>
  <c r="CY12" i="31" s="1"/>
  <c r="CZ12" i="31" s="1"/>
  <c r="DA12" i="31" s="1"/>
  <c r="DB12" i="31" s="1"/>
  <c r="P123" i="4"/>
  <c r="AX59" i="4" s="1"/>
  <c r="CV13" i="31" s="1"/>
  <c r="CW13" i="31" s="1"/>
  <c r="CX13" i="31" s="1"/>
  <c r="CY13" i="31" s="1"/>
  <c r="CZ13" i="31" s="1"/>
  <c r="DA13" i="31" s="1"/>
  <c r="DB13" i="31" s="1"/>
  <c r="Q123" i="4"/>
  <c r="AX60" i="4" s="1"/>
  <c r="CV14" i="31" s="1"/>
  <c r="CW14" i="31" s="1"/>
  <c r="CX14" i="31" s="1"/>
  <c r="CY14" i="31" s="1"/>
  <c r="CZ14" i="31" s="1"/>
  <c r="DA14" i="31" s="1"/>
  <c r="DB14" i="31" s="1"/>
  <c r="R123" i="4"/>
  <c r="AX61" i="4" s="1"/>
  <c r="CV15" i="31" s="1"/>
  <c r="CW15" i="31" s="1"/>
  <c r="CX15" i="31" s="1"/>
  <c r="CY15" i="31" s="1"/>
  <c r="CZ15" i="31" s="1"/>
  <c r="DA15" i="31" s="1"/>
  <c r="DB15" i="31" s="1"/>
  <c r="S123" i="4"/>
  <c r="AX62" i="4" s="1"/>
  <c r="CV16" i="31" s="1"/>
  <c r="CW16" i="31" s="1"/>
  <c r="CX16" i="31" s="1"/>
  <c r="CY16" i="31" s="1"/>
  <c r="CZ16" i="31" s="1"/>
  <c r="DA16" i="31" s="1"/>
  <c r="DB16" i="31" s="1"/>
  <c r="T123" i="4"/>
  <c r="U123" i="4"/>
  <c r="V123" i="4"/>
  <c r="AX65" i="4" s="1"/>
  <c r="CV19" i="31" s="1"/>
  <c r="CW19" i="31" s="1"/>
  <c r="CX19" i="31" s="1"/>
  <c r="CY19" i="31" s="1"/>
  <c r="CZ19" i="31" s="1"/>
  <c r="DA19" i="31" s="1"/>
  <c r="DB19" i="31" s="1"/>
  <c r="W123" i="4"/>
  <c r="AX66" i="4" s="1"/>
  <c r="CV20" i="31" s="1"/>
  <c r="CW20" i="31" s="1"/>
  <c r="CX20" i="31" s="1"/>
  <c r="CY20" i="31" s="1"/>
  <c r="CZ20" i="31" s="1"/>
  <c r="DA20" i="31" s="1"/>
  <c r="DB20" i="31" s="1"/>
  <c r="X123" i="4"/>
  <c r="AX67" i="4" s="1"/>
  <c r="CV21" i="31" s="1"/>
  <c r="CW21" i="31" s="1"/>
  <c r="CX21" i="31" s="1"/>
  <c r="CY21" i="31" s="1"/>
  <c r="CZ21" i="31" s="1"/>
  <c r="DA21" i="31" s="1"/>
  <c r="DB21" i="31" s="1"/>
  <c r="Y123" i="4"/>
  <c r="Z123" i="4"/>
  <c r="AX69" i="4" s="1"/>
  <c r="CV23" i="31" s="1"/>
  <c r="CW23" i="31" s="1"/>
  <c r="CX23" i="31" s="1"/>
  <c r="CY23" i="31" s="1"/>
  <c r="CZ23" i="31" s="1"/>
  <c r="DA23" i="31" s="1"/>
  <c r="DB23" i="31" s="1"/>
  <c r="AA123" i="4"/>
  <c r="AX70" i="4" s="1"/>
  <c r="CV24" i="31" s="1"/>
  <c r="CW24" i="31" s="1"/>
  <c r="CX24" i="31" s="1"/>
  <c r="CY24" i="31" s="1"/>
  <c r="CZ24" i="31" s="1"/>
  <c r="DA24" i="31" s="1"/>
  <c r="DB24" i="31" s="1"/>
  <c r="AB123" i="4"/>
  <c r="AX71" i="4" s="1"/>
  <c r="CV25" i="31" s="1"/>
  <c r="CW25" i="31" s="1"/>
  <c r="CX25" i="31" s="1"/>
  <c r="CY25" i="31" s="1"/>
  <c r="CZ25" i="31" s="1"/>
  <c r="DA25" i="31" s="1"/>
  <c r="DB25" i="31" s="1"/>
  <c r="AC123" i="4"/>
  <c r="AD123" i="4"/>
  <c r="AE123" i="4"/>
  <c r="AX74" i="4" s="1"/>
  <c r="CV28" i="31" s="1"/>
  <c r="CW28" i="31" s="1"/>
  <c r="CX28" i="31" s="1"/>
  <c r="CY28" i="31" s="1"/>
  <c r="CZ28" i="31" s="1"/>
  <c r="DA28" i="31" s="1"/>
  <c r="DB28" i="31" s="1"/>
  <c r="AF123" i="4"/>
  <c r="AG123" i="4"/>
  <c r="AH123" i="4"/>
  <c r="AI123" i="4"/>
  <c r="AX78" i="4" s="1"/>
  <c r="CV32" i="31" s="1"/>
  <c r="CW32" i="31" s="1"/>
  <c r="CX32" i="31" s="1"/>
  <c r="CY32" i="31" s="1"/>
  <c r="CZ32" i="31" s="1"/>
  <c r="DA32" i="31" s="1"/>
  <c r="DB32" i="31" s="1"/>
  <c r="AJ123" i="4"/>
  <c r="AX79" i="4" s="1"/>
  <c r="CV33" i="31" s="1"/>
  <c r="G124" i="4"/>
  <c r="AY50" i="4" s="1"/>
  <c r="CA4" i="31" s="1"/>
  <c r="CB4" i="31" s="1"/>
  <c r="CC4" i="31" s="1"/>
  <c r="CD4" i="31" s="1"/>
  <c r="CE4" i="31" s="1"/>
  <c r="CF4" i="31" s="1"/>
  <c r="CG4" i="31" s="1"/>
  <c r="H124" i="4"/>
  <c r="AY51" i="4" s="1"/>
  <c r="CA5" i="31" s="1"/>
  <c r="CB5" i="31" s="1"/>
  <c r="CC5" i="31" s="1"/>
  <c r="CD5" i="31" s="1"/>
  <c r="CE5" i="31" s="1"/>
  <c r="CF5" i="31" s="1"/>
  <c r="CG5" i="31" s="1"/>
  <c r="I124" i="4"/>
  <c r="AY52" i="4" s="1"/>
  <c r="CA6" i="31" s="1"/>
  <c r="J124" i="4"/>
  <c r="AY53" i="4" s="1"/>
  <c r="CA7" i="31" s="1"/>
  <c r="CB7" i="31" s="1"/>
  <c r="CC7" i="31" s="1"/>
  <c r="CD7" i="31" s="1"/>
  <c r="CE7" i="31" s="1"/>
  <c r="CF7" i="31" s="1"/>
  <c r="CG7" i="31" s="1"/>
  <c r="K124" i="4"/>
  <c r="L124" i="4"/>
  <c r="AY55" i="4" s="1"/>
  <c r="CA9" i="31" s="1"/>
  <c r="CB9" i="31" s="1"/>
  <c r="CC9" i="31" s="1"/>
  <c r="CD9" i="31" s="1"/>
  <c r="CE9" i="31" s="1"/>
  <c r="CF9" i="31" s="1"/>
  <c r="CG9" i="31" s="1"/>
  <c r="M124" i="4"/>
  <c r="AY56" i="4" s="1"/>
  <c r="CA10" i="31" s="1"/>
  <c r="CB10" i="31" s="1"/>
  <c r="CC10" i="31" s="1"/>
  <c r="CD10" i="31" s="1"/>
  <c r="CE10" i="31" s="1"/>
  <c r="CF10" i="31" s="1"/>
  <c r="CG10" i="31" s="1"/>
  <c r="N124" i="4"/>
  <c r="O124" i="4"/>
  <c r="AY58" i="4" s="1"/>
  <c r="CA12" i="31" s="1"/>
  <c r="CB12" i="31" s="1"/>
  <c r="CC12" i="31" s="1"/>
  <c r="CD12" i="31" s="1"/>
  <c r="CE12" i="31" s="1"/>
  <c r="CF12" i="31" s="1"/>
  <c r="CG12" i="31" s="1"/>
  <c r="P124" i="4"/>
  <c r="AY59" i="4" s="1"/>
  <c r="CA13" i="31" s="1"/>
  <c r="CB13" i="31" s="1"/>
  <c r="CC13" i="31" s="1"/>
  <c r="CD13" i="31" s="1"/>
  <c r="CE13" i="31" s="1"/>
  <c r="CF13" i="31" s="1"/>
  <c r="CG13" i="31" s="1"/>
  <c r="Q124" i="4"/>
  <c r="AY60" i="4" s="1"/>
  <c r="CA14" i="31" s="1"/>
  <c r="CB14" i="31" s="1"/>
  <c r="CC14" i="31" s="1"/>
  <c r="CD14" i="31" s="1"/>
  <c r="CE14" i="31" s="1"/>
  <c r="CF14" i="31" s="1"/>
  <c r="CG14" i="31" s="1"/>
  <c r="R124" i="4"/>
  <c r="AY61" i="4" s="1"/>
  <c r="CA15" i="31" s="1"/>
  <c r="CB15" i="31" s="1"/>
  <c r="CC15" i="31" s="1"/>
  <c r="CD15" i="31" s="1"/>
  <c r="CE15" i="31" s="1"/>
  <c r="CF15" i="31" s="1"/>
  <c r="CG15" i="31" s="1"/>
  <c r="S124" i="4"/>
  <c r="AY62" i="4" s="1"/>
  <c r="CA16" i="31" s="1"/>
  <c r="CB16" i="31" s="1"/>
  <c r="CC16" i="31" s="1"/>
  <c r="CD16" i="31" s="1"/>
  <c r="CE16" i="31" s="1"/>
  <c r="CF16" i="31" s="1"/>
  <c r="CG16" i="31" s="1"/>
  <c r="T124" i="4"/>
  <c r="AY63" i="4" s="1"/>
  <c r="CA17" i="31" s="1"/>
  <c r="U124" i="4"/>
  <c r="AY64" i="4" s="1"/>
  <c r="CA18" i="31" s="1"/>
  <c r="CB18" i="31" s="1"/>
  <c r="CC18" i="31" s="1"/>
  <c r="CD18" i="31" s="1"/>
  <c r="CE18" i="31" s="1"/>
  <c r="CF18" i="31" s="1"/>
  <c r="CG18" i="31" s="1"/>
  <c r="V124" i="4"/>
  <c r="AY65" i="4" s="1"/>
  <c r="CA19" i="31" s="1"/>
  <c r="CB19" i="31" s="1"/>
  <c r="CC19" i="31" s="1"/>
  <c r="CD19" i="31" s="1"/>
  <c r="CE19" i="31" s="1"/>
  <c r="CF19" i="31" s="1"/>
  <c r="CG19" i="31" s="1"/>
  <c r="W124" i="4"/>
  <c r="AY66" i="4" s="1"/>
  <c r="CA20" i="31" s="1"/>
  <c r="CB20" i="31" s="1"/>
  <c r="CC20" i="31" s="1"/>
  <c r="CD20" i="31" s="1"/>
  <c r="CE20" i="31" s="1"/>
  <c r="CF20" i="31" s="1"/>
  <c r="CG20" i="31" s="1"/>
  <c r="X124" i="4"/>
  <c r="AY67" i="4" s="1"/>
  <c r="CA21" i="31" s="1"/>
  <c r="CB21" i="31" s="1"/>
  <c r="CC21" i="31" s="1"/>
  <c r="CD21" i="31" s="1"/>
  <c r="CE21" i="31" s="1"/>
  <c r="CF21" i="31" s="1"/>
  <c r="CG21" i="31" s="1"/>
  <c r="Y124" i="4"/>
  <c r="Z124" i="4"/>
  <c r="AY69" i="4" s="1"/>
  <c r="CA23" i="31" s="1"/>
  <c r="CB23" i="31" s="1"/>
  <c r="CC23" i="31" s="1"/>
  <c r="CD23" i="31" s="1"/>
  <c r="CE23" i="31" s="1"/>
  <c r="CF23" i="31" s="1"/>
  <c r="CG23" i="31" s="1"/>
  <c r="AA124" i="4"/>
  <c r="AB124" i="4"/>
  <c r="AY71" i="4" s="1"/>
  <c r="CA25" i="31" s="1"/>
  <c r="CB25" i="31" s="1"/>
  <c r="CC25" i="31" s="1"/>
  <c r="CD25" i="31" s="1"/>
  <c r="CE25" i="31" s="1"/>
  <c r="CF25" i="31" s="1"/>
  <c r="CG25" i="31" s="1"/>
  <c r="AC124" i="4"/>
  <c r="AY72" i="4" s="1"/>
  <c r="CA26" i="31" s="1"/>
  <c r="CB26" i="31" s="1"/>
  <c r="CC26" i="31" s="1"/>
  <c r="CD26" i="31" s="1"/>
  <c r="CE26" i="31" s="1"/>
  <c r="CF26" i="31" s="1"/>
  <c r="CG26" i="31" s="1"/>
  <c r="AD124" i="4"/>
  <c r="AY73" i="4" s="1"/>
  <c r="CA27" i="31" s="1"/>
  <c r="CB27" i="31" s="1"/>
  <c r="CC27" i="31" s="1"/>
  <c r="CD27" i="31" s="1"/>
  <c r="CE27" i="31" s="1"/>
  <c r="CF27" i="31" s="1"/>
  <c r="CG27" i="31" s="1"/>
  <c r="AE124" i="4"/>
  <c r="AF124" i="4"/>
  <c r="AG124" i="4"/>
  <c r="AY76" i="4" s="1"/>
  <c r="CA30" i="31" s="1"/>
  <c r="AH124" i="4"/>
  <c r="AY77" i="4" s="1"/>
  <c r="CA31" i="31" s="1"/>
  <c r="AI124" i="4"/>
  <c r="AY78" i="4" s="1"/>
  <c r="CA32" i="31" s="1"/>
  <c r="AJ124" i="4"/>
  <c r="AY79" i="4" s="1"/>
  <c r="CA33" i="31" s="1"/>
  <c r="G125" i="4"/>
  <c r="AZ50" i="4" s="1"/>
  <c r="DQ4" i="31" s="1"/>
  <c r="H125" i="4"/>
  <c r="I125" i="4"/>
  <c r="AZ52" i="4" s="1"/>
  <c r="DQ6" i="31" s="1"/>
  <c r="DR6" i="31" s="1"/>
  <c r="DS6" i="31" s="1"/>
  <c r="DT6" i="31" s="1"/>
  <c r="DU6" i="31" s="1"/>
  <c r="DV6" i="31" s="1"/>
  <c r="DW6" i="31" s="1"/>
  <c r="J125" i="4"/>
  <c r="AZ53" i="4" s="1"/>
  <c r="DQ7" i="31" s="1"/>
  <c r="DR7" i="31" s="1"/>
  <c r="DS7" i="31" s="1"/>
  <c r="DT7" i="31" s="1"/>
  <c r="DU7" i="31" s="1"/>
  <c r="DV7" i="31" s="1"/>
  <c r="DW7" i="31" s="1"/>
  <c r="K125" i="4"/>
  <c r="AZ54" i="4" s="1"/>
  <c r="DQ8" i="31" s="1"/>
  <c r="L125" i="4"/>
  <c r="AZ55" i="4" s="1"/>
  <c r="DQ9" i="31" s="1"/>
  <c r="DR9" i="31" s="1"/>
  <c r="DS9" i="31" s="1"/>
  <c r="DT9" i="31" s="1"/>
  <c r="DU9" i="31" s="1"/>
  <c r="DV9" i="31" s="1"/>
  <c r="DW9" i="31" s="1"/>
  <c r="M125" i="4"/>
  <c r="AZ56" i="4" s="1"/>
  <c r="DQ10" i="31" s="1"/>
  <c r="DR10" i="31" s="1"/>
  <c r="DS10" i="31" s="1"/>
  <c r="DT10" i="31" s="1"/>
  <c r="DU10" i="31" s="1"/>
  <c r="DV10" i="31" s="1"/>
  <c r="DW10" i="31" s="1"/>
  <c r="N125" i="4"/>
  <c r="AZ57" i="4" s="1"/>
  <c r="DQ11" i="31" s="1"/>
  <c r="DR11" i="31" s="1"/>
  <c r="DS11" i="31" s="1"/>
  <c r="DT11" i="31" s="1"/>
  <c r="DU11" i="31" s="1"/>
  <c r="DV11" i="31" s="1"/>
  <c r="DW11" i="31" s="1"/>
  <c r="O125" i="4"/>
  <c r="AZ58" i="4" s="1"/>
  <c r="DQ12" i="31" s="1"/>
  <c r="DR12" i="31" s="1"/>
  <c r="DS12" i="31" s="1"/>
  <c r="DT12" i="31" s="1"/>
  <c r="DU12" i="31" s="1"/>
  <c r="DV12" i="31" s="1"/>
  <c r="DW12" i="31" s="1"/>
  <c r="P125" i="4"/>
  <c r="BD33" i="4" s="1"/>
  <c r="Q125" i="4"/>
  <c r="BE33" i="4" s="1"/>
  <c r="R125" i="4"/>
  <c r="BF33" i="4" s="1"/>
  <c r="S125" i="4"/>
  <c r="AZ62" i="4" s="1"/>
  <c r="DQ16" i="31" s="1"/>
  <c r="T125" i="4"/>
  <c r="U125" i="4"/>
  <c r="BI33" i="4" s="1"/>
  <c r="V125" i="4"/>
  <c r="BJ33" i="4" s="1"/>
  <c r="W125" i="4"/>
  <c r="AZ66" i="4" s="1"/>
  <c r="DQ20" i="31" s="1"/>
  <c r="DR20" i="31" s="1"/>
  <c r="DS20" i="31" s="1"/>
  <c r="X125" i="4"/>
  <c r="AZ67" i="4" s="1"/>
  <c r="DQ21" i="31" s="1"/>
  <c r="DR21" i="31" s="1"/>
  <c r="DS21" i="31" s="1"/>
  <c r="DT21" i="31" s="1"/>
  <c r="DU21" i="31" s="1"/>
  <c r="DV21" i="31" s="1"/>
  <c r="DW21" i="31" s="1"/>
  <c r="Y125" i="4"/>
  <c r="AZ68" i="4" s="1"/>
  <c r="DQ22" i="31" s="1"/>
  <c r="DR22" i="31" s="1"/>
  <c r="DS22" i="31" s="1"/>
  <c r="DT22" i="31" s="1"/>
  <c r="DU22" i="31" s="1"/>
  <c r="DV22" i="31" s="1"/>
  <c r="DW22" i="31" s="1"/>
  <c r="Z125" i="4"/>
  <c r="AA125" i="4"/>
  <c r="AZ70" i="4" s="1"/>
  <c r="DQ24" i="31" s="1"/>
  <c r="DR24" i="31" s="1"/>
  <c r="DS24" i="31" s="1"/>
  <c r="DT24" i="31" s="1"/>
  <c r="DU24" i="31" s="1"/>
  <c r="DV24" i="31" s="1"/>
  <c r="DW24" i="31" s="1"/>
  <c r="AB125" i="4"/>
  <c r="AZ71" i="4" s="1"/>
  <c r="DQ25" i="31" s="1"/>
  <c r="AC125" i="4"/>
  <c r="AZ72" i="4" s="1"/>
  <c r="DQ26" i="31" s="1"/>
  <c r="DR26" i="31" s="1"/>
  <c r="DS26" i="31" s="1"/>
  <c r="DT26" i="31" s="1"/>
  <c r="DU26" i="31" s="1"/>
  <c r="DV26" i="31" s="1"/>
  <c r="DW26" i="31" s="1"/>
  <c r="AD125" i="4"/>
  <c r="AZ73" i="4" s="1"/>
  <c r="DQ27" i="31" s="1"/>
  <c r="DR27" i="31" s="1"/>
  <c r="DS27" i="31" s="1"/>
  <c r="DT27" i="31" s="1"/>
  <c r="DU27" i="31" s="1"/>
  <c r="DV27" i="31" s="1"/>
  <c r="DW27" i="31" s="1"/>
  <c r="AE125" i="4"/>
  <c r="BS33" i="4" s="1"/>
  <c r="AF125" i="4"/>
  <c r="BT33" i="4" s="1"/>
  <c r="AG125" i="4"/>
  <c r="BU33" i="4" s="1"/>
  <c r="AH125" i="4"/>
  <c r="BV33" i="4" s="1"/>
  <c r="AI125" i="4"/>
  <c r="BW33" i="4" s="1"/>
  <c r="AJ125" i="4"/>
  <c r="F125" i="4"/>
  <c r="AT33" i="4" s="1"/>
  <c r="F124" i="4"/>
  <c r="AY49" i="4" s="1"/>
  <c r="CA3" i="31" s="1"/>
  <c r="F123" i="4"/>
  <c r="AX49" i="4" s="1"/>
  <c r="CV3" i="31" s="1"/>
  <c r="CK3" i="31" s="1"/>
  <c r="CR4" i="31" s="1"/>
  <c r="G119" i="4"/>
  <c r="H119" i="4"/>
  <c r="AU51" i="4" s="1"/>
  <c r="AK5" i="31" s="1"/>
  <c r="I119" i="4"/>
  <c r="AU52" i="4" s="1"/>
  <c r="AK6" i="31" s="1"/>
  <c r="J119" i="4"/>
  <c r="AU53" i="4" s="1"/>
  <c r="AK7" i="31" s="1"/>
  <c r="K119" i="4"/>
  <c r="AU54" i="4" s="1"/>
  <c r="AK8" i="31" s="1"/>
  <c r="L119" i="4"/>
  <c r="M119" i="4"/>
  <c r="N119" i="4"/>
  <c r="AU57" i="4" s="1"/>
  <c r="AK11" i="31" s="1"/>
  <c r="O119" i="4"/>
  <c r="AU58" i="4" s="1"/>
  <c r="AK12" i="31" s="1"/>
  <c r="P119" i="4"/>
  <c r="AU59" i="4" s="1"/>
  <c r="AK13" i="31" s="1"/>
  <c r="Q119" i="4"/>
  <c r="AU60" i="4" s="1"/>
  <c r="AK14" i="31" s="1"/>
  <c r="R119" i="4"/>
  <c r="AU61" i="4" s="1"/>
  <c r="AK15" i="31" s="1"/>
  <c r="S119" i="4"/>
  <c r="AU62" i="4" s="1"/>
  <c r="AK16" i="31" s="1"/>
  <c r="T119" i="4"/>
  <c r="AU63" i="4" s="1"/>
  <c r="AK17" i="31" s="1"/>
  <c r="U119" i="4"/>
  <c r="V119" i="4"/>
  <c r="AU65" i="4" s="1"/>
  <c r="AK19" i="31" s="1"/>
  <c r="W119" i="4"/>
  <c r="AU66" i="4" s="1"/>
  <c r="AK20" i="31" s="1"/>
  <c r="X119" i="4"/>
  <c r="Y119" i="4"/>
  <c r="AU68" i="4" s="1"/>
  <c r="AK22" i="31" s="1"/>
  <c r="AA119" i="4"/>
  <c r="AB119" i="4"/>
  <c r="AC119" i="4"/>
  <c r="AD119" i="4"/>
  <c r="AE119" i="4"/>
  <c r="AU74" i="4" s="1"/>
  <c r="AK28" i="31" s="1"/>
  <c r="AF119" i="4"/>
  <c r="AU75" i="4" s="1"/>
  <c r="AK29" i="31" s="1"/>
  <c r="AG119" i="4"/>
  <c r="AU76" i="4" s="1"/>
  <c r="AK30" i="31" s="1"/>
  <c r="AH119" i="4"/>
  <c r="AU77" i="4" s="1"/>
  <c r="AK31" i="31" s="1"/>
  <c r="AI119" i="4"/>
  <c r="AU78" i="4" s="1"/>
  <c r="AK32" i="31" s="1"/>
  <c r="AJ119" i="4"/>
  <c r="AU79" i="4" s="1"/>
  <c r="AK33" i="31" s="1"/>
  <c r="G120" i="4"/>
  <c r="AV50" i="4" s="1"/>
  <c r="P4" i="31" s="1"/>
  <c r="H120" i="4"/>
  <c r="AV51" i="4" s="1"/>
  <c r="P5" i="31" s="1"/>
  <c r="I120" i="4"/>
  <c r="AV52" i="4" s="1"/>
  <c r="P6" i="31" s="1"/>
  <c r="J120" i="4"/>
  <c r="AV53" i="4" s="1"/>
  <c r="P7" i="31" s="1"/>
  <c r="K120" i="4"/>
  <c r="AV54" i="4" s="1"/>
  <c r="P8" i="31" s="1"/>
  <c r="L120" i="4"/>
  <c r="AV55" i="4" s="1"/>
  <c r="P9" i="31" s="1"/>
  <c r="M120" i="4"/>
  <c r="AV56" i="4" s="1"/>
  <c r="P10" i="31" s="1"/>
  <c r="N120" i="4"/>
  <c r="AV57" i="4" s="1"/>
  <c r="P11" i="31" s="1"/>
  <c r="O120" i="4"/>
  <c r="AV58" i="4" s="1"/>
  <c r="P12" i="31" s="1"/>
  <c r="P120" i="4"/>
  <c r="AV59" i="4" s="1"/>
  <c r="P13" i="31" s="1"/>
  <c r="AV60" i="4"/>
  <c r="P14" i="31" s="1"/>
  <c r="R120" i="4"/>
  <c r="S120" i="4"/>
  <c r="AV62" i="4" s="1"/>
  <c r="P16" i="31" s="1"/>
  <c r="T120" i="4"/>
  <c r="AV63" i="4" s="1"/>
  <c r="P17" i="31" s="1"/>
  <c r="U120" i="4"/>
  <c r="AV64" i="4" s="1"/>
  <c r="P18" i="31" s="1"/>
  <c r="V120" i="4"/>
  <c r="AV65" i="4" s="1"/>
  <c r="P19" i="31" s="1"/>
  <c r="W120" i="4"/>
  <c r="AV66" i="4" s="1"/>
  <c r="P20" i="31" s="1"/>
  <c r="X120" i="4"/>
  <c r="AV67" i="4" s="1"/>
  <c r="P21" i="31" s="1"/>
  <c r="Y120" i="4"/>
  <c r="AV68" i="4" s="1"/>
  <c r="P22" i="31" s="1"/>
  <c r="Z120" i="4"/>
  <c r="AV69" i="4" s="1"/>
  <c r="P23" i="31" s="1"/>
  <c r="AA120" i="4"/>
  <c r="AB120" i="4"/>
  <c r="AV71" i="4" s="1"/>
  <c r="P25" i="31" s="1"/>
  <c r="AC120" i="4"/>
  <c r="AV72" i="4" s="1"/>
  <c r="P26" i="31" s="1"/>
  <c r="AD120" i="4"/>
  <c r="AV73" i="4" s="1"/>
  <c r="P27" i="31" s="1"/>
  <c r="AE120" i="4"/>
  <c r="AV74" i="4" s="1"/>
  <c r="P28" i="31" s="1"/>
  <c r="AF120" i="4"/>
  <c r="AV75" i="4" s="1"/>
  <c r="P29" i="31" s="1"/>
  <c r="AG120" i="4"/>
  <c r="AV76" i="4" s="1"/>
  <c r="P30" i="31" s="1"/>
  <c r="AH120" i="4"/>
  <c r="AI120" i="4"/>
  <c r="AV78" i="4" s="1"/>
  <c r="P32" i="31" s="1"/>
  <c r="AJ120" i="4"/>
  <c r="AV79" i="4" s="1"/>
  <c r="P33" i="31" s="1"/>
  <c r="G121" i="4"/>
  <c r="AW50" i="4" s="1"/>
  <c r="BF4" i="31" s="1"/>
  <c r="H121" i="4"/>
  <c r="AW51" i="4" s="1"/>
  <c r="BF5" i="31" s="1"/>
  <c r="I121" i="4"/>
  <c r="J121" i="4"/>
  <c r="AW53" i="4" s="1"/>
  <c r="BF7" i="31" s="1"/>
  <c r="K121" i="4"/>
  <c r="AW54" i="4" s="1"/>
  <c r="BF8" i="31" s="1"/>
  <c r="L121" i="4"/>
  <c r="AW55" i="4" s="1"/>
  <c r="BF9" i="31" s="1"/>
  <c r="M121" i="4"/>
  <c r="AW56" i="4" s="1"/>
  <c r="BF10" i="31" s="1"/>
  <c r="N121" i="4"/>
  <c r="O121" i="4"/>
  <c r="AW58" i="4" s="1"/>
  <c r="BF12" i="31" s="1"/>
  <c r="P121" i="4"/>
  <c r="AW59" i="4" s="1"/>
  <c r="BF13" i="31" s="1"/>
  <c r="Q121" i="4"/>
  <c r="AW60" i="4" s="1"/>
  <c r="BF14" i="31" s="1"/>
  <c r="R121" i="4"/>
  <c r="AW61" i="4" s="1"/>
  <c r="BF15" i="31" s="1"/>
  <c r="S121" i="4"/>
  <c r="AW62" i="4" s="1"/>
  <c r="BF16" i="31" s="1"/>
  <c r="T121" i="4"/>
  <c r="AW63" i="4" s="1"/>
  <c r="BF17" i="31" s="1"/>
  <c r="U121" i="4"/>
  <c r="AW64" i="4" s="1"/>
  <c r="BF18" i="31" s="1"/>
  <c r="V121" i="4"/>
  <c r="AW65" i="4" s="1"/>
  <c r="BF19" i="31" s="1"/>
  <c r="W121" i="4"/>
  <c r="AW66" i="4" s="1"/>
  <c r="BF20" i="31" s="1"/>
  <c r="X121" i="4"/>
  <c r="AW67" i="4" s="1"/>
  <c r="BF21" i="31" s="1"/>
  <c r="Y121" i="4"/>
  <c r="AW68" i="4" s="1"/>
  <c r="BF22" i="31" s="1"/>
  <c r="Z121" i="4"/>
  <c r="AA121" i="4"/>
  <c r="AW70" i="4" s="1"/>
  <c r="BF24" i="31" s="1"/>
  <c r="AB121" i="4"/>
  <c r="AW71" i="4" s="1"/>
  <c r="BF25" i="31" s="1"/>
  <c r="AC121" i="4"/>
  <c r="AW72" i="4" s="1"/>
  <c r="BF26" i="31" s="1"/>
  <c r="AD121" i="4"/>
  <c r="AW73" i="4" s="1"/>
  <c r="BF27" i="31" s="1"/>
  <c r="AE121" i="4"/>
  <c r="AW74" i="4" s="1"/>
  <c r="BF28" i="31" s="1"/>
  <c r="AF121" i="4"/>
  <c r="AW75" i="4" s="1"/>
  <c r="BF29" i="31" s="1"/>
  <c r="AG121" i="4"/>
  <c r="AW76" i="4" s="1"/>
  <c r="BF30" i="31" s="1"/>
  <c r="AH121" i="4"/>
  <c r="AW77" i="4" s="1"/>
  <c r="BF31" i="31" s="1"/>
  <c r="AI121" i="4"/>
  <c r="AW78" i="4" s="1"/>
  <c r="BF32" i="31" s="1"/>
  <c r="AJ121" i="4"/>
  <c r="AW79" i="4" s="1"/>
  <c r="BF33" i="31" s="1"/>
  <c r="F121" i="4"/>
  <c r="F120" i="4"/>
  <c r="AV49" i="4" s="1"/>
  <c r="P3" i="31" s="1"/>
  <c r="F119" i="4"/>
  <c r="AU49" i="4" s="1"/>
  <c r="AK3" i="31" s="1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AK164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AJ157" i="4"/>
  <c r="AI157" i="4"/>
  <c r="AI156" i="4" s="1"/>
  <c r="AI35" i="9" s="1"/>
  <c r="AH157" i="4"/>
  <c r="AG157" i="4"/>
  <c r="AF157" i="4"/>
  <c r="AE157" i="4"/>
  <c r="AD157" i="4"/>
  <c r="AC157" i="4"/>
  <c r="BAE10" i="15" s="1"/>
  <c r="AB157" i="4"/>
  <c r="AA157" i="4"/>
  <c r="Z157" i="4"/>
  <c r="BAB10" i="15" s="1"/>
  <c r="Y157" i="4"/>
  <c r="X157" i="4"/>
  <c r="AZZ10" i="15" s="1"/>
  <c r="W157" i="4"/>
  <c r="V157" i="4"/>
  <c r="U157" i="4"/>
  <c r="T157" i="4"/>
  <c r="AMO10" i="15" s="1"/>
  <c r="S157" i="4"/>
  <c r="R157" i="4"/>
  <c r="AMM10" i="15" s="1"/>
  <c r="Q157" i="4"/>
  <c r="ZD10" i="15" s="1"/>
  <c r="P157" i="4"/>
  <c r="M10" i="15" s="1"/>
  <c r="O157" i="4"/>
  <c r="N157" i="4"/>
  <c r="M157" i="4"/>
  <c r="AZO10" i="15" s="1"/>
  <c r="L157" i="4"/>
  <c r="YY10" i="15" s="1"/>
  <c r="K157" i="4"/>
  <c r="YX10" i="15" s="1"/>
  <c r="J157" i="4"/>
  <c r="AZL10" i="15" s="1"/>
  <c r="I157" i="4"/>
  <c r="H157" i="4"/>
  <c r="E10" i="15" s="1"/>
  <c r="G157" i="4"/>
  <c r="AZ78" i="4"/>
  <c r="DQ32" i="31" s="1"/>
  <c r="DR32" i="31" s="1"/>
  <c r="DS32" i="31" s="1"/>
  <c r="DT32" i="31" s="1"/>
  <c r="DU32" i="31" s="1"/>
  <c r="DV32" i="31" s="1"/>
  <c r="DW32" i="31" s="1"/>
  <c r="BP33" i="4"/>
  <c r="AD122" i="4"/>
  <c r="AA122" i="4"/>
  <c r="W122" i="4"/>
  <c r="BO33" i="4"/>
  <c r="AX68" i="4"/>
  <c r="CV22" i="31" s="1"/>
  <c r="CW22" i="31" s="1"/>
  <c r="CX22" i="31" s="1"/>
  <c r="CY22" i="31" s="1"/>
  <c r="CZ22" i="31" s="1"/>
  <c r="DA22" i="31" s="1"/>
  <c r="DB22" i="31" s="1"/>
  <c r="AY70" i="4"/>
  <c r="CA24" i="31" s="1"/>
  <c r="CB24" i="31" s="1"/>
  <c r="CC24" i="31" s="1"/>
  <c r="CD24" i="31" s="1"/>
  <c r="CE24" i="31" s="1"/>
  <c r="CF24" i="31" s="1"/>
  <c r="CG24" i="31" s="1"/>
  <c r="BR33" i="4"/>
  <c r="AZ76" i="4"/>
  <c r="DQ30" i="31" s="1"/>
  <c r="DR30" i="31" s="1"/>
  <c r="DS30" i="31" s="1"/>
  <c r="DT30" i="31" s="1"/>
  <c r="DU30" i="31" s="1"/>
  <c r="DV30" i="31" s="1"/>
  <c r="DW30" i="31" s="1"/>
  <c r="AX72" i="4"/>
  <c r="CV26" i="31" s="1"/>
  <c r="CW26" i="31" s="1"/>
  <c r="CX26" i="31" s="1"/>
  <c r="CY26" i="31" s="1"/>
  <c r="CZ26" i="31" s="1"/>
  <c r="DA26" i="31" s="1"/>
  <c r="DB26" i="31" s="1"/>
  <c r="AU70" i="4"/>
  <c r="AK24" i="31" s="1"/>
  <c r="AX73" i="4"/>
  <c r="CV27" i="31" s="1"/>
  <c r="CW27" i="31" s="1"/>
  <c r="CX27" i="31" s="1"/>
  <c r="CY27" i="31" s="1"/>
  <c r="CZ27" i="31" s="1"/>
  <c r="DA27" i="31" s="1"/>
  <c r="DB27" i="31" s="1"/>
  <c r="AU71" i="4"/>
  <c r="AK25" i="31" s="1"/>
  <c r="BM33" i="4"/>
  <c r="AU55" i="4"/>
  <c r="AK9" i="31" s="1"/>
  <c r="AX75" i="4"/>
  <c r="CV29" i="31" s="1"/>
  <c r="CW29" i="31" s="1"/>
  <c r="CX29" i="31" s="1"/>
  <c r="CY29" i="31" s="1"/>
  <c r="CZ29" i="31" s="1"/>
  <c r="DA29" i="31" s="1"/>
  <c r="DB29" i="31" s="1"/>
  <c r="AZ65" i="4"/>
  <c r="DQ19" i="31"/>
  <c r="DR19" i="31" s="1"/>
  <c r="DS19" i="31" s="1"/>
  <c r="DT19" i="31" s="1"/>
  <c r="DU19" i="31" s="1"/>
  <c r="DV19" i="31" s="1"/>
  <c r="DW19" i="31" s="1"/>
  <c r="AX76" i="4"/>
  <c r="CV30" i="31" s="1"/>
  <c r="CW30" i="31" s="1"/>
  <c r="CX30" i="31" s="1"/>
  <c r="CY30" i="31" s="1"/>
  <c r="CZ30" i="31" s="1"/>
  <c r="DA30" i="31" s="1"/>
  <c r="DB30" i="31" s="1"/>
  <c r="BK33" i="4"/>
  <c r="AX77" i="4"/>
  <c r="CV31" i="31" s="1"/>
  <c r="CW31" i="31" s="1"/>
  <c r="CX31" i="31" s="1"/>
  <c r="CY31" i="31" s="1"/>
  <c r="CZ31" i="31" s="1"/>
  <c r="DA31" i="31" s="1"/>
  <c r="DB31" i="31" s="1"/>
  <c r="AX64" i="4"/>
  <c r="CV18" i="31" s="1"/>
  <c r="CW18" i="31" s="1"/>
  <c r="CX18" i="31" s="1"/>
  <c r="CY18" i="31" s="1"/>
  <c r="CZ18" i="31" s="1"/>
  <c r="DA18" i="31" s="1"/>
  <c r="DB18" i="31" s="1"/>
  <c r="Z41" i="32"/>
  <c r="AA41" i="32"/>
  <c r="AB41" i="32"/>
  <c r="AC41" i="32"/>
  <c r="AD41" i="32"/>
  <c r="AE41" i="32"/>
  <c r="Z42" i="32"/>
  <c r="AA42" i="32"/>
  <c r="AB42" i="32"/>
  <c r="AC42" i="32"/>
  <c r="AD42" i="32"/>
  <c r="AE42" i="32"/>
  <c r="Z43" i="32"/>
  <c r="AA43" i="32"/>
  <c r="AB43" i="32"/>
  <c r="AC43" i="32"/>
  <c r="AD43" i="32"/>
  <c r="AE43" i="32"/>
  <c r="Z44" i="32"/>
  <c r="AA44" i="32"/>
  <c r="AB44" i="32"/>
  <c r="AC44" i="32"/>
  <c r="AD44" i="32"/>
  <c r="AE44" i="32"/>
  <c r="Z45" i="32"/>
  <c r="AA45" i="32"/>
  <c r="AB45" i="32"/>
  <c r="AC45" i="32"/>
  <c r="AD45" i="32"/>
  <c r="AE45" i="32"/>
  <c r="Z46" i="32"/>
  <c r="AA46" i="32"/>
  <c r="AB46" i="32"/>
  <c r="AC46" i="32"/>
  <c r="AD46" i="32"/>
  <c r="AE46" i="32"/>
  <c r="Z47" i="32"/>
  <c r="AA47" i="32"/>
  <c r="AB47" i="32"/>
  <c r="AC47" i="32"/>
  <c r="AD47" i="32"/>
  <c r="AE47" i="32"/>
  <c r="Z48" i="32"/>
  <c r="AA48" i="32"/>
  <c r="AB48" i="32"/>
  <c r="AC48" i="32"/>
  <c r="AD48" i="32"/>
  <c r="AE48" i="32"/>
  <c r="Z49" i="32"/>
  <c r="AA49" i="32"/>
  <c r="AB49" i="32"/>
  <c r="AC49" i="32"/>
  <c r="AD49" i="32"/>
  <c r="AE49" i="32"/>
  <c r="Z50" i="32"/>
  <c r="AA50" i="32"/>
  <c r="AB50" i="32"/>
  <c r="AC50" i="32"/>
  <c r="AD50" i="32"/>
  <c r="AE50" i="32"/>
  <c r="Z51" i="32"/>
  <c r="AA51" i="32"/>
  <c r="AB51" i="32"/>
  <c r="AC51" i="32"/>
  <c r="AD51" i="32"/>
  <c r="AE51" i="32"/>
  <c r="Z52" i="32"/>
  <c r="AA52" i="32"/>
  <c r="AB52" i="32"/>
  <c r="AC52" i="32"/>
  <c r="AD52" i="32"/>
  <c r="AE52" i="32"/>
  <c r="Z53" i="32"/>
  <c r="AA53" i="32"/>
  <c r="AB53" i="32"/>
  <c r="AC53" i="32"/>
  <c r="AD53" i="32"/>
  <c r="AE53" i="32"/>
  <c r="Z54" i="32"/>
  <c r="AA54" i="32"/>
  <c r="AB54" i="32"/>
  <c r="AC54" i="32"/>
  <c r="AD54" i="32"/>
  <c r="AE54" i="32"/>
  <c r="Z55" i="32"/>
  <c r="AA55" i="32"/>
  <c r="AB55" i="32"/>
  <c r="AC55" i="32"/>
  <c r="AD55" i="32"/>
  <c r="AE55" i="32"/>
  <c r="Z56" i="32"/>
  <c r="AA56" i="32"/>
  <c r="AB56" i="32"/>
  <c r="AC56" i="32"/>
  <c r="AD56" i="32"/>
  <c r="AE56" i="32"/>
  <c r="Z57" i="32"/>
  <c r="AA57" i="32"/>
  <c r="AB57" i="32"/>
  <c r="AC57" i="32"/>
  <c r="AD57" i="32"/>
  <c r="AE57" i="32"/>
  <c r="Z58" i="32"/>
  <c r="AA58" i="32"/>
  <c r="AB58" i="32"/>
  <c r="AC58" i="32"/>
  <c r="AD58" i="32"/>
  <c r="AE58" i="32"/>
  <c r="Z59" i="32"/>
  <c r="AA59" i="32"/>
  <c r="AB59" i="32"/>
  <c r="AC59" i="32"/>
  <c r="AD59" i="32"/>
  <c r="AE59" i="32"/>
  <c r="Z60" i="32"/>
  <c r="AA60" i="32"/>
  <c r="AB60" i="32"/>
  <c r="AC60" i="32"/>
  <c r="AD60" i="32"/>
  <c r="AE60" i="32"/>
  <c r="Z61" i="32"/>
  <c r="AA61" i="32"/>
  <c r="AB61" i="32"/>
  <c r="AC61" i="32"/>
  <c r="AD61" i="32"/>
  <c r="AE61" i="32"/>
  <c r="Z62" i="32"/>
  <c r="AA62" i="32"/>
  <c r="AB62" i="32"/>
  <c r="AC62" i="32"/>
  <c r="AD62" i="32"/>
  <c r="AE62" i="32"/>
  <c r="Z63" i="32"/>
  <c r="AA63" i="32"/>
  <c r="AB63" i="32"/>
  <c r="AC63" i="32"/>
  <c r="AD63" i="32"/>
  <c r="AE63" i="32"/>
  <c r="Z64" i="32"/>
  <c r="AA64" i="32"/>
  <c r="AB64" i="32"/>
  <c r="AC64" i="32"/>
  <c r="AD64" i="32"/>
  <c r="AE64" i="32"/>
  <c r="Z65" i="32"/>
  <c r="AA65" i="32"/>
  <c r="AB65" i="32"/>
  <c r="AC65" i="32"/>
  <c r="AD65" i="32"/>
  <c r="AE65" i="32"/>
  <c r="Z66" i="32"/>
  <c r="AA66" i="32"/>
  <c r="AB66" i="32"/>
  <c r="AC66" i="32"/>
  <c r="AD66" i="32"/>
  <c r="AE66" i="32"/>
  <c r="Z67" i="32"/>
  <c r="AA67" i="32"/>
  <c r="AB67" i="32"/>
  <c r="AC67" i="32"/>
  <c r="AD67" i="32"/>
  <c r="AE67" i="32"/>
  <c r="Z68" i="32"/>
  <c r="AA68" i="32"/>
  <c r="AB68" i="32"/>
  <c r="AC68" i="32"/>
  <c r="AD68" i="32"/>
  <c r="AE68" i="32"/>
  <c r="AA40" i="32"/>
  <c r="AB40" i="32"/>
  <c r="AC40" i="32"/>
  <c r="AD40" i="32"/>
  <c r="AE40" i="32"/>
  <c r="Z40" i="32"/>
  <c r="AA39" i="32"/>
  <c r="AB39" i="32"/>
  <c r="AC39" i="32"/>
  <c r="AD39" i="32"/>
  <c r="AE39" i="32"/>
  <c r="AA38" i="32"/>
  <c r="AB38" i="32"/>
  <c r="AC38" i="32"/>
  <c r="AD38" i="32"/>
  <c r="AE38" i="32"/>
  <c r="Z39" i="32"/>
  <c r="Z38" i="32"/>
  <c r="AF38" i="32"/>
  <c r="AF58" i="32"/>
  <c r="AF64" i="32"/>
  <c r="AF44" i="32"/>
  <c r="AF61" i="32"/>
  <c r="AF57" i="32"/>
  <c r="AF67" i="32"/>
  <c r="AF66" i="32"/>
  <c r="AF56" i="32"/>
  <c r="AF62" i="32"/>
  <c r="AF55" i="32"/>
  <c r="AF68" i="32"/>
  <c r="AF65" i="32"/>
  <c r="AF63" i="32"/>
  <c r="AF60" i="32"/>
  <c r="AF59" i="32"/>
  <c r="AF53" i="32"/>
  <c r="AF51" i="32"/>
  <c r="AF45" i="32"/>
  <c r="AF43" i="32"/>
  <c r="AF41" i="32"/>
  <c r="AF49" i="32"/>
  <c r="AF54" i="32"/>
  <c r="AF46" i="32"/>
  <c r="AF48" i="32"/>
  <c r="AF42" i="32"/>
  <c r="AF47" i="32"/>
  <c r="AF50" i="32"/>
  <c r="AF52" i="32"/>
  <c r="AF40" i="32"/>
  <c r="AF39" i="32"/>
  <c r="AF69" i="32"/>
  <c r="Q38" i="32"/>
  <c r="R38" i="32"/>
  <c r="S38" i="32"/>
  <c r="Q39" i="32"/>
  <c r="R39" i="32"/>
  <c r="S39" i="32"/>
  <c r="Q40" i="32"/>
  <c r="R40" i="32"/>
  <c r="S40" i="32"/>
  <c r="Q41" i="32"/>
  <c r="R41" i="32"/>
  <c r="S41" i="32"/>
  <c r="Q42" i="32"/>
  <c r="R42" i="32"/>
  <c r="S42" i="32"/>
  <c r="Q43" i="32"/>
  <c r="R43" i="32"/>
  <c r="S43" i="32"/>
  <c r="Q44" i="32"/>
  <c r="R44" i="32"/>
  <c r="S44" i="32"/>
  <c r="Q45" i="32"/>
  <c r="R45" i="32"/>
  <c r="S45" i="32"/>
  <c r="Q46" i="32"/>
  <c r="R46" i="32"/>
  <c r="S46" i="32"/>
  <c r="T46" i="32" s="1"/>
  <c r="Q47" i="32"/>
  <c r="R47" i="32"/>
  <c r="S47" i="32"/>
  <c r="T47" i="32" s="1"/>
  <c r="Q48" i="32"/>
  <c r="R48" i="32"/>
  <c r="S48" i="32"/>
  <c r="Q49" i="32"/>
  <c r="R49" i="32"/>
  <c r="S49" i="32"/>
  <c r="Q50" i="32"/>
  <c r="R50" i="32"/>
  <c r="S50" i="32"/>
  <c r="Q51" i="32"/>
  <c r="R51" i="32"/>
  <c r="S51" i="32"/>
  <c r="Q52" i="32"/>
  <c r="R52" i="32"/>
  <c r="S52" i="32"/>
  <c r="Q53" i="32"/>
  <c r="R53" i="32"/>
  <c r="S53" i="32"/>
  <c r="Q54" i="32"/>
  <c r="R54" i="32"/>
  <c r="S54" i="32"/>
  <c r="T54" i="32" s="1"/>
  <c r="Q55" i="32"/>
  <c r="R55" i="32"/>
  <c r="S55" i="32"/>
  <c r="Q56" i="32"/>
  <c r="R56" i="32"/>
  <c r="S56" i="32"/>
  <c r="Q57" i="32"/>
  <c r="R57" i="32"/>
  <c r="S57" i="32"/>
  <c r="Q58" i="32"/>
  <c r="R58" i="32"/>
  <c r="S58" i="32"/>
  <c r="Q59" i="32"/>
  <c r="R59" i="32"/>
  <c r="S59" i="32"/>
  <c r="Q60" i="32"/>
  <c r="R60" i="32"/>
  <c r="S60" i="32"/>
  <c r="Q61" i="32"/>
  <c r="R61" i="32"/>
  <c r="S61" i="32"/>
  <c r="Q62" i="32"/>
  <c r="R62" i="32"/>
  <c r="S62" i="32"/>
  <c r="Q63" i="32"/>
  <c r="R63" i="32"/>
  <c r="S63" i="32"/>
  <c r="T63" i="32" s="1"/>
  <c r="Q64" i="32"/>
  <c r="R64" i="32"/>
  <c r="S64" i="32"/>
  <c r="Q65" i="32"/>
  <c r="R65" i="32"/>
  <c r="S65" i="32"/>
  <c r="Q66" i="32"/>
  <c r="R66" i="32"/>
  <c r="S66" i="32"/>
  <c r="Q67" i="32"/>
  <c r="R67" i="32"/>
  <c r="S67" i="32"/>
  <c r="Q68" i="32"/>
  <c r="R68" i="32"/>
  <c r="S68" i="32"/>
  <c r="X68" i="32"/>
  <c r="W68" i="32"/>
  <c r="V68" i="32"/>
  <c r="U68" i="32"/>
  <c r="X67" i="32"/>
  <c r="W67" i="32"/>
  <c r="V67" i="32"/>
  <c r="U67" i="32"/>
  <c r="X66" i="32"/>
  <c r="W66" i="32"/>
  <c r="V66" i="32"/>
  <c r="U66" i="32"/>
  <c r="X65" i="32"/>
  <c r="W65" i="32"/>
  <c r="V65" i="32"/>
  <c r="U65" i="32"/>
  <c r="X64" i="32"/>
  <c r="W64" i="32"/>
  <c r="V64" i="32"/>
  <c r="U64" i="32"/>
  <c r="X63" i="32"/>
  <c r="W63" i="32"/>
  <c r="V63" i="32"/>
  <c r="U63" i="32"/>
  <c r="X62" i="32"/>
  <c r="W62" i="32"/>
  <c r="V62" i="32"/>
  <c r="U62" i="32"/>
  <c r="X61" i="32"/>
  <c r="W61" i="32"/>
  <c r="V61" i="32"/>
  <c r="U61" i="32"/>
  <c r="X60" i="32"/>
  <c r="W60" i="32"/>
  <c r="V60" i="32"/>
  <c r="U60" i="32"/>
  <c r="X59" i="32"/>
  <c r="W59" i="32"/>
  <c r="V59" i="32"/>
  <c r="U59" i="32"/>
  <c r="X58" i="32"/>
  <c r="W58" i="32"/>
  <c r="V58" i="32"/>
  <c r="U58" i="32"/>
  <c r="X57" i="32"/>
  <c r="W57" i="32"/>
  <c r="V57" i="32"/>
  <c r="U57" i="32"/>
  <c r="X56" i="32"/>
  <c r="W56" i="32"/>
  <c r="V56" i="32"/>
  <c r="U56" i="32"/>
  <c r="X55" i="32"/>
  <c r="W55" i="32"/>
  <c r="V55" i="32"/>
  <c r="U55" i="32"/>
  <c r="X54" i="32"/>
  <c r="W54" i="32"/>
  <c r="V54" i="32"/>
  <c r="U54" i="32"/>
  <c r="X53" i="32"/>
  <c r="W53" i="32"/>
  <c r="V53" i="32"/>
  <c r="U53" i="32"/>
  <c r="X52" i="32"/>
  <c r="W52" i="32"/>
  <c r="V52" i="32"/>
  <c r="U52" i="32"/>
  <c r="X51" i="32"/>
  <c r="W51" i="32"/>
  <c r="V51" i="32"/>
  <c r="U51" i="32"/>
  <c r="X50" i="32"/>
  <c r="W50" i="32"/>
  <c r="V50" i="32"/>
  <c r="U50" i="32"/>
  <c r="X49" i="32"/>
  <c r="W49" i="32"/>
  <c r="V49" i="32"/>
  <c r="U49" i="32"/>
  <c r="X48" i="32"/>
  <c r="W48" i="32"/>
  <c r="V48" i="32"/>
  <c r="U48" i="32"/>
  <c r="X47" i="32"/>
  <c r="W47" i="32"/>
  <c r="V47" i="32"/>
  <c r="U47" i="32"/>
  <c r="Y47" i="32" s="1"/>
  <c r="X46" i="32"/>
  <c r="W46" i="32"/>
  <c r="V46" i="32"/>
  <c r="U46" i="32"/>
  <c r="X45" i="32"/>
  <c r="W45" i="32"/>
  <c r="V45" i="32"/>
  <c r="U45" i="32"/>
  <c r="X44" i="32"/>
  <c r="W44" i="32"/>
  <c r="V44" i="32"/>
  <c r="U44" i="32"/>
  <c r="X43" i="32"/>
  <c r="W43" i="32"/>
  <c r="V43" i="32"/>
  <c r="U43" i="32"/>
  <c r="Y43" i="32" s="1"/>
  <c r="X42" i="32"/>
  <c r="W42" i="32"/>
  <c r="V42" i="32"/>
  <c r="U42" i="32"/>
  <c r="X41" i="32"/>
  <c r="W41" i="32"/>
  <c r="V41" i="32"/>
  <c r="U41" i="32"/>
  <c r="Y41" i="32"/>
  <c r="X40" i="32"/>
  <c r="W40" i="32"/>
  <c r="V40" i="32"/>
  <c r="U40" i="32"/>
  <c r="X39" i="32"/>
  <c r="W39" i="32"/>
  <c r="V39" i="32"/>
  <c r="U39" i="32"/>
  <c r="X38" i="32"/>
  <c r="W38" i="32"/>
  <c r="V38" i="32"/>
  <c r="U38" i="32"/>
  <c r="Y38" i="32" s="1"/>
  <c r="B100" i="32"/>
  <c r="A41" i="32"/>
  <c r="A43" i="32"/>
  <c r="A45" i="32" s="1"/>
  <c r="A47" i="32" s="1"/>
  <c r="A49" i="32" s="1"/>
  <c r="A51" i="32" s="1"/>
  <c r="A53" i="32" s="1"/>
  <c r="A55" i="32" s="1"/>
  <c r="A57" i="32" s="1"/>
  <c r="A59" i="32" s="1"/>
  <c r="A61" i="32" s="1"/>
  <c r="A63" i="32" s="1"/>
  <c r="A65" i="32" s="1"/>
  <c r="A67" i="32" s="1"/>
  <c r="A69" i="32" s="1"/>
  <c r="A71" i="32" s="1"/>
  <c r="A73" i="32" s="1"/>
  <c r="A75" i="32" s="1"/>
  <c r="A77" i="32" s="1"/>
  <c r="A79" i="32" s="1"/>
  <c r="A81" i="32" s="1"/>
  <c r="A83" i="32" s="1"/>
  <c r="A85" i="32" s="1"/>
  <c r="A87" i="32" s="1"/>
  <c r="A89" i="32" s="1"/>
  <c r="A91" i="32" s="1"/>
  <c r="A93" i="32" s="1"/>
  <c r="A95" i="32" s="1"/>
  <c r="A97" i="32" s="1"/>
  <c r="A99" i="32" s="1"/>
  <c r="A40" i="32"/>
  <c r="A42" i="32" s="1"/>
  <c r="A44" i="32" s="1"/>
  <c r="A46" i="32" s="1"/>
  <c r="A48" i="32" s="1"/>
  <c r="A50" i="32" s="1"/>
  <c r="A52" i="32" s="1"/>
  <c r="A54" i="32" s="1"/>
  <c r="A56" i="32" s="1"/>
  <c r="A58" i="32" s="1"/>
  <c r="A60" i="32" s="1"/>
  <c r="A62" i="32" s="1"/>
  <c r="A64" i="32" s="1"/>
  <c r="A66" i="32" s="1"/>
  <c r="A68" i="32" s="1"/>
  <c r="A70" i="32" s="1"/>
  <c r="A72" i="32" s="1"/>
  <c r="A74" i="32" s="1"/>
  <c r="A76" i="32" s="1"/>
  <c r="A78" i="32" s="1"/>
  <c r="A80" i="32" s="1"/>
  <c r="A82" i="32" s="1"/>
  <c r="A84" i="32" s="1"/>
  <c r="A86" i="32" s="1"/>
  <c r="A88" i="32" s="1"/>
  <c r="A90" i="32" s="1"/>
  <c r="A92" i="32" s="1"/>
  <c r="A94" i="32" s="1"/>
  <c r="A96" i="32" s="1"/>
  <c r="A98" i="32" s="1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A3" i="32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" i="31"/>
  <c r="AM4" i="31"/>
  <c r="AM5" i="31"/>
  <c r="AM6" i="31"/>
  <c r="AM7" i="31"/>
  <c r="AM8" i="31"/>
  <c r="AM9" i="31"/>
  <c r="AM10" i="31"/>
  <c r="AM11" i="31"/>
  <c r="AM12" i="31"/>
  <c r="AM13" i="31"/>
  <c r="AM14" i="31"/>
  <c r="AM15" i="31"/>
  <c r="AM16" i="31"/>
  <c r="AM17" i="31"/>
  <c r="AM18" i="31"/>
  <c r="AM19" i="31"/>
  <c r="AM20" i="31"/>
  <c r="AM21" i="31"/>
  <c r="AM22" i="31"/>
  <c r="AM23" i="31"/>
  <c r="AM24" i="31"/>
  <c r="AM25" i="31"/>
  <c r="AM26" i="31"/>
  <c r="AM27" i="31"/>
  <c r="AM28" i="31"/>
  <c r="AM29" i="31"/>
  <c r="AM30" i="31"/>
  <c r="AM31" i="31"/>
  <c r="AM32" i="31"/>
  <c r="AM33" i="31"/>
  <c r="AN4" i="31"/>
  <c r="AN5" i="31"/>
  <c r="AN6" i="31"/>
  <c r="AN7" i="31"/>
  <c r="AN8" i="31"/>
  <c r="AN9" i="31"/>
  <c r="AN10" i="31"/>
  <c r="AN11" i="31"/>
  <c r="AN12" i="31"/>
  <c r="AN13" i="31"/>
  <c r="AN14" i="31"/>
  <c r="AN15" i="31"/>
  <c r="AN16" i="31"/>
  <c r="AN17" i="31"/>
  <c r="AN18" i="31"/>
  <c r="AN19" i="31"/>
  <c r="AN20" i="31"/>
  <c r="AN21" i="31"/>
  <c r="AN22" i="31"/>
  <c r="AN23" i="31"/>
  <c r="AN24" i="31"/>
  <c r="AN25" i="31"/>
  <c r="AN26" i="31"/>
  <c r="AN27" i="31"/>
  <c r="AN28" i="31"/>
  <c r="AN29" i="31"/>
  <c r="AN30" i="31"/>
  <c r="AN31" i="31"/>
  <c r="AN32" i="31"/>
  <c r="AN33" i="31"/>
  <c r="AO4" i="31"/>
  <c r="AO5" i="31"/>
  <c r="AO6" i="31"/>
  <c r="AO7" i="31"/>
  <c r="AO8" i="31"/>
  <c r="AO9" i="31"/>
  <c r="AO10" i="31"/>
  <c r="AO11" i="31"/>
  <c r="AO12" i="31"/>
  <c r="AO13" i="31"/>
  <c r="AO14" i="31"/>
  <c r="AO15" i="31"/>
  <c r="AO16" i="31"/>
  <c r="AO17" i="31"/>
  <c r="AO18" i="31"/>
  <c r="AO19" i="31"/>
  <c r="AO20" i="31"/>
  <c r="AO21" i="31"/>
  <c r="AO22" i="31"/>
  <c r="AO23" i="31"/>
  <c r="AO24" i="31"/>
  <c r="AO25" i="31"/>
  <c r="AO26" i="31"/>
  <c r="AO27" i="31"/>
  <c r="AO28" i="31"/>
  <c r="AO29" i="31"/>
  <c r="AO30" i="31"/>
  <c r="AO31" i="31"/>
  <c r="AO32" i="31"/>
  <c r="AO33" i="31"/>
  <c r="AP6" i="31"/>
  <c r="AP7" i="31"/>
  <c r="AP8" i="31"/>
  <c r="AP9" i="31"/>
  <c r="AP10" i="31"/>
  <c r="AP11" i="31"/>
  <c r="AP12" i="31"/>
  <c r="AP13" i="31"/>
  <c r="AP14" i="31"/>
  <c r="AP15" i="31"/>
  <c r="AP16" i="31"/>
  <c r="AP17" i="31"/>
  <c r="AP18" i="31"/>
  <c r="AP19" i="31"/>
  <c r="AP20" i="31"/>
  <c r="AP21" i="31"/>
  <c r="AP22" i="31"/>
  <c r="AP23" i="31"/>
  <c r="AP24" i="31"/>
  <c r="AP25" i="31"/>
  <c r="AP26" i="31"/>
  <c r="AP27" i="31"/>
  <c r="AP28" i="31"/>
  <c r="AP29" i="31"/>
  <c r="AP30" i="31"/>
  <c r="AP31" i="31"/>
  <c r="AP32" i="31"/>
  <c r="AP33" i="31"/>
  <c r="AQ4" i="31"/>
  <c r="AQ5" i="31"/>
  <c r="AQ6" i="31"/>
  <c r="AQ7" i="31"/>
  <c r="AQ8" i="31"/>
  <c r="AQ9" i="31"/>
  <c r="AQ10" i="31"/>
  <c r="AQ11" i="31"/>
  <c r="AQ12" i="31"/>
  <c r="AQ13" i="31"/>
  <c r="AQ14" i="31"/>
  <c r="AQ15" i="31"/>
  <c r="AQ16" i="31"/>
  <c r="AQ17" i="31"/>
  <c r="AQ18" i="31"/>
  <c r="AQ19" i="31"/>
  <c r="AQ20" i="31"/>
  <c r="AQ21" i="31"/>
  <c r="AQ22" i="31"/>
  <c r="AQ23" i="31"/>
  <c r="AQ24" i="31"/>
  <c r="AQ25" i="31"/>
  <c r="AQ26" i="31"/>
  <c r="AQ27" i="31"/>
  <c r="AQ28" i="31"/>
  <c r="AQ29" i="31"/>
  <c r="AQ30" i="31"/>
  <c r="AQ31" i="31"/>
  <c r="AQ32" i="31"/>
  <c r="AQ33" i="31"/>
  <c r="AL4" i="31"/>
  <c r="AL5" i="31"/>
  <c r="AL6" i="31"/>
  <c r="AL7" i="31"/>
  <c r="AL8" i="31"/>
  <c r="AL9" i="31"/>
  <c r="AL10" i="31"/>
  <c r="AL11" i="31"/>
  <c r="AL12" i="31"/>
  <c r="AL13" i="31"/>
  <c r="AL14" i="31"/>
  <c r="AL15" i="31"/>
  <c r="AL16" i="31"/>
  <c r="AL17" i="31"/>
  <c r="AL18" i="31"/>
  <c r="AL19" i="31"/>
  <c r="AL20" i="31"/>
  <c r="AL21" i="31"/>
  <c r="AL22" i="31"/>
  <c r="AL23" i="31"/>
  <c r="AL24" i="31"/>
  <c r="AL25" i="31"/>
  <c r="AL26" i="31"/>
  <c r="AL27" i="31"/>
  <c r="AL28" i="31"/>
  <c r="AL29" i="31"/>
  <c r="AL30" i="31"/>
  <c r="AL31" i="31"/>
  <c r="AL32" i="31"/>
  <c r="AL33" i="31"/>
  <c r="R4" i="31"/>
  <c r="R5" i="31" s="1"/>
  <c r="R6" i="31" s="1"/>
  <c r="R7" i="31" s="1"/>
  <c r="R8" i="31" s="1"/>
  <c r="R9" i="31" s="1"/>
  <c r="R10" i="31" s="1"/>
  <c r="R11" i="31" s="1"/>
  <c r="R12" i="31" s="1"/>
  <c r="R13" i="31" s="1"/>
  <c r="R14" i="31" s="1"/>
  <c r="R15" i="31" s="1"/>
  <c r="R16" i="31" s="1"/>
  <c r="R17" i="31" s="1"/>
  <c r="R18" i="31" s="1"/>
  <c r="R19" i="31" s="1"/>
  <c r="R20" i="31" s="1"/>
  <c r="R21" i="31" s="1"/>
  <c r="R22" i="31" s="1"/>
  <c r="R23" i="31" s="1"/>
  <c r="R24" i="31" s="1"/>
  <c r="R25" i="31" s="1"/>
  <c r="R26" i="31" s="1"/>
  <c r="R27" i="31" s="1"/>
  <c r="R28" i="31" s="1"/>
  <c r="R29" i="31" s="1"/>
  <c r="R30" i="31" s="1"/>
  <c r="R31" i="31" s="1"/>
  <c r="R32" i="31" s="1"/>
  <c r="R33" i="31" s="1"/>
  <c r="S4" i="31"/>
  <c r="S5" i="31" s="1"/>
  <c r="S6" i="31" s="1"/>
  <c r="S7" i="31" s="1"/>
  <c r="S8" i="31" s="1"/>
  <c r="S9" i="31" s="1"/>
  <c r="S10" i="31" s="1"/>
  <c r="S11" i="31" s="1"/>
  <c r="S12" i="31" s="1"/>
  <c r="S13" i="31" s="1"/>
  <c r="S14" i="31" s="1"/>
  <c r="S15" i="31" s="1"/>
  <c r="S16" i="31" s="1"/>
  <c r="S17" i="31" s="1"/>
  <c r="S18" i="31" s="1"/>
  <c r="S19" i="31" s="1"/>
  <c r="S20" i="31" s="1"/>
  <c r="S21" i="31" s="1"/>
  <c r="S22" i="31" s="1"/>
  <c r="S23" i="31" s="1"/>
  <c r="S24" i="31" s="1"/>
  <c r="S25" i="31" s="1"/>
  <c r="S26" i="31" s="1"/>
  <c r="S27" i="31" s="1"/>
  <c r="S28" i="31" s="1"/>
  <c r="S29" i="31" s="1"/>
  <c r="S30" i="31" s="1"/>
  <c r="S31" i="31" s="1"/>
  <c r="S32" i="31" s="1"/>
  <c r="S33" i="31" s="1"/>
  <c r="T4" i="31"/>
  <c r="T5" i="31" s="1"/>
  <c r="T6" i="31" s="1"/>
  <c r="T7" i="31" s="1"/>
  <c r="T8" i="31" s="1"/>
  <c r="T9" i="31" s="1"/>
  <c r="T10" i="31" s="1"/>
  <c r="T11" i="31" s="1"/>
  <c r="T12" i="31" s="1"/>
  <c r="T13" i="31" s="1"/>
  <c r="T14" i="31" s="1"/>
  <c r="T15" i="31" s="1"/>
  <c r="T16" i="31" s="1"/>
  <c r="T17" i="31" s="1"/>
  <c r="T18" i="31" s="1"/>
  <c r="T19" i="31" s="1"/>
  <c r="T20" i="31" s="1"/>
  <c r="T21" i="31" s="1"/>
  <c r="T22" i="31" s="1"/>
  <c r="T23" i="31" s="1"/>
  <c r="T24" i="31" s="1"/>
  <c r="T25" i="31" s="1"/>
  <c r="T26" i="31" s="1"/>
  <c r="T27" i="31" s="1"/>
  <c r="T28" i="31" s="1"/>
  <c r="T29" i="31" s="1"/>
  <c r="T30" i="31" s="1"/>
  <c r="T31" i="31" s="1"/>
  <c r="T32" i="31" s="1"/>
  <c r="T33" i="31" s="1"/>
  <c r="U4" i="31"/>
  <c r="U5" i="31" s="1"/>
  <c r="U6" i="31" s="1"/>
  <c r="U7" i="31" s="1"/>
  <c r="U8" i="31" s="1"/>
  <c r="U9" i="31" s="1"/>
  <c r="U10" i="31" s="1"/>
  <c r="U11" i="31" s="1"/>
  <c r="U12" i="31" s="1"/>
  <c r="U13" i="31" s="1"/>
  <c r="U14" i="31" s="1"/>
  <c r="U15" i="31" s="1"/>
  <c r="U16" i="31" s="1"/>
  <c r="U17" i="31" s="1"/>
  <c r="U18" i="31" s="1"/>
  <c r="U19" i="31" s="1"/>
  <c r="U20" i="31" s="1"/>
  <c r="U21" i="31" s="1"/>
  <c r="U22" i="31" s="1"/>
  <c r="U23" i="31" s="1"/>
  <c r="U24" i="31" s="1"/>
  <c r="U25" i="31" s="1"/>
  <c r="U26" i="31" s="1"/>
  <c r="U27" i="31" s="1"/>
  <c r="U28" i="31" s="1"/>
  <c r="U29" i="31" s="1"/>
  <c r="U30" i="31" s="1"/>
  <c r="U31" i="31" s="1"/>
  <c r="U32" i="31" s="1"/>
  <c r="U33" i="31" s="1"/>
  <c r="V4" i="31"/>
  <c r="V5" i="31" s="1"/>
  <c r="V6" i="31" s="1"/>
  <c r="V7" i="31" s="1"/>
  <c r="V8" i="31" s="1"/>
  <c r="V9" i="31" s="1"/>
  <c r="V10" i="31" s="1"/>
  <c r="V11" i="31" s="1"/>
  <c r="V12" i="31" s="1"/>
  <c r="V13" i="31" s="1"/>
  <c r="V14" i="31" s="1"/>
  <c r="V15" i="31" s="1"/>
  <c r="V16" i="31" s="1"/>
  <c r="V17" i="31" s="1"/>
  <c r="V18" i="31" s="1"/>
  <c r="V19" i="31" s="1"/>
  <c r="V20" i="31" s="1"/>
  <c r="V21" i="31" s="1"/>
  <c r="V22" i="31" s="1"/>
  <c r="V23" i="31" s="1"/>
  <c r="V24" i="31" s="1"/>
  <c r="V25" i="31" s="1"/>
  <c r="V26" i="31" s="1"/>
  <c r="V27" i="31" s="1"/>
  <c r="V28" i="31" s="1"/>
  <c r="V29" i="31" s="1"/>
  <c r="V30" i="31" s="1"/>
  <c r="V31" i="31" s="1"/>
  <c r="V32" i="31" s="1"/>
  <c r="V33" i="31" s="1"/>
  <c r="Q4" i="31"/>
  <c r="Q5" i="31" s="1"/>
  <c r="Q6" i="31" s="1"/>
  <c r="Q7" i="31" s="1"/>
  <c r="Q8" i="31" s="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Q19" i="31" s="1"/>
  <c r="Q20" i="31" s="1"/>
  <c r="Q21" i="31" s="1"/>
  <c r="Q22" i="31" s="1"/>
  <c r="Q23" i="31" s="1"/>
  <c r="Q24" i="31" s="1"/>
  <c r="Q25" i="31" s="1"/>
  <c r="Q26" i="31" s="1"/>
  <c r="Q27" i="31" s="1"/>
  <c r="Q28" i="31" s="1"/>
  <c r="Q29" i="31" s="1"/>
  <c r="Q30" i="31" s="1"/>
  <c r="Q31" i="31" s="1"/>
  <c r="Q32" i="31" s="1"/>
  <c r="Q33" i="31" s="1"/>
  <c r="Y61" i="32"/>
  <c r="Y39" i="32"/>
  <c r="Y51" i="32"/>
  <c r="Y56" i="32"/>
  <c r="Y68" i="32"/>
  <c r="T56" i="32"/>
  <c r="T45" i="32"/>
  <c r="T50" i="32"/>
  <c r="T55" i="32"/>
  <c r="T39" i="32"/>
  <c r="T66" i="32"/>
  <c r="T51" i="32"/>
  <c r="T49" i="32"/>
  <c r="T43" i="32"/>
  <c r="T48" i="32"/>
  <c r="T67" i="32"/>
  <c r="T41" i="32"/>
  <c r="Y50" i="32"/>
  <c r="Y58" i="32"/>
  <c r="T62" i="32"/>
  <c r="M44" i="31"/>
  <c r="N44" i="31"/>
  <c r="CO9" i="32"/>
  <c r="CP9" i="32" s="1"/>
  <c r="CQ9" i="32" s="1"/>
  <c r="CR9" i="32" s="1"/>
  <c r="CS9" i="32" s="1"/>
  <c r="CT9" i="32" s="1"/>
  <c r="CU9" i="32" s="1"/>
  <c r="O44" i="31"/>
  <c r="P44" i="31"/>
  <c r="R44" i="31"/>
  <c r="S44" i="31"/>
  <c r="BT9" i="32"/>
  <c r="T44" i="31"/>
  <c r="CH9" i="32"/>
  <c r="CI9" i="32"/>
  <c r="CJ9" i="32" s="1"/>
  <c r="CK9" i="32" s="1"/>
  <c r="CL9" i="32" s="1"/>
  <c r="CM9" i="32" s="1"/>
  <c r="CN9" i="32" s="1"/>
  <c r="V44" i="31"/>
  <c r="M45" i="31"/>
  <c r="N45" i="31"/>
  <c r="CO10" i="32"/>
  <c r="CP10" i="32" s="1"/>
  <c r="CQ10" i="32" s="1"/>
  <c r="CR10" i="32" s="1"/>
  <c r="CS10" i="32" s="1"/>
  <c r="CT10" i="32" s="1"/>
  <c r="CU10" i="32" s="1"/>
  <c r="O45" i="31"/>
  <c r="P45" i="31"/>
  <c r="R45" i="31"/>
  <c r="S45" i="31"/>
  <c r="BT10" i="32"/>
  <c r="T45" i="31"/>
  <c r="CH10" i="32"/>
  <c r="CI10" i="32"/>
  <c r="CJ10" i="32" s="1"/>
  <c r="CK10" i="32" s="1"/>
  <c r="CL10" i="32" s="1"/>
  <c r="CM10" i="32" s="1"/>
  <c r="CN10" i="32" s="1"/>
  <c r="V45" i="31"/>
  <c r="M46" i="31"/>
  <c r="N46" i="31"/>
  <c r="CO11" i="32" s="1"/>
  <c r="CP11" i="32" s="1"/>
  <c r="CQ11" i="32" s="1"/>
  <c r="CR11" i="32" s="1"/>
  <c r="CS11" i="32" s="1"/>
  <c r="CT11" i="32" s="1"/>
  <c r="CU11" i="32" s="1"/>
  <c r="O46" i="31"/>
  <c r="P46" i="31"/>
  <c r="R46" i="31"/>
  <c r="S46" i="31"/>
  <c r="BT11" i="32"/>
  <c r="T46" i="31"/>
  <c r="CH11" i="32"/>
  <c r="CI11" i="32"/>
  <c r="CJ11" i="32" s="1"/>
  <c r="CK11" i="32" s="1"/>
  <c r="CL11" i="32" s="1"/>
  <c r="CM11" i="32" s="1"/>
  <c r="CN11" i="32" s="1"/>
  <c r="V46" i="31"/>
  <c r="M47" i="31"/>
  <c r="N47" i="31"/>
  <c r="CO12" i="32" s="1"/>
  <c r="CP12" i="32" s="1"/>
  <c r="CQ12" i="32" s="1"/>
  <c r="CR12" i="32" s="1"/>
  <c r="CS12" i="32" s="1"/>
  <c r="CT12" i="32" s="1"/>
  <c r="CU12" i="32" s="1"/>
  <c r="O47" i="31"/>
  <c r="P47" i="31"/>
  <c r="R47" i="31"/>
  <c r="S47" i="31"/>
  <c r="BT12" i="32"/>
  <c r="T47" i="31"/>
  <c r="CH12" i="32"/>
  <c r="CI12" i="32"/>
  <c r="CJ12" i="32" s="1"/>
  <c r="CK12" i="32" s="1"/>
  <c r="CL12" i="32" s="1"/>
  <c r="CM12" i="32" s="1"/>
  <c r="CN12" i="32" s="1"/>
  <c r="V47" i="31"/>
  <c r="M48" i="31"/>
  <c r="N48" i="31"/>
  <c r="CO13" i="32" s="1"/>
  <c r="CP13" i="32" s="1"/>
  <c r="CQ13" i="32" s="1"/>
  <c r="CR13" i="32" s="1"/>
  <c r="CS13" i="32" s="1"/>
  <c r="CT13" i="32" s="1"/>
  <c r="CU13" i="32" s="1"/>
  <c r="O48" i="31"/>
  <c r="P48" i="31"/>
  <c r="R48" i="31"/>
  <c r="S48" i="31"/>
  <c r="BT13" i="32"/>
  <c r="T48" i="31"/>
  <c r="CH13" i="32"/>
  <c r="CI13" i="32"/>
  <c r="CJ13" i="32" s="1"/>
  <c r="CK13" i="32" s="1"/>
  <c r="CL13" i="32" s="1"/>
  <c r="CM13" i="32" s="1"/>
  <c r="CN13" i="32" s="1"/>
  <c r="V48" i="31"/>
  <c r="N49" i="31"/>
  <c r="CO14" i="32"/>
  <c r="CP14" i="32"/>
  <c r="CQ14" i="32" s="1"/>
  <c r="CR14" i="32" s="1"/>
  <c r="CS14" i="32" s="1"/>
  <c r="CT14" i="32" s="1"/>
  <c r="CU14" i="32" s="1"/>
  <c r="O49" i="31"/>
  <c r="P49" i="31"/>
  <c r="R49" i="31"/>
  <c r="S49" i="31"/>
  <c r="BT14" i="32"/>
  <c r="BU14" i="32"/>
  <c r="BV14" i="32" s="1"/>
  <c r="BW14" i="32" s="1"/>
  <c r="BX14" i="32" s="1"/>
  <c r="BY14" i="32" s="1"/>
  <c r="BZ14" i="32" s="1"/>
  <c r="T49" i="31"/>
  <c r="CH14" i="32"/>
  <c r="CI14" i="32"/>
  <c r="CJ14" i="32" s="1"/>
  <c r="CK14" i="32" s="1"/>
  <c r="CL14" i="32" s="1"/>
  <c r="CM14" i="32" s="1"/>
  <c r="CN14" i="32" s="1"/>
  <c r="V49" i="31"/>
  <c r="N50" i="31"/>
  <c r="O50" i="31"/>
  <c r="P50" i="31"/>
  <c r="R50" i="31"/>
  <c r="S50" i="31"/>
  <c r="BT15" i="32"/>
  <c r="T50" i="31"/>
  <c r="CH15" i="32"/>
  <c r="CI15" i="32"/>
  <c r="CJ15" i="32" s="1"/>
  <c r="CK15" i="32" s="1"/>
  <c r="CL15" i="32" s="1"/>
  <c r="CM15" i="32" s="1"/>
  <c r="CN15" i="32" s="1"/>
  <c r="V50" i="31"/>
  <c r="M51" i="31"/>
  <c r="N51" i="31"/>
  <c r="CO16" i="32" s="1"/>
  <c r="CP16" i="32" s="1"/>
  <c r="CQ16" i="32" s="1"/>
  <c r="CR16" i="32" s="1"/>
  <c r="CS16" i="32" s="1"/>
  <c r="CT16" i="32" s="1"/>
  <c r="CU16" i="32" s="1"/>
  <c r="O51" i="31"/>
  <c r="P51" i="31"/>
  <c r="R51" i="31"/>
  <c r="S51" i="31"/>
  <c r="BT16" i="32"/>
  <c r="BU16" i="32"/>
  <c r="BV16" i="32" s="1"/>
  <c r="BW16" i="32" s="1"/>
  <c r="BX16" i="32" s="1"/>
  <c r="BY16" i="32" s="1"/>
  <c r="BZ16" i="32" s="1"/>
  <c r="T51" i="31"/>
  <c r="CH16" i="32"/>
  <c r="CI16" i="32"/>
  <c r="CJ16" i="32" s="1"/>
  <c r="CK16" i="32" s="1"/>
  <c r="CL16" i="32" s="1"/>
  <c r="CM16" i="32" s="1"/>
  <c r="CN16" i="32" s="1"/>
  <c r="V51" i="31"/>
  <c r="M52" i="31"/>
  <c r="N52" i="31"/>
  <c r="CO17" i="32"/>
  <c r="CP17" i="32" s="1"/>
  <c r="CQ17" i="32" s="1"/>
  <c r="CR17" i="32" s="1"/>
  <c r="CS17" i="32" s="1"/>
  <c r="CT17" i="32" s="1"/>
  <c r="CU17" i="32" s="1"/>
  <c r="O52" i="31"/>
  <c r="P52" i="31"/>
  <c r="R52" i="31"/>
  <c r="S52" i="31"/>
  <c r="BT17" i="32"/>
  <c r="BU17" i="32"/>
  <c r="BV17" i="32" s="1"/>
  <c r="BW17" i="32" s="1"/>
  <c r="BX17" i="32" s="1"/>
  <c r="BY17" i="32" s="1"/>
  <c r="BZ17" i="32" s="1"/>
  <c r="T52" i="31"/>
  <c r="CH17" i="32"/>
  <c r="CI17" i="32"/>
  <c r="CJ17" i="32" s="1"/>
  <c r="CK17" i="32" s="1"/>
  <c r="CL17" i="32" s="1"/>
  <c r="CM17" i="32" s="1"/>
  <c r="CN17" i="32" s="1"/>
  <c r="V52" i="31"/>
  <c r="M53" i="31"/>
  <c r="N53" i="31"/>
  <c r="CO18" i="32" s="1"/>
  <c r="CP18" i="32" s="1"/>
  <c r="CQ18" i="32" s="1"/>
  <c r="CR18" i="32" s="1"/>
  <c r="CS18" i="32" s="1"/>
  <c r="CT18" i="32" s="1"/>
  <c r="CU18" i="32" s="1"/>
  <c r="O53" i="31"/>
  <c r="P53" i="31"/>
  <c r="R53" i="31"/>
  <c r="S53" i="31"/>
  <c r="BT18" i="32"/>
  <c r="BU18" i="32"/>
  <c r="BV18" i="32" s="1"/>
  <c r="BW18" i="32" s="1"/>
  <c r="BX18" i="32" s="1"/>
  <c r="BY18" i="32" s="1"/>
  <c r="BZ18" i="32" s="1"/>
  <c r="T53" i="31"/>
  <c r="CH18" i="32"/>
  <c r="CI18" i="32"/>
  <c r="CJ18" i="32" s="1"/>
  <c r="CK18" i="32" s="1"/>
  <c r="CL18" i="32" s="1"/>
  <c r="CM18" i="32" s="1"/>
  <c r="CN18" i="32" s="1"/>
  <c r="V53" i="31"/>
  <c r="M54" i="31"/>
  <c r="N54" i="31"/>
  <c r="CO19" i="32" s="1"/>
  <c r="CP19" i="32" s="1"/>
  <c r="CQ19" i="32" s="1"/>
  <c r="CR19" i="32" s="1"/>
  <c r="CS19" i="32" s="1"/>
  <c r="CT19" i="32" s="1"/>
  <c r="CU19" i="32" s="1"/>
  <c r="O54" i="31"/>
  <c r="P54" i="31"/>
  <c r="R54" i="31"/>
  <c r="S54" i="31"/>
  <c r="BT19" i="32"/>
  <c r="BU19" i="32"/>
  <c r="BV19" i="32" s="1"/>
  <c r="BW19" i="32" s="1"/>
  <c r="BX19" i="32" s="1"/>
  <c r="BY19" i="32" s="1"/>
  <c r="BZ19" i="32" s="1"/>
  <c r="T54" i="31"/>
  <c r="CH19" i="32"/>
  <c r="CI19" i="32"/>
  <c r="CJ19" i="32" s="1"/>
  <c r="CK19" i="32" s="1"/>
  <c r="CL19" i="32" s="1"/>
  <c r="CM19" i="32" s="1"/>
  <c r="CN19" i="32" s="1"/>
  <c r="V54" i="31"/>
  <c r="M55" i="31"/>
  <c r="N55" i="31"/>
  <c r="CO20" i="32"/>
  <c r="CP20" i="32"/>
  <c r="CQ20" i="32" s="1"/>
  <c r="CR20" i="32" s="1"/>
  <c r="CS20" i="32" s="1"/>
  <c r="CT20" i="32" s="1"/>
  <c r="CU20" i="32" s="1"/>
  <c r="O55" i="31"/>
  <c r="P55" i="31"/>
  <c r="R55" i="31"/>
  <c r="S55" i="31"/>
  <c r="BT20" i="32"/>
  <c r="BU20" i="32"/>
  <c r="BV20" i="32" s="1"/>
  <c r="BW20" i="32" s="1"/>
  <c r="BX20" i="32" s="1"/>
  <c r="BY20" i="32" s="1"/>
  <c r="BZ20" i="32" s="1"/>
  <c r="T55" i="31"/>
  <c r="CH20" i="32"/>
  <c r="CI20" i="32"/>
  <c r="CJ20" i="32" s="1"/>
  <c r="CK20" i="32" s="1"/>
  <c r="CL20" i="32" s="1"/>
  <c r="CM20" i="32" s="1"/>
  <c r="CN20" i="32" s="1"/>
  <c r="V55" i="31"/>
  <c r="M56" i="31"/>
  <c r="N56" i="31"/>
  <c r="CO21" i="32"/>
  <c r="CP21" i="32"/>
  <c r="CQ21" i="32" s="1"/>
  <c r="CR21" i="32" s="1"/>
  <c r="CS21" i="32" s="1"/>
  <c r="CT21" i="32" s="1"/>
  <c r="CU21" i="32" s="1"/>
  <c r="O56" i="31"/>
  <c r="P56" i="31"/>
  <c r="R56" i="31"/>
  <c r="S56" i="31"/>
  <c r="BT21" i="32"/>
  <c r="BU21" i="32"/>
  <c r="BV21" i="32" s="1"/>
  <c r="BW21" i="32" s="1"/>
  <c r="BX21" i="32" s="1"/>
  <c r="BY21" i="32" s="1"/>
  <c r="BZ21" i="32" s="1"/>
  <c r="T56" i="31"/>
  <c r="CH21" i="32"/>
  <c r="CI21" i="32"/>
  <c r="CJ21" i="32" s="1"/>
  <c r="CK21" i="32" s="1"/>
  <c r="CL21" i="32" s="1"/>
  <c r="CM21" i="32" s="1"/>
  <c r="CN21" i="32" s="1"/>
  <c r="V56" i="31"/>
  <c r="M57" i="31"/>
  <c r="N57" i="31"/>
  <c r="CO22" i="32" s="1"/>
  <c r="CP22" i="32" s="1"/>
  <c r="CQ22" i="32" s="1"/>
  <c r="CR22" i="32" s="1"/>
  <c r="CS22" i="32" s="1"/>
  <c r="CT22" i="32" s="1"/>
  <c r="CU22" i="32" s="1"/>
  <c r="O57" i="31"/>
  <c r="P57" i="31"/>
  <c r="R57" i="31"/>
  <c r="S57" i="31"/>
  <c r="BT22" i="32"/>
  <c r="BU22" i="32"/>
  <c r="BV22" i="32" s="1"/>
  <c r="BW22" i="32" s="1"/>
  <c r="BX22" i="32" s="1"/>
  <c r="BY22" i="32" s="1"/>
  <c r="BZ22" i="32" s="1"/>
  <c r="T57" i="31"/>
  <c r="CH22" i="32"/>
  <c r="CI22" i="32"/>
  <c r="CJ22" i="32" s="1"/>
  <c r="CK22" i="32" s="1"/>
  <c r="CL22" i="32" s="1"/>
  <c r="CM22" i="32" s="1"/>
  <c r="CN22" i="32" s="1"/>
  <c r="V57" i="31"/>
  <c r="M58" i="31"/>
  <c r="N58" i="31"/>
  <c r="CO23" i="32"/>
  <c r="CP23" i="32"/>
  <c r="CQ23" i="32" s="1"/>
  <c r="CR23" i="32" s="1"/>
  <c r="CS23" i="32" s="1"/>
  <c r="CT23" i="32" s="1"/>
  <c r="CU23" i="32" s="1"/>
  <c r="O58" i="31"/>
  <c r="P58" i="31"/>
  <c r="R58" i="31"/>
  <c r="S58" i="31"/>
  <c r="BT23" i="32"/>
  <c r="BU23" i="32"/>
  <c r="BV23" i="32" s="1"/>
  <c r="BW23" i="32" s="1"/>
  <c r="BX23" i="32" s="1"/>
  <c r="BY23" i="32" s="1"/>
  <c r="BZ23" i="32" s="1"/>
  <c r="T58" i="31"/>
  <c r="CH23" i="32"/>
  <c r="CI23" i="32"/>
  <c r="CJ23" i="32" s="1"/>
  <c r="CK23" i="32" s="1"/>
  <c r="CL23" i="32" s="1"/>
  <c r="CM23" i="32" s="1"/>
  <c r="CN23" i="32" s="1"/>
  <c r="V58" i="31"/>
  <c r="M59" i="31"/>
  <c r="N59" i="31"/>
  <c r="CO24" i="32" s="1"/>
  <c r="CP24" i="32" s="1"/>
  <c r="CQ24" i="32" s="1"/>
  <c r="CR24" i="32" s="1"/>
  <c r="CS24" i="32" s="1"/>
  <c r="CT24" i="32" s="1"/>
  <c r="CU24" i="32" s="1"/>
  <c r="O59" i="31"/>
  <c r="P59" i="31"/>
  <c r="R59" i="31"/>
  <c r="S59" i="31"/>
  <c r="BT24" i="32"/>
  <c r="T59" i="31"/>
  <c r="CH24" i="32"/>
  <c r="CI24" i="32"/>
  <c r="CJ24" i="32" s="1"/>
  <c r="CK24" i="32" s="1"/>
  <c r="CL24" i="32" s="1"/>
  <c r="CM24" i="32" s="1"/>
  <c r="CN24" i="32" s="1"/>
  <c r="V59" i="31"/>
  <c r="M60" i="31"/>
  <c r="N60" i="31"/>
  <c r="CO25" i="32" s="1"/>
  <c r="CP25" i="32" s="1"/>
  <c r="CQ25" i="32" s="1"/>
  <c r="CR25" i="32" s="1"/>
  <c r="CS25" i="32" s="1"/>
  <c r="CT25" i="32" s="1"/>
  <c r="CU25" i="32" s="1"/>
  <c r="O60" i="31"/>
  <c r="P60" i="31"/>
  <c r="R60" i="31"/>
  <c r="S60" i="31"/>
  <c r="BT25" i="32"/>
  <c r="T60" i="31"/>
  <c r="CH25" i="32"/>
  <c r="CI25" i="32"/>
  <c r="CJ25" i="32" s="1"/>
  <c r="CK25" i="32" s="1"/>
  <c r="CL25" i="32" s="1"/>
  <c r="CM25" i="32" s="1"/>
  <c r="CN25" i="32" s="1"/>
  <c r="V60" i="31"/>
  <c r="M61" i="31"/>
  <c r="N61" i="31"/>
  <c r="CO26" i="32" s="1"/>
  <c r="CP26" i="32" s="1"/>
  <c r="CQ26" i="32" s="1"/>
  <c r="CR26" i="32" s="1"/>
  <c r="CS26" i="32" s="1"/>
  <c r="CT26" i="32" s="1"/>
  <c r="CU26" i="32" s="1"/>
  <c r="O61" i="31"/>
  <c r="P61" i="31"/>
  <c r="R61" i="31"/>
  <c r="S61" i="31"/>
  <c r="BT26" i="32"/>
  <c r="BU26" i="32"/>
  <c r="BV26" i="32" s="1"/>
  <c r="BW26" i="32" s="1"/>
  <c r="BX26" i="32" s="1"/>
  <c r="BY26" i="32" s="1"/>
  <c r="BZ26" i="32" s="1"/>
  <c r="T61" i="31"/>
  <c r="CH26" i="32"/>
  <c r="CI26" i="32"/>
  <c r="CJ26" i="32" s="1"/>
  <c r="CK26" i="32" s="1"/>
  <c r="CL26" i="32" s="1"/>
  <c r="CM26" i="32" s="1"/>
  <c r="CN26" i="32" s="1"/>
  <c r="V61" i="31"/>
  <c r="M62" i="31"/>
  <c r="N62" i="31"/>
  <c r="CO27" i="32"/>
  <c r="CP27" i="32" s="1"/>
  <c r="CQ27" i="32" s="1"/>
  <c r="CR27" i="32" s="1"/>
  <c r="CS27" i="32" s="1"/>
  <c r="CT27" i="32" s="1"/>
  <c r="CU27" i="32" s="1"/>
  <c r="O62" i="31"/>
  <c r="P62" i="31"/>
  <c r="R62" i="31"/>
  <c r="S62" i="31"/>
  <c r="BT27" i="32"/>
  <c r="T62" i="31"/>
  <c r="CH27" i="32"/>
  <c r="CI27" i="32"/>
  <c r="CJ27" i="32" s="1"/>
  <c r="CK27" i="32" s="1"/>
  <c r="CL27" i="32" s="1"/>
  <c r="CM27" i="32" s="1"/>
  <c r="CN27" i="32" s="1"/>
  <c r="V62" i="31"/>
  <c r="M63" i="31"/>
  <c r="N63" i="31"/>
  <c r="CO28" i="32" s="1"/>
  <c r="CP28" i="32" s="1"/>
  <c r="CQ28" i="32" s="1"/>
  <c r="CR28" i="32" s="1"/>
  <c r="CS28" i="32" s="1"/>
  <c r="CT28" i="32" s="1"/>
  <c r="CU28" i="32" s="1"/>
  <c r="O63" i="31"/>
  <c r="P63" i="31"/>
  <c r="R63" i="31"/>
  <c r="S63" i="31"/>
  <c r="BT28" i="32"/>
  <c r="BU28" i="32"/>
  <c r="BV28" i="32" s="1"/>
  <c r="BW28" i="32" s="1"/>
  <c r="BX28" i="32" s="1"/>
  <c r="BY28" i="32" s="1"/>
  <c r="BZ28" i="32" s="1"/>
  <c r="T63" i="31"/>
  <c r="CH28" i="32"/>
  <c r="CI28" i="32"/>
  <c r="CJ28" i="32" s="1"/>
  <c r="CK28" i="32" s="1"/>
  <c r="CL28" i="32" s="1"/>
  <c r="CM28" i="32" s="1"/>
  <c r="CN28" i="32" s="1"/>
  <c r="V63" i="31"/>
  <c r="M64" i="31"/>
  <c r="N64" i="31"/>
  <c r="CO29" i="32"/>
  <c r="CP29" i="32"/>
  <c r="CQ29" i="32" s="1"/>
  <c r="CR29" i="32" s="1"/>
  <c r="CS29" i="32" s="1"/>
  <c r="CT29" i="32" s="1"/>
  <c r="CU29" i="32" s="1"/>
  <c r="O64" i="31"/>
  <c r="P64" i="31"/>
  <c r="R64" i="31"/>
  <c r="S64" i="31"/>
  <c r="BT29" i="32"/>
  <c r="BU29" i="32"/>
  <c r="BV29" i="32" s="1"/>
  <c r="BW29" i="32" s="1"/>
  <c r="BX29" i="32" s="1"/>
  <c r="BY29" i="32" s="1"/>
  <c r="BZ29" i="32" s="1"/>
  <c r="T64" i="31"/>
  <c r="CH29" i="32"/>
  <c r="CI29" i="32"/>
  <c r="CJ29" i="32" s="1"/>
  <c r="CK29" i="32" s="1"/>
  <c r="CL29" i="32" s="1"/>
  <c r="CM29" i="32" s="1"/>
  <c r="CN29" i="32" s="1"/>
  <c r="V64" i="31"/>
  <c r="M65" i="31"/>
  <c r="N65" i="31"/>
  <c r="O65" i="31"/>
  <c r="P65" i="31"/>
  <c r="R65" i="31"/>
  <c r="S65" i="31"/>
  <c r="BT30" i="32"/>
  <c r="BU30" i="32"/>
  <c r="BV30" i="32" s="1"/>
  <c r="BW30" i="32" s="1"/>
  <c r="BX30" i="32" s="1"/>
  <c r="BY30" i="32" s="1"/>
  <c r="BZ30" i="32" s="1"/>
  <c r="T65" i="31"/>
  <c r="CH30" i="32"/>
  <c r="CI30" i="32"/>
  <c r="CJ30" i="32" s="1"/>
  <c r="CK30" i="32" s="1"/>
  <c r="CL30" i="32" s="1"/>
  <c r="CM30" i="32" s="1"/>
  <c r="CN30" i="32" s="1"/>
  <c r="V65" i="31"/>
  <c r="M66" i="31"/>
  <c r="N66" i="31"/>
  <c r="CO31" i="32" s="1"/>
  <c r="CP31" i="32" s="1"/>
  <c r="CQ31" i="32" s="1"/>
  <c r="CR31" i="32" s="1"/>
  <c r="CS31" i="32" s="1"/>
  <c r="CT31" i="32" s="1"/>
  <c r="CU31" i="32" s="1"/>
  <c r="O66" i="31"/>
  <c r="P66" i="31"/>
  <c r="R66" i="31"/>
  <c r="S66" i="31"/>
  <c r="BT31" i="32"/>
  <c r="BU31" i="32"/>
  <c r="BV31" i="32" s="1"/>
  <c r="BW31" i="32" s="1"/>
  <c r="BX31" i="32" s="1"/>
  <c r="BY31" i="32" s="1"/>
  <c r="BZ31" i="32" s="1"/>
  <c r="T66" i="31"/>
  <c r="CH31" i="32"/>
  <c r="CI31" i="32"/>
  <c r="CJ31" i="32" s="1"/>
  <c r="CK31" i="32" s="1"/>
  <c r="CL31" i="32" s="1"/>
  <c r="CM31" i="32" s="1"/>
  <c r="CN31" i="32" s="1"/>
  <c r="V66" i="31"/>
  <c r="M67" i="31"/>
  <c r="N67" i="31"/>
  <c r="CO32" i="32" s="1"/>
  <c r="CP32" i="32" s="1"/>
  <c r="CQ32" i="32" s="1"/>
  <c r="CR32" i="32" s="1"/>
  <c r="CS32" i="32" s="1"/>
  <c r="CT32" i="32" s="1"/>
  <c r="CU32" i="32" s="1"/>
  <c r="O67" i="31"/>
  <c r="P67" i="31"/>
  <c r="R67" i="31"/>
  <c r="S67" i="31"/>
  <c r="BT32" i="32"/>
  <c r="BU32" i="32"/>
  <c r="BV32" i="32" s="1"/>
  <c r="BW32" i="32" s="1"/>
  <c r="BX32" i="32" s="1"/>
  <c r="BY32" i="32" s="1"/>
  <c r="BZ32" i="32" s="1"/>
  <c r="T67" i="31"/>
  <c r="CH32" i="32"/>
  <c r="CI32" i="32"/>
  <c r="CJ32" i="32" s="1"/>
  <c r="CK32" i="32" s="1"/>
  <c r="CL32" i="32" s="1"/>
  <c r="CM32" i="32" s="1"/>
  <c r="CN32" i="32" s="1"/>
  <c r="V67" i="31"/>
  <c r="M68" i="31"/>
  <c r="N68" i="31"/>
  <c r="CO33" i="32"/>
  <c r="CP33" i="32" s="1"/>
  <c r="CQ33" i="32" s="1"/>
  <c r="CR33" i="32" s="1"/>
  <c r="CS33" i="32" s="1"/>
  <c r="CT33" i="32" s="1"/>
  <c r="CU33" i="32" s="1"/>
  <c r="O68" i="31"/>
  <c r="P68" i="31"/>
  <c r="R68" i="31"/>
  <c r="S68" i="31"/>
  <c r="BT33" i="32"/>
  <c r="BU33" i="32"/>
  <c r="BV33" i="32" s="1"/>
  <c r="BW33" i="32" s="1"/>
  <c r="BX33" i="32" s="1"/>
  <c r="BY33" i="32" s="1"/>
  <c r="BZ33" i="32" s="1"/>
  <c r="T68" i="31"/>
  <c r="CH33" i="32"/>
  <c r="CI33" i="32"/>
  <c r="CJ33" i="32" s="1"/>
  <c r="CK33" i="32" s="1"/>
  <c r="CL33" i="32" s="1"/>
  <c r="CM33" i="32" s="1"/>
  <c r="CN33" i="32" s="1"/>
  <c r="V68" i="31"/>
  <c r="N43" i="31"/>
  <c r="CO8" i="32"/>
  <c r="CP8" i="32"/>
  <c r="CQ8" i="32" s="1"/>
  <c r="CR8" i="32" s="1"/>
  <c r="CS8" i="32" s="1"/>
  <c r="CT8" i="32" s="1"/>
  <c r="CU8" i="32" s="1"/>
  <c r="O43" i="31"/>
  <c r="P43" i="31"/>
  <c r="R43" i="31"/>
  <c r="S43" i="31"/>
  <c r="BT8" i="32"/>
  <c r="T43" i="31"/>
  <c r="CH8" i="32"/>
  <c r="CI8" i="32"/>
  <c r="CJ8" i="32" s="1"/>
  <c r="CK8" i="32" s="1"/>
  <c r="CL8" i="32" s="1"/>
  <c r="CM8" i="32" s="1"/>
  <c r="CN8" i="32" s="1"/>
  <c r="V43" i="31"/>
  <c r="M43" i="31"/>
  <c r="Q43" i="31" s="1"/>
  <c r="K161" i="4" s="1"/>
  <c r="N42" i="31"/>
  <c r="CO7" i="32" s="1"/>
  <c r="CP7" i="32" s="1"/>
  <c r="CQ7" i="32" s="1"/>
  <c r="CR7" i="32" s="1"/>
  <c r="CS7" i="32" s="1"/>
  <c r="CT7" i="32" s="1"/>
  <c r="CU7" i="32" s="1"/>
  <c r="O42" i="31"/>
  <c r="P42" i="31"/>
  <c r="R42" i="31"/>
  <c r="S42" i="31"/>
  <c r="BT7" i="32"/>
  <c r="T42" i="31"/>
  <c r="CH7" i="32"/>
  <c r="CI7" i="32"/>
  <c r="CJ7" i="32" s="1"/>
  <c r="CK7" i="32" s="1"/>
  <c r="CL7" i="32" s="1"/>
  <c r="CM7" i="32" s="1"/>
  <c r="CN7" i="32" s="1"/>
  <c r="V42" i="31"/>
  <c r="M42" i="31"/>
  <c r="P7" i="32" s="1"/>
  <c r="N41" i="31"/>
  <c r="CO6" i="32"/>
  <c r="CP6" i="32" s="1"/>
  <c r="CQ6" i="32" s="1"/>
  <c r="CR6" i="32" s="1"/>
  <c r="CS6" i="32" s="1"/>
  <c r="CT6" i="32" s="1"/>
  <c r="CU6" i="32" s="1"/>
  <c r="O41" i="31"/>
  <c r="P41" i="31"/>
  <c r="R41" i="31"/>
  <c r="S41" i="31"/>
  <c r="BT6" i="32"/>
  <c r="T41" i="31"/>
  <c r="CH6" i="32"/>
  <c r="V41" i="31"/>
  <c r="M41" i="31"/>
  <c r="P6" i="32" s="1"/>
  <c r="N40" i="31"/>
  <c r="CO5" i="32" s="1"/>
  <c r="CP5" i="32" s="1"/>
  <c r="CQ5" i="32" s="1"/>
  <c r="CR5" i="32" s="1"/>
  <c r="CS5" i="32" s="1"/>
  <c r="CT5" i="32" s="1"/>
  <c r="CU5" i="32" s="1"/>
  <c r="O40" i="31"/>
  <c r="P40" i="31"/>
  <c r="R40" i="31"/>
  <c r="S40" i="31"/>
  <c r="BT5" i="32"/>
  <c r="T40" i="31"/>
  <c r="CH5" i="32"/>
  <c r="CI5" i="32"/>
  <c r="CJ5" i="32" s="1"/>
  <c r="CK5" i="32" s="1"/>
  <c r="CL5" i="32" s="1"/>
  <c r="CM5" i="32" s="1"/>
  <c r="CN5" i="32" s="1"/>
  <c r="V40" i="31"/>
  <c r="M40" i="31"/>
  <c r="P5" i="32" s="1"/>
  <c r="N39" i="31"/>
  <c r="CO4" i="32" s="1"/>
  <c r="CP4" i="32" s="1"/>
  <c r="CQ4" i="32" s="1"/>
  <c r="CR4" i="32" s="1"/>
  <c r="CS4" i="32" s="1"/>
  <c r="CT4" i="32" s="1"/>
  <c r="CU4" i="32" s="1"/>
  <c r="O39" i="31"/>
  <c r="P39" i="31"/>
  <c r="R39" i="31"/>
  <c r="S39" i="31"/>
  <c r="BT4" i="32"/>
  <c r="T39" i="31"/>
  <c r="CH4" i="32"/>
  <c r="CI4" i="32"/>
  <c r="CJ4" i="32" s="1"/>
  <c r="CK4" i="32" s="1"/>
  <c r="CL4" i="32" s="1"/>
  <c r="CM4" i="32" s="1"/>
  <c r="CN4" i="32" s="1"/>
  <c r="V39" i="31"/>
  <c r="M39" i="31"/>
  <c r="P4" i="32" s="1"/>
  <c r="R38" i="31"/>
  <c r="S38" i="31"/>
  <c r="T38" i="31"/>
  <c r="V38" i="31"/>
  <c r="P38" i="31"/>
  <c r="N38" i="31"/>
  <c r="O38" i="31"/>
  <c r="M38" i="31"/>
  <c r="P3" i="32" s="1"/>
  <c r="K100" i="31"/>
  <c r="I100" i="31"/>
  <c r="H100" i="31"/>
  <c r="G100" i="31"/>
  <c r="E100" i="31"/>
  <c r="D100" i="31"/>
  <c r="C100" i="31"/>
  <c r="B100" i="31"/>
  <c r="J99" i="31"/>
  <c r="F99" i="31"/>
  <c r="J98" i="31"/>
  <c r="F98" i="31"/>
  <c r="J97" i="31"/>
  <c r="F97" i="31"/>
  <c r="J96" i="31"/>
  <c r="F96" i="31"/>
  <c r="J95" i="31"/>
  <c r="F95" i="31"/>
  <c r="J94" i="31"/>
  <c r="F94" i="31"/>
  <c r="J93" i="31"/>
  <c r="F93" i="31"/>
  <c r="J92" i="31"/>
  <c r="F92" i="31"/>
  <c r="J91" i="31"/>
  <c r="F91" i="31"/>
  <c r="J90" i="31"/>
  <c r="F90" i="31"/>
  <c r="J89" i="31"/>
  <c r="F89" i="31"/>
  <c r="J88" i="31"/>
  <c r="F88" i="31"/>
  <c r="J87" i="31"/>
  <c r="F87" i="31"/>
  <c r="J86" i="31"/>
  <c r="F86" i="31"/>
  <c r="J85" i="31"/>
  <c r="F85" i="31"/>
  <c r="J84" i="31"/>
  <c r="F84" i="31"/>
  <c r="J83" i="31"/>
  <c r="F83" i="31"/>
  <c r="J82" i="31"/>
  <c r="F82" i="31"/>
  <c r="J81" i="31"/>
  <c r="F81" i="31"/>
  <c r="J80" i="31"/>
  <c r="F80" i="31"/>
  <c r="J79" i="31"/>
  <c r="F79" i="31"/>
  <c r="J78" i="31"/>
  <c r="F78" i="31"/>
  <c r="J77" i="31"/>
  <c r="F77" i="31"/>
  <c r="J76" i="31"/>
  <c r="F76" i="31"/>
  <c r="J75" i="31"/>
  <c r="F75" i="31"/>
  <c r="J74" i="31"/>
  <c r="F74" i="31"/>
  <c r="J73" i="31"/>
  <c r="F73" i="31"/>
  <c r="J72" i="31"/>
  <c r="F72" i="31"/>
  <c r="J71" i="31"/>
  <c r="F71" i="31"/>
  <c r="J70" i="31"/>
  <c r="F70" i="31"/>
  <c r="J69" i="31"/>
  <c r="F69" i="31"/>
  <c r="J68" i="31"/>
  <c r="F68" i="31"/>
  <c r="J67" i="31"/>
  <c r="F67" i="31"/>
  <c r="J66" i="31"/>
  <c r="F66" i="31"/>
  <c r="J65" i="31"/>
  <c r="F65" i="31"/>
  <c r="J64" i="31"/>
  <c r="F64" i="31"/>
  <c r="F63" i="31"/>
  <c r="F62" i="31"/>
  <c r="J61" i="31"/>
  <c r="F61" i="31"/>
  <c r="J60" i="31"/>
  <c r="F60" i="31"/>
  <c r="J59" i="31"/>
  <c r="F59" i="31"/>
  <c r="J58" i="31"/>
  <c r="F58" i="31"/>
  <c r="J57" i="31"/>
  <c r="F57" i="31"/>
  <c r="J56" i="31"/>
  <c r="F56" i="31"/>
  <c r="J55" i="31"/>
  <c r="F55" i="31"/>
  <c r="J54" i="31"/>
  <c r="F54" i="31"/>
  <c r="J53" i="31"/>
  <c r="F53" i="31"/>
  <c r="J52" i="31"/>
  <c r="F52" i="31"/>
  <c r="J51" i="31"/>
  <c r="F51" i="31"/>
  <c r="J50" i="31"/>
  <c r="F50" i="31"/>
  <c r="J49" i="31"/>
  <c r="F49" i="31"/>
  <c r="J48" i="31"/>
  <c r="F48" i="31"/>
  <c r="J47" i="31"/>
  <c r="F47" i="31"/>
  <c r="J46" i="31"/>
  <c r="F46" i="31"/>
  <c r="J45" i="31"/>
  <c r="F45" i="31"/>
  <c r="J44" i="31"/>
  <c r="F44" i="31"/>
  <c r="J43" i="31"/>
  <c r="J42" i="31"/>
  <c r="F42" i="31"/>
  <c r="J41" i="31"/>
  <c r="F41" i="31"/>
  <c r="A41" i="31"/>
  <c r="A43" i="31"/>
  <c r="A45" i="31" s="1"/>
  <c r="A47" i="31" s="1"/>
  <c r="A49" i="31" s="1"/>
  <c r="A51" i="31" s="1"/>
  <c r="A53" i="31" s="1"/>
  <c r="A55" i="31" s="1"/>
  <c r="A57" i="31" s="1"/>
  <c r="A59" i="31" s="1"/>
  <c r="A61" i="31" s="1"/>
  <c r="A63" i="31" s="1"/>
  <c r="A65" i="31" s="1"/>
  <c r="A67" i="31" s="1"/>
  <c r="A69" i="31" s="1"/>
  <c r="A71" i="31" s="1"/>
  <c r="A73" i="31" s="1"/>
  <c r="A75" i="31" s="1"/>
  <c r="A77" i="31" s="1"/>
  <c r="A79" i="31" s="1"/>
  <c r="A81" i="31" s="1"/>
  <c r="A83" i="31" s="1"/>
  <c r="A85" i="31" s="1"/>
  <c r="A87" i="31" s="1"/>
  <c r="A89" i="31" s="1"/>
  <c r="A91" i="31" s="1"/>
  <c r="A93" i="31" s="1"/>
  <c r="A95" i="31" s="1"/>
  <c r="A97" i="31" s="1"/>
  <c r="A99" i="31" s="1"/>
  <c r="J40" i="31"/>
  <c r="F40" i="31"/>
  <c r="A40" i="31"/>
  <c r="A42" i="31"/>
  <c r="A44" i="31" s="1"/>
  <c r="A46" i="31" s="1"/>
  <c r="A48" i="31" s="1"/>
  <c r="A50" i="31" s="1"/>
  <c r="A52" i="31" s="1"/>
  <c r="A54" i="31" s="1"/>
  <c r="A56" i="31" s="1"/>
  <c r="A58" i="31" s="1"/>
  <c r="A60" i="31" s="1"/>
  <c r="A62" i="31" s="1"/>
  <c r="A64" i="31" s="1"/>
  <c r="A66" i="31" s="1"/>
  <c r="A68" i="31" s="1"/>
  <c r="A70" i="31" s="1"/>
  <c r="A72" i="31" s="1"/>
  <c r="A74" i="31" s="1"/>
  <c r="A76" i="31" s="1"/>
  <c r="A78" i="31" s="1"/>
  <c r="A80" i="31" s="1"/>
  <c r="A82" i="31" s="1"/>
  <c r="A84" i="31" s="1"/>
  <c r="A86" i="31" s="1"/>
  <c r="A88" i="31" s="1"/>
  <c r="A90" i="31" s="1"/>
  <c r="A92" i="31" s="1"/>
  <c r="A94" i="31" s="1"/>
  <c r="A96" i="31" s="1"/>
  <c r="A98" i="31" s="1"/>
  <c r="J39" i="31"/>
  <c r="F39" i="31"/>
  <c r="J38" i="31"/>
  <c r="F38" i="31"/>
  <c r="CB6" i="31"/>
  <c r="CC6" i="31" s="1"/>
  <c r="CD6" i="31" s="1"/>
  <c r="CE6" i="31" s="1"/>
  <c r="CF6" i="31" s="1"/>
  <c r="CG6" i="31" s="1"/>
  <c r="CB17" i="31"/>
  <c r="CC17" i="31" s="1"/>
  <c r="CD17" i="31" s="1"/>
  <c r="CE17" i="31" s="1"/>
  <c r="CF17" i="31" s="1"/>
  <c r="CG17" i="31" s="1"/>
  <c r="CB30" i="31"/>
  <c r="CC30" i="31" s="1"/>
  <c r="CD30" i="31" s="1"/>
  <c r="CE30" i="31" s="1"/>
  <c r="CF30" i="31" s="1"/>
  <c r="CG30" i="31" s="1"/>
  <c r="CB31" i="31"/>
  <c r="CC31" i="31" s="1"/>
  <c r="CD31" i="31" s="1"/>
  <c r="CE31" i="31" s="1"/>
  <c r="CF31" i="31" s="1"/>
  <c r="CG31" i="31" s="1"/>
  <c r="CB32" i="31"/>
  <c r="CC32" i="31" s="1"/>
  <c r="CD32" i="31" s="1"/>
  <c r="CE32" i="31" s="1"/>
  <c r="CF32" i="31" s="1"/>
  <c r="CG32" i="31" s="1"/>
  <c r="DR8" i="31"/>
  <c r="DS8" i="31" s="1"/>
  <c r="DT8" i="31" s="1"/>
  <c r="DU8" i="31" s="1"/>
  <c r="DV8" i="31" s="1"/>
  <c r="DW8" i="31" s="1"/>
  <c r="DR16" i="31"/>
  <c r="DS16" i="31" s="1"/>
  <c r="DT16" i="31" s="1"/>
  <c r="DU16" i="31" s="1"/>
  <c r="DV16" i="31" s="1"/>
  <c r="DW16" i="31" s="1"/>
  <c r="DT20" i="31"/>
  <c r="DU20" i="31" s="1"/>
  <c r="DV20" i="31" s="1"/>
  <c r="DW20" i="31" s="1"/>
  <c r="DR25" i="31"/>
  <c r="DS25" i="31" s="1"/>
  <c r="DT25" i="31" s="1"/>
  <c r="DU25" i="31" s="1"/>
  <c r="DV25" i="31" s="1"/>
  <c r="DW25" i="31" s="1"/>
  <c r="AR4" i="32"/>
  <c r="AR7" i="32"/>
  <c r="AU7" i="32" s="1"/>
  <c r="AR8" i="32"/>
  <c r="AR33" i="32"/>
  <c r="AV33" i="32" s="1"/>
  <c r="AR32" i="32"/>
  <c r="AR28" i="32"/>
  <c r="AR27" i="32"/>
  <c r="AR26" i="32"/>
  <c r="AR25" i="32"/>
  <c r="AR24" i="32"/>
  <c r="AR22" i="32"/>
  <c r="AR21" i="32"/>
  <c r="AR20" i="32"/>
  <c r="AR19" i="32"/>
  <c r="AR17" i="32"/>
  <c r="AR16" i="32"/>
  <c r="AR15" i="32"/>
  <c r="AR14" i="32"/>
  <c r="AR13" i="32"/>
  <c r="AR12" i="32"/>
  <c r="AR11" i="32"/>
  <c r="AR10" i="32"/>
  <c r="AR9" i="32"/>
  <c r="CH3" i="32"/>
  <c r="CI3" i="32"/>
  <c r="CJ3" i="32"/>
  <c r="CK3" i="32" s="1"/>
  <c r="CL3" i="32" s="1"/>
  <c r="CM3" i="32" s="1"/>
  <c r="CN3" i="32" s="1"/>
  <c r="CO15" i="32"/>
  <c r="CP15" i="32"/>
  <c r="CQ15" i="32" s="1"/>
  <c r="CR15" i="32" s="1"/>
  <c r="CS15" i="32" s="1"/>
  <c r="CT15" i="32" s="1"/>
  <c r="CU15" i="32" s="1"/>
  <c r="Q50" i="31"/>
  <c r="R161" i="4"/>
  <c r="P31" i="32"/>
  <c r="P21" i="32"/>
  <c r="P16" i="32"/>
  <c r="Q51" i="31"/>
  <c r="S161" i="4" s="1"/>
  <c r="P26" i="32"/>
  <c r="P11" i="32"/>
  <c r="Q46" i="31"/>
  <c r="N161" i="4"/>
  <c r="P10" i="32"/>
  <c r="Q45" i="31"/>
  <c r="M161" i="4"/>
  <c r="P8" i="32"/>
  <c r="P32" i="32"/>
  <c r="Q67" i="31"/>
  <c r="AI161" i="4" s="1"/>
  <c r="P27" i="32"/>
  <c r="Q62" i="31"/>
  <c r="AD161" i="4" s="1"/>
  <c r="P22" i="32"/>
  <c r="Q57" i="31"/>
  <c r="Y161" i="4"/>
  <c r="P17" i="32"/>
  <c r="Q52" i="31"/>
  <c r="T161" i="4" s="1"/>
  <c r="P12" i="32"/>
  <c r="Q47" i="31"/>
  <c r="O161" i="4" s="1"/>
  <c r="P33" i="32"/>
  <c r="Q68" i="31"/>
  <c r="AJ161" i="4" s="1"/>
  <c r="P18" i="32"/>
  <c r="Q40" i="31"/>
  <c r="H161" i="4"/>
  <c r="P23" i="32"/>
  <c r="P13" i="32"/>
  <c r="Q48" i="31"/>
  <c r="P161" i="4"/>
  <c r="P30" i="32"/>
  <c r="P25" i="32"/>
  <c r="Q60" i="31"/>
  <c r="AB161" i="4" s="1"/>
  <c r="P15" i="32"/>
  <c r="AJ170" i="4"/>
  <c r="P170" i="4"/>
  <c r="AQ160" i="4"/>
  <c r="AQ180" i="4"/>
  <c r="AD170" i="4"/>
  <c r="I170" i="4"/>
  <c r="AQ167" i="4"/>
  <c r="AQ168" i="4"/>
  <c r="G170" i="4"/>
  <c r="W170" i="4"/>
  <c r="U170" i="4"/>
  <c r="S170" i="4"/>
  <c r="AQ179" i="4"/>
  <c r="AI170" i="4"/>
  <c r="O170" i="4"/>
  <c r="AQ161" i="4"/>
  <c r="AQ181" i="4"/>
  <c r="L170" i="4"/>
  <c r="AE170" i="4"/>
  <c r="AQ185" i="4"/>
  <c r="AQ186" i="4"/>
  <c r="AA170" i="4"/>
  <c r="T170" i="4"/>
  <c r="R170" i="4"/>
  <c r="AH170" i="4"/>
  <c r="N170" i="4"/>
  <c r="AQ162" i="4"/>
  <c r="AQ182" i="4"/>
  <c r="K170" i="4"/>
  <c r="AQ166" i="4"/>
  <c r="AC170" i="4"/>
  <c r="AQ156" i="4"/>
  <c r="AQ174" i="4"/>
  <c r="AQ176" i="4"/>
  <c r="AQ177" i="4"/>
  <c r="AQ178" i="4"/>
  <c r="AG170" i="4"/>
  <c r="M170" i="4"/>
  <c r="AQ163" i="4"/>
  <c r="AQ183" i="4"/>
  <c r="AF170" i="4"/>
  <c r="AQ184" i="4"/>
  <c r="AQ165" i="4"/>
  <c r="AB170" i="4"/>
  <c r="AQ169" i="4"/>
  <c r="AQ172" i="4"/>
  <c r="AQ164" i="4"/>
  <c r="J170" i="4"/>
  <c r="H170" i="4"/>
  <c r="AQ173" i="4"/>
  <c r="AQ175" i="4"/>
  <c r="AQ157" i="4"/>
  <c r="AQ158" i="4"/>
  <c r="Z170" i="4"/>
  <c r="F170" i="4"/>
  <c r="AQ170" i="4"/>
  <c r="Y170" i="4"/>
  <c r="AQ171" i="4"/>
  <c r="X170" i="4"/>
  <c r="V170" i="4"/>
  <c r="Q170" i="4"/>
  <c r="AQ159" i="4"/>
  <c r="P29" i="32"/>
  <c r="Q64" i="31"/>
  <c r="AF161" i="4" s="1"/>
  <c r="P24" i="32"/>
  <c r="Q59" i="31"/>
  <c r="AA161" i="4" s="1"/>
  <c r="P19" i="32"/>
  <c r="Q54" i="31"/>
  <c r="V161" i="4" s="1"/>
  <c r="P9" i="32"/>
  <c r="Q44" i="31"/>
  <c r="L161" i="4" s="1"/>
  <c r="P14" i="32"/>
  <c r="Q49" i="31"/>
  <c r="Q161" i="4"/>
  <c r="BT3" i="32"/>
  <c r="BU4" i="32"/>
  <c r="BV4" i="32" s="1"/>
  <c r="BW4" i="32" s="1"/>
  <c r="BX4" i="32" s="1"/>
  <c r="BY4" i="32" s="1"/>
  <c r="BZ4" i="32" s="1"/>
  <c r="U61" i="31"/>
  <c r="AC169" i="4"/>
  <c r="U39" i="31"/>
  <c r="G169" i="4"/>
  <c r="U55" i="31"/>
  <c r="W169" i="4"/>
  <c r="U63" i="31"/>
  <c r="AE169" i="4"/>
  <c r="U60" i="31"/>
  <c r="AB169" i="4"/>
  <c r="U42" i="31"/>
  <c r="J169" i="4"/>
  <c r="U46" i="31"/>
  <c r="N169" i="4"/>
  <c r="U50" i="31"/>
  <c r="R169" i="4"/>
  <c r="U54" i="31"/>
  <c r="V169" i="4"/>
  <c r="U58" i="31"/>
  <c r="Z169" i="4"/>
  <c r="U62" i="31"/>
  <c r="AD169" i="4"/>
  <c r="U66" i="31"/>
  <c r="AH169" i="4"/>
  <c r="U45" i="31"/>
  <c r="M169" i="4"/>
  <c r="U47" i="31"/>
  <c r="O169" i="4"/>
  <c r="U41" i="31"/>
  <c r="I169" i="4"/>
  <c r="U40" i="31"/>
  <c r="H169" i="4"/>
  <c r="U44" i="31"/>
  <c r="L169" i="4"/>
  <c r="U48" i="31"/>
  <c r="P169" i="4"/>
  <c r="U52" i="31"/>
  <c r="T169" i="4"/>
  <c r="U56" i="31"/>
  <c r="X169" i="4"/>
  <c r="U64" i="31"/>
  <c r="AF169" i="4"/>
  <c r="U68" i="31"/>
  <c r="AJ169" i="4"/>
  <c r="U53" i="31"/>
  <c r="U169" i="4"/>
  <c r="U43" i="31"/>
  <c r="K169" i="4"/>
  <c r="U51" i="31"/>
  <c r="S169" i="4"/>
  <c r="U59" i="31"/>
  <c r="AA169" i="4"/>
  <c r="U67" i="31"/>
  <c r="AI169" i="4"/>
  <c r="U49" i="31"/>
  <c r="Q169" i="4"/>
  <c r="U57" i="31"/>
  <c r="Y169" i="4"/>
  <c r="U65" i="31"/>
  <c r="AG169" i="4"/>
  <c r="U38" i="31"/>
  <c r="F169" i="4"/>
  <c r="J100" i="31"/>
  <c r="AC9" i="15"/>
  <c r="M9" i="15"/>
  <c r="K9" i="15"/>
  <c r="BU3" i="32"/>
  <c r="BV3" i="32"/>
  <c r="BW3" i="32"/>
  <c r="BX3" i="32"/>
  <c r="BY3" i="32"/>
  <c r="BZ3" i="32"/>
  <c r="N159" i="4"/>
  <c r="Q3" i="32"/>
  <c r="AJ159" i="4"/>
  <c r="AK170" i="4"/>
  <c r="AK169" i="4"/>
  <c r="AS33" i="32"/>
  <c r="AT33" i="32"/>
  <c r="AX33" i="32"/>
  <c r="BU5" i="32"/>
  <c r="BV5" i="32" s="1"/>
  <c r="BW5" i="32" s="1"/>
  <c r="BX5" i="32" s="1"/>
  <c r="BY5" i="32" s="1"/>
  <c r="BZ5" i="32" s="1"/>
  <c r="BU6" i="32"/>
  <c r="BV6" i="32" s="1"/>
  <c r="BW6" i="32" s="1"/>
  <c r="BX6" i="32" s="1"/>
  <c r="BY6" i="32" s="1"/>
  <c r="BZ6" i="32" s="1"/>
  <c r="CI6" i="32"/>
  <c r="CJ6" i="32" s="1"/>
  <c r="CK6" i="32" s="1"/>
  <c r="CL6" i="32" s="1"/>
  <c r="CM6" i="32" s="1"/>
  <c r="CN6" i="32" s="1"/>
  <c r="BU7" i="32"/>
  <c r="BV7" i="32" s="1"/>
  <c r="BW7" i="32" s="1"/>
  <c r="BX7" i="32" s="1"/>
  <c r="BY7" i="32" s="1"/>
  <c r="BZ7" i="32" s="1"/>
  <c r="D26" i="15"/>
  <c r="E26" i="15" s="1"/>
  <c r="F26" i="15" s="1"/>
  <c r="G26" i="15" s="1"/>
  <c r="H26" i="15" s="1"/>
  <c r="I26" i="15" s="1"/>
  <c r="J26" i="15" s="1"/>
  <c r="K26" i="15" s="1"/>
  <c r="L26" i="15" s="1"/>
  <c r="M26" i="15" s="1"/>
  <c r="N26" i="15" s="1"/>
  <c r="O26" i="15" s="1"/>
  <c r="P26" i="15" s="1"/>
  <c r="Q26" i="15" s="1"/>
  <c r="R26" i="15" s="1"/>
  <c r="S26" i="15" s="1"/>
  <c r="T26" i="15" s="1"/>
  <c r="U26" i="15" s="1"/>
  <c r="V26" i="15" s="1"/>
  <c r="W26" i="15" s="1"/>
  <c r="X26" i="15" s="1"/>
  <c r="Y26" i="15" s="1"/>
  <c r="Z26" i="15" s="1"/>
  <c r="AA26" i="15" s="1"/>
  <c r="AB26" i="15" s="1"/>
  <c r="AC26" i="15" s="1"/>
  <c r="AD26" i="15" s="1"/>
  <c r="AE26" i="15" s="1"/>
  <c r="AF26" i="15" s="1"/>
  <c r="BU8" i="32"/>
  <c r="BV8" i="32" s="1"/>
  <c r="BW8" i="32" s="1"/>
  <c r="BX8" i="32" s="1"/>
  <c r="BY8" i="32" s="1"/>
  <c r="BZ8" i="32" s="1"/>
  <c r="AG26" i="15"/>
  <c r="AW9" i="32"/>
  <c r="BU9" i="32"/>
  <c r="BV9" i="32" s="1"/>
  <c r="BW9" i="32" s="1"/>
  <c r="BX9" i="32" s="1"/>
  <c r="BY9" i="32" s="1"/>
  <c r="BZ9" i="32" s="1"/>
  <c r="AX8" i="32"/>
  <c r="AV8" i="32"/>
  <c r="AU8" i="32"/>
  <c r="AW10" i="32"/>
  <c r="AS8" i="32"/>
  <c r="AT8" i="32"/>
  <c r="AW8" i="32"/>
  <c r="AV9" i="32"/>
  <c r="AX9" i="32"/>
  <c r="AU9" i="32"/>
  <c r="AS9" i="32"/>
  <c r="AT9" i="32"/>
  <c r="AW11" i="32"/>
  <c r="AV10" i="32"/>
  <c r="AT10" i="32"/>
  <c r="BU10" i="32"/>
  <c r="BV10" i="32" s="1"/>
  <c r="BW10" i="32" s="1"/>
  <c r="BX10" i="32" s="1"/>
  <c r="BY10" i="32" s="1"/>
  <c r="BZ10" i="32" s="1"/>
  <c r="AX10" i="32"/>
  <c r="AU10" i="32"/>
  <c r="AS10" i="32"/>
  <c r="AU11" i="32"/>
  <c r="AX11" i="32"/>
  <c r="AV11" i="32"/>
  <c r="AT11" i="32"/>
  <c r="AS11" i="32"/>
  <c r="AW12" i="32"/>
  <c r="BU11" i="32"/>
  <c r="BV11" i="32" s="1"/>
  <c r="BW11" i="32" s="1"/>
  <c r="BX11" i="32" s="1"/>
  <c r="BY11" i="32" s="1"/>
  <c r="BZ11" i="32" s="1"/>
  <c r="AW15" i="32"/>
  <c r="AT13" i="32"/>
  <c r="AW13" i="32"/>
  <c r="AT12" i="32"/>
  <c r="AV13" i="32"/>
  <c r="AV12" i="32"/>
  <c r="AS13" i="32"/>
  <c r="AS12" i="32"/>
  <c r="AU13" i="32"/>
  <c r="AU12" i="32"/>
  <c r="AX13" i="32"/>
  <c r="AX12" i="32"/>
  <c r="BU12" i="32"/>
  <c r="BV12" i="32" s="1"/>
  <c r="BW12" i="32" s="1"/>
  <c r="BX12" i="32" s="1"/>
  <c r="BY12" i="32" s="1"/>
  <c r="BZ12" i="32" s="1"/>
  <c r="AT15" i="32"/>
  <c r="AU15" i="32"/>
  <c r="AW16" i="32"/>
  <c r="AX14" i="32"/>
  <c r="AT14" i="32"/>
  <c r="AS14" i="32"/>
  <c r="AW14" i="32"/>
  <c r="AU14" i="32"/>
  <c r="AV14" i="32"/>
  <c r="BU13" i="32"/>
  <c r="BV13" i="32" s="1"/>
  <c r="BW13" i="32" s="1"/>
  <c r="BX13" i="32" s="1"/>
  <c r="BY13" i="32" s="1"/>
  <c r="BZ13" i="32" s="1"/>
  <c r="AV15" i="32"/>
  <c r="AX16" i="32"/>
  <c r="AV16" i="32"/>
  <c r="AU16" i="32"/>
  <c r="AT16" i="32"/>
  <c r="AS16" i="32"/>
  <c r="AS15" i="32"/>
  <c r="AX15" i="32"/>
  <c r="L51" i="5"/>
  <c r="M51" i="5"/>
  <c r="N51" i="5"/>
  <c r="O51" i="5"/>
  <c r="P51" i="5"/>
  <c r="Q51" i="5"/>
  <c r="R51" i="5"/>
  <c r="S51" i="5"/>
  <c r="K51" i="5"/>
  <c r="R9" i="5"/>
  <c r="T50" i="5" s="1"/>
  <c r="L50" i="5"/>
  <c r="M50" i="5"/>
  <c r="N50" i="5"/>
  <c r="O50" i="5"/>
  <c r="P50" i="5"/>
  <c r="Q50" i="5"/>
  <c r="R50" i="5"/>
  <c r="S50" i="5"/>
  <c r="K50" i="5"/>
  <c r="J6" i="5"/>
  <c r="K6" i="5"/>
  <c r="L6" i="5"/>
  <c r="M6" i="5"/>
  <c r="N6" i="5"/>
  <c r="O6" i="5"/>
  <c r="P6" i="5"/>
  <c r="Q6" i="5"/>
  <c r="BU15" i="32"/>
  <c r="BV15" i="32" s="1"/>
  <c r="BW15" i="32" s="1"/>
  <c r="BX15" i="32" s="1"/>
  <c r="BY15" i="32" s="1"/>
  <c r="BZ15" i="32" s="1"/>
  <c r="AW17" i="32"/>
  <c r="AU17" i="32"/>
  <c r="AT17" i="32"/>
  <c r="AS17" i="32"/>
  <c r="AX17" i="32"/>
  <c r="AV17" i="32"/>
  <c r="AW19" i="32"/>
  <c r="AS19" i="32"/>
  <c r="AU19" i="32"/>
  <c r="AT19" i="32"/>
  <c r="AV19" i="32"/>
  <c r="AX19" i="32"/>
  <c r="AU20" i="32"/>
  <c r="AS20" i="32"/>
  <c r="AX20" i="32"/>
  <c r="AV20" i="32"/>
  <c r="AT20" i="32"/>
  <c r="AW20" i="32"/>
  <c r="AW21" i="32"/>
  <c r="AU21" i="32"/>
  <c r="AX21" i="32"/>
  <c r="AV21" i="32"/>
  <c r="AS21" i="32"/>
  <c r="AT21" i="32"/>
  <c r="AW24" i="32"/>
  <c r="J27" i="6"/>
  <c r="J26" i="6"/>
  <c r="J20" i="6"/>
  <c r="J19" i="6"/>
  <c r="AX24" i="32"/>
  <c r="AT24" i="32"/>
  <c r="AV24" i="32"/>
  <c r="AU24" i="32"/>
  <c r="AS24" i="32"/>
  <c r="AW25" i="32"/>
  <c r="AS25" i="32"/>
  <c r="AU25" i="32"/>
  <c r="AV25" i="32"/>
  <c r="AT25" i="32"/>
  <c r="AX25" i="32"/>
  <c r="AW27" i="32"/>
  <c r="AS27" i="32"/>
  <c r="AU27" i="32"/>
  <c r="AV27" i="32"/>
  <c r="AT27" i="32"/>
  <c r="AX27" i="32"/>
  <c r="BU24" i="32"/>
  <c r="BV24" i="32" s="1"/>
  <c r="BW24" i="32" s="1"/>
  <c r="BX24" i="32" s="1"/>
  <c r="BY24" i="32" s="1"/>
  <c r="BZ24" i="32" s="1"/>
  <c r="AW26" i="32"/>
  <c r="AU26" i="32"/>
  <c r="AV26" i="32"/>
  <c r="AS26" i="32"/>
  <c r="AT26" i="32"/>
  <c r="AX26" i="32"/>
  <c r="AW28" i="32"/>
  <c r="BU25" i="32"/>
  <c r="BV25" i="32" s="1"/>
  <c r="BW25" i="32" s="1"/>
  <c r="BX25" i="32" s="1"/>
  <c r="BY25" i="32" s="1"/>
  <c r="BZ25" i="32" s="1"/>
  <c r="AS28" i="32"/>
  <c r="AT28" i="32"/>
  <c r="AU28" i="32"/>
  <c r="AX28" i="32"/>
  <c r="AV28" i="32"/>
  <c r="AW32" i="32"/>
  <c r="AU32" i="32"/>
  <c r="AS32" i="32"/>
  <c r="AT32" i="32"/>
  <c r="AV32" i="32"/>
  <c r="AX32" i="32"/>
  <c r="BU27" i="32"/>
  <c r="BV27" i="32" s="1"/>
  <c r="BW27" i="32" s="1"/>
  <c r="BX27" i="32" s="1"/>
  <c r="BY27" i="32" s="1"/>
  <c r="BZ27" i="32" s="1"/>
  <c r="D4" i="28"/>
  <c r="C4" i="24"/>
  <c r="C11" i="15"/>
  <c r="E2" i="1"/>
  <c r="F4" i="1" s="1"/>
  <c r="R4" i="1" s="1"/>
  <c r="H37" i="5"/>
  <c r="H36" i="5"/>
  <c r="G220" i="4"/>
  <c r="G221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J36" i="18"/>
  <c r="F36" i="18"/>
  <c r="J35" i="18"/>
  <c r="F35" i="18"/>
  <c r="J34" i="18"/>
  <c r="F34" i="18"/>
  <c r="J33" i="18"/>
  <c r="F33" i="18"/>
  <c r="J32" i="18"/>
  <c r="F32" i="18"/>
  <c r="J31" i="18"/>
  <c r="F31" i="18"/>
  <c r="J30" i="18"/>
  <c r="F30" i="18"/>
  <c r="J29" i="18"/>
  <c r="F29" i="18"/>
  <c r="J28" i="18"/>
  <c r="F28" i="18"/>
  <c r="J27" i="18"/>
  <c r="F27" i="18"/>
  <c r="J26" i="18"/>
  <c r="F26" i="18"/>
  <c r="J25" i="18"/>
  <c r="F25" i="18"/>
  <c r="J24" i="18"/>
  <c r="F24" i="18"/>
  <c r="J23" i="18"/>
  <c r="F23" i="18"/>
  <c r="J22" i="18"/>
  <c r="F22" i="18"/>
  <c r="J21" i="18"/>
  <c r="F21" i="18"/>
  <c r="J20" i="18"/>
  <c r="F20" i="18"/>
  <c r="J19" i="18"/>
  <c r="F19" i="18"/>
  <c r="J18" i="18"/>
  <c r="F18" i="18"/>
  <c r="J17" i="18"/>
  <c r="F17" i="18"/>
  <c r="J16" i="18"/>
  <c r="F16" i="18"/>
  <c r="J15" i="18"/>
  <c r="F15" i="18"/>
  <c r="J14" i="18"/>
  <c r="F14" i="18"/>
  <c r="J13" i="18"/>
  <c r="F13" i="18"/>
  <c r="J12" i="18"/>
  <c r="F12" i="18"/>
  <c r="J11" i="18"/>
  <c r="F11" i="18"/>
  <c r="J10" i="18"/>
  <c r="F10" i="18"/>
  <c r="J9" i="18"/>
  <c r="F9" i="18"/>
  <c r="J8" i="18"/>
  <c r="F8" i="18"/>
  <c r="J7" i="18"/>
  <c r="F7" i="18"/>
  <c r="L6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J6" i="18"/>
  <c r="F6" i="18"/>
  <c r="DY14" i="14"/>
  <c r="CS14" i="14"/>
  <c r="DY13" i="14"/>
  <c r="CS13" i="14"/>
  <c r="BM13" i="14"/>
  <c r="AD13" i="14"/>
  <c r="AC13" i="14"/>
  <c r="DY12" i="14"/>
  <c r="CS12" i="14"/>
  <c r="BM12" i="14"/>
  <c r="AH12" i="14"/>
  <c r="DY11" i="14"/>
  <c r="CS11" i="14"/>
  <c r="BM11" i="14"/>
  <c r="AH11" i="14"/>
  <c r="DY10" i="14"/>
  <c r="CS10" i="14"/>
  <c r="BM10" i="14"/>
  <c r="AH10" i="14"/>
  <c r="DY9" i="14"/>
  <c r="CS9" i="14"/>
  <c r="BM9" i="14"/>
  <c r="S9" i="14"/>
  <c r="R9" i="14"/>
  <c r="P9" i="14"/>
  <c r="O9" i="14"/>
  <c r="M9" i="14"/>
  <c r="L9" i="14"/>
  <c r="K9" i="14"/>
  <c r="DY8" i="14"/>
  <c r="CS8" i="14"/>
  <c r="BM8" i="14"/>
  <c r="AH8" i="14"/>
  <c r="DY7" i="14"/>
  <c r="CS7" i="14"/>
  <c r="BM7" i="14"/>
  <c r="DY6" i="14"/>
  <c r="CS6" i="14"/>
  <c r="BM6" i="14"/>
  <c r="DY5" i="14"/>
  <c r="CS5" i="14"/>
  <c r="BM5" i="14"/>
  <c r="CU4" i="14"/>
  <c r="CV4" i="14"/>
  <c r="CW4" i="14"/>
  <c r="CX4" i="14"/>
  <c r="CY4" i="14"/>
  <c r="CZ4" i="14"/>
  <c r="DA4" i="14"/>
  <c r="DB4" i="14"/>
  <c r="DC4" i="14"/>
  <c r="DD4" i="14"/>
  <c r="DE4" i="14"/>
  <c r="DF4" i="14"/>
  <c r="DG4" i="14"/>
  <c r="DH4" i="14"/>
  <c r="DI4" i="14"/>
  <c r="DJ4" i="14"/>
  <c r="DK4" i="14"/>
  <c r="DL4" i="14"/>
  <c r="DM4" i="14"/>
  <c r="DN4" i="14"/>
  <c r="DO4" i="14"/>
  <c r="DP4" i="14"/>
  <c r="DQ4" i="14"/>
  <c r="DR4" i="14"/>
  <c r="DS4" i="14"/>
  <c r="DT4" i="14"/>
  <c r="DU4" i="14"/>
  <c r="DV4" i="14"/>
  <c r="DW4" i="14"/>
  <c r="R4" i="14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C5" i="24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D6" i="23"/>
  <c r="C6" i="23" s="1"/>
  <c r="K96" i="30"/>
  <c r="I96" i="30"/>
  <c r="H96" i="30"/>
  <c r="G96" i="30"/>
  <c r="E96" i="30"/>
  <c r="D96" i="30"/>
  <c r="C96" i="30"/>
  <c r="B96" i="30"/>
  <c r="J95" i="30"/>
  <c r="F95" i="30"/>
  <c r="J94" i="30"/>
  <c r="F94" i="30"/>
  <c r="J93" i="30"/>
  <c r="F93" i="30"/>
  <c r="J92" i="30"/>
  <c r="F92" i="30"/>
  <c r="J91" i="30"/>
  <c r="F91" i="30"/>
  <c r="J90" i="30"/>
  <c r="F90" i="30"/>
  <c r="J89" i="30"/>
  <c r="F89" i="30"/>
  <c r="J88" i="30"/>
  <c r="N61" i="30"/>
  <c r="F88" i="30"/>
  <c r="M61" i="30"/>
  <c r="J87" i="30"/>
  <c r="F87" i="30"/>
  <c r="J86" i="30"/>
  <c r="F86" i="30"/>
  <c r="J85" i="30"/>
  <c r="F85" i="30"/>
  <c r="J84" i="30"/>
  <c r="F84" i="30"/>
  <c r="J83" i="30"/>
  <c r="F83" i="30"/>
  <c r="J82" i="30"/>
  <c r="F82" i="30"/>
  <c r="J81" i="30"/>
  <c r="F81" i="30"/>
  <c r="J80" i="30"/>
  <c r="F80" i="30"/>
  <c r="M57" i="30"/>
  <c r="J79" i="30"/>
  <c r="F79" i="30"/>
  <c r="J78" i="30"/>
  <c r="F78" i="30"/>
  <c r="M56" i="30"/>
  <c r="J77" i="30"/>
  <c r="F77" i="30"/>
  <c r="J76" i="30"/>
  <c r="N55" i="30"/>
  <c r="F76" i="30"/>
  <c r="J75" i="30"/>
  <c r="F75" i="30"/>
  <c r="J74" i="30"/>
  <c r="F74" i="30"/>
  <c r="J73" i="30"/>
  <c r="F73" i="30"/>
  <c r="J72" i="30"/>
  <c r="F72" i="30"/>
  <c r="J71" i="30"/>
  <c r="F71" i="30"/>
  <c r="J70" i="30"/>
  <c r="F70" i="30"/>
  <c r="M52" i="30"/>
  <c r="J69" i="30"/>
  <c r="F69" i="30"/>
  <c r="J68" i="30"/>
  <c r="N51" i="30"/>
  <c r="F68" i="30"/>
  <c r="J67" i="30"/>
  <c r="F67" i="30"/>
  <c r="J66" i="30"/>
  <c r="F66" i="30"/>
  <c r="J65" i="30"/>
  <c r="F65" i="30"/>
  <c r="O64" i="30"/>
  <c r="J64" i="30"/>
  <c r="N49" i="30"/>
  <c r="F64" i="30"/>
  <c r="O63" i="30"/>
  <c r="J63" i="30"/>
  <c r="F63" i="30"/>
  <c r="O62" i="30"/>
  <c r="J62" i="30"/>
  <c r="F62" i="30"/>
  <c r="O61" i="30"/>
  <c r="J61" i="30"/>
  <c r="F61" i="30"/>
  <c r="O60" i="30"/>
  <c r="J60" i="30"/>
  <c r="F60" i="30"/>
  <c r="O59" i="30"/>
  <c r="J59" i="30"/>
  <c r="F59" i="30"/>
  <c r="O58" i="30"/>
  <c r="J58" i="30"/>
  <c r="N46" i="30"/>
  <c r="F58" i="30"/>
  <c r="M46" i="30"/>
  <c r="O57" i="30"/>
  <c r="J57" i="30"/>
  <c r="F57" i="30"/>
  <c r="O56" i="30"/>
  <c r="J56" i="30"/>
  <c r="F56" i="30"/>
  <c r="O55" i="30"/>
  <c r="J55" i="30"/>
  <c r="F55" i="30"/>
  <c r="O54" i="30"/>
  <c r="J54" i="30"/>
  <c r="F54" i="30"/>
  <c r="O53" i="30"/>
  <c r="J53" i="30"/>
  <c r="F53" i="30"/>
  <c r="O52" i="30"/>
  <c r="J52" i="30"/>
  <c r="F52" i="30"/>
  <c r="O51" i="30"/>
  <c r="J51" i="30"/>
  <c r="F51" i="30"/>
  <c r="O50" i="30"/>
  <c r="J50" i="30"/>
  <c r="F50" i="30"/>
  <c r="O49" i="30"/>
  <c r="J49" i="30"/>
  <c r="F49" i="30"/>
  <c r="O48" i="30"/>
  <c r="J48" i="30"/>
  <c r="F48" i="30"/>
  <c r="O47" i="30"/>
  <c r="J47" i="30"/>
  <c r="F47" i="30"/>
  <c r="O46" i="30"/>
  <c r="J46" i="30"/>
  <c r="F46" i="30"/>
  <c r="O45" i="30"/>
  <c r="J45" i="30"/>
  <c r="F45" i="30"/>
  <c r="O44" i="30"/>
  <c r="J44" i="30"/>
  <c r="F44" i="30"/>
  <c r="O43" i="30"/>
  <c r="J43" i="30"/>
  <c r="F43" i="30"/>
  <c r="O42" i="30"/>
  <c r="J42" i="30"/>
  <c r="F42" i="30"/>
  <c r="O41" i="30"/>
  <c r="J41" i="30"/>
  <c r="F41" i="30"/>
  <c r="O40" i="30"/>
  <c r="J40" i="30"/>
  <c r="F40" i="30"/>
  <c r="O39" i="30"/>
  <c r="J39" i="30"/>
  <c r="F39" i="30"/>
  <c r="O38" i="30"/>
  <c r="J38" i="30"/>
  <c r="F38" i="30"/>
  <c r="O37" i="30"/>
  <c r="J37" i="30"/>
  <c r="F37" i="30"/>
  <c r="A37" i="30"/>
  <c r="A39" i="30"/>
  <c r="A41" i="30"/>
  <c r="A43" i="30"/>
  <c r="A45" i="30"/>
  <c r="A47" i="30"/>
  <c r="A49" i="30"/>
  <c r="A51" i="30"/>
  <c r="A53" i="30"/>
  <c r="A55" i="30"/>
  <c r="A57" i="30"/>
  <c r="A59" i="30"/>
  <c r="A61" i="30"/>
  <c r="A63" i="30"/>
  <c r="A65" i="30"/>
  <c r="A67" i="30"/>
  <c r="A69" i="30"/>
  <c r="A71" i="30"/>
  <c r="A73" i="30"/>
  <c r="A75" i="30"/>
  <c r="A77" i="30"/>
  <c r="A79" i="30"/>
  <c r="A81" i="30"/>
  <c r="A83" i="30"/>
  <c r="A85" i="30"/>
  <c r="A87" i="30"/>
  <c r="A89" i="30"/>
  <c r="A91" i="30"/>
  <c r="A93" i="30"/>
  <c r="A95" i="30"/>
  <c r="O36" i="30"/>
  <c r="J36" i="30"/>
  <c r="F36" i="30"/>
  <c r="A36" i="30"/>
  <c r="A38" i="30"/>
  <c r="A40" i="30"/>
  <c r="A42" i="30"/>
  <c r="A44" i="30"/>
  <c r="A46" i="30"/>
  <c r="A48" i="30"/>
  <c r="A50" i="30"/>
  <c r="A52" i="30"/>
  <c r="A54" i="30"/>
  <c r="A56" i="30"/>
  <c r="A58" i="30"/>
  <c r="A60" i="30"/>
  <c r="A62" i="30"/>
  <c r="A64" i="30"/>
  <c r="A66" i="30"/>
  <c r="A68" i="30"/>
  <c r="A70" i="30"/>
  <c r="A72" i="30"/>
  <c r="A74" i="30"/>
  <c r="A76" i="30"/>
  <c r="A78" i="30"/>
  <c r="A80" i="30"/>
  <c r="A82" i="30"/>
  <c r="A84" i="30"/>
  <c r="A86" i="30"/>
  <c r="A88" i="30"/>
  <c r="A90" i="30"/>
  <c r="A92" i="30"/>
  <c r="A94" i="30"/>
  <c r="O35" i="30"/>
  <c r="J35" i="30"/>
  <c r="F35" i="30"/>
  <c r="O34" i="30"/>
  <c r="J34" i="30"/>
  <c r="F34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C109" i="27"/>
  <c r="C97" i="27"/>
  <c r="Q85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C99" i="27"/>
  <c r="R71" i="27"/>
  <c r="C103" i="27"/>
  <c r="Q71" i="27"/>
  <c r="P71" i="27"/>
  <c r="O71" i="27"/>
  <c r="C102" i="27"/>
  <c r="N71" i="27"/>
  <c r="C108" i="27"/>
  <c r="M71" i="27"/>
  <c r="L71" i="27"/>
  <c r="K71" i="27"/>
  <c r="C106" i="27"/>
  <c r="J71" i="27"/>
  <c r="I71" i="27"/>
  <c r="H71" i="27"/>
  <c r="G71" i="27"/>
  <c r="F71" i="27"/>
  <c r="E71" i="27"/>
  <c r="D71" i="27"/>
  <c r="C71" i="27"/>
  <c r="AG70" i="27"/>
  <c r="AG69" i="27"/>
  <c r="AG68" i="27"/>
  <c r="AG67" i="27"/>
  <c r="AG66" i="27"/>
  <c r="AG65" i="27"/>
  <c r="AG64" i="27"/>
  <c r="AG63" i="27"/>
  <c r="AG62" i="27"/>
  <c r="AG61" i="27"/>
  <c r="AG60" i="27"/>
  <c r="AG59" i="27"/>
  <c r="AG58" i="27"/>
  <c r="AG57" i="27"/>
  <c r="AG56" i="27"/>
  <c r="AG55" i="27"/>
  <c r="AG54" i="27"/>
  <c r="AG53" i="27"/>
  <c r="AG52" i="27"/>
  <c r="AG51" i="27"/>
  <c r="AG50" i="27"/>
  <c r="AG49" i="27"/>
  <c r="AG48" i="27"/>
  <c r="AG47" i="27"/>
  <c r="AG46" i="27"/>
  <c r="AG45" i="27"/>
  <c r="AG44" i="27"/>
  <c r="AG43" i="27"/>
  <c r="AG42" i="27"/>
  <c r="AG41" i="27"/>
  <c r="AG40" i="27"/>
  <c r="I37" i="27"/>
  <c r="AF35" i="27"/>
  <c r="AE35" i="27"/>
  <c r="AD35" i="27"/>
  <c r="AC35" i="27"/>
  <c r="AB35" i="27"/>
  <c r="AA35" i="27"/>
  <c r="Z35" i="27"/>
  <c r="Y35" i="27"/>
  <c r="C81" i="27"/>
  <c r="X35" i="27"/>
  <c r="C85" i="27"/>
  <c r="W35" i="27"/>
  <c r="V35" i="27"/>
  <c r="U35" i="27"/>
  <c r="C84" i="27"/>
  <c r="T35" i="27"/>
  <c r="C89" i="27"/>
  <c r="S35" i="27"/>
  <c r="C79" i="27"/>
  <c r="R35" i="27"/>
  <c r="C83" i="27"/>
  <c r="Q35" i="27"/>
  <c r="C88" i="27"/>
  <c r="P35" i="27"/>
  <c r="C78" i="27"/>
  <c r="O35" i="27"/>
  <c r="C82" i="27"/>
  <c r="N35" i="27"/>
  <c r="C87" i="27"/>
  <c r="M35" i="27"/>
  <c r="C77" i="27"/>
  <c r="L35" i="27"/>
  <c r="K35" i="27"/>
  <c r="C86" i="27"/>
  <c r="J35" i="27"/>
  <c r="I35" i="27"/>
  <c r="H35" i="27"/>
  <c r="G35" i="27"/>
  <c r="F35" i="27"/>
  <c r="E35" i="27"/>
  <c r="D35" i="27"/>
  <c r="C35" i="27"/>
  <c r="AG34" i="27"/>
  <c r="AG33" i="27"/>
  <c r="AG32" i="27"/>
  <c r="AG31" i="27"/>
  <c r="AG30" i="27"/>
  <c r="AG29" i="27"/>
  <c r="AG28" i="27"/>
  <c r="AG27" i="27"/>
  <c r="AG26" i="27"/>
  <c r="AG25" i="27"/>
  <c r="AG24" i="27"/>
  <c r="AG23" i="27"/>
  <c r="AG22" i="27"/>
  <c r="AG21" i="27"/>
  <c r="AG20" i="27"/>
  <c r="AG19" i="27"/>
  <c r="AG18" i="27"/>
  <c r="AG17" i="27"/>
  <c r="AG16" i="27"/>
  <c r="AG15" i="27"/>
  <c r="AG14" i="27"/>
  <c r="AG13" i="27"/>
  <c r="AG12" i="27"/>
  <c r="AG11" i="27"/>
  <c r="AG10" i="27"/>
  <c r="AG9" i="27"/>
  <c r="AG8" i="27"/>
  <c r="AG7" i="27"/>
  <c r="AG6" i="27"/>
  <c r="AG5" i="27"/>
  <c r="AG4" i="27"/>
  <c r="X182" i="29"/>
  <c r="W182" i="29"/>
  <c r="V182" i="29"/>
  <c r="U182" i="29"/>
  <c r="X181" i="29"/>
  <c r="W181" i="29"/>
  <c r="V181" i="29"/>
  <c r="U181" i="29"/>
  <c r="X180" i="29"/>
  <c r="W180" i="29"/>
  <c r="V180" i="29"/>
  <c r="U180" i="29"/>
  <c r="X179" i="29"/>
  <c r="W179" i="29"/>
  <c r="V179" i="29"/>
  <c r="U179" i="29"/>
  <c r="X178" i="29"/>
  <c r="W178" i="29"/>
  <c r="V178" i="29"/>
  <c r="U178" i="29"/>
  <c r="X177" i="29"/>
  <c r="W177" i="29"/>
  <c r="V177" i="29"/>
  <c r="U177" i="29"/>
  <c r="X176" i="29"/>
  <c r="W176" i="29"/>
  <c r="V176" i="29"/>
  <c r="U176" i="29"/>
  <c r="AH165" i="29"/>
  <c r="W162" i="29"/>
  <c r="V162" i="29"/>
  <c r="U162" i="29"/>
  <c r="W161" i="29"/>
  <c r="V161" i="29"/>
  <c r="U161" i="29"/>
  <c r="W160" i="29"/>
  <c r="V160" i="29"/>
  <c r="U160" i="29"/>
  <c r="W159" i="29"/>
  <c r="V159" i="29"/>
  <c r="U159" i="29"/>
  <c r="W158" i="29"/>
  <c r="V158" i="29"/>
  <c r="U158" i="29"/>
  <c r="W157" i="29"/>
  <c r="V157" i="29"/>
  <c r="U157" i="29"/>
  <c r="W156" i="29"/>
  <c r="V156" i="29"/>
  <c r="U156" i="29"/>
  <c r="AG147" i="29"/>
  <c r="AF147" i="29"/>
  <c r="AE147" i="29"/>
  <c r="AD147" i="29"/>
  <c r="AC147" i="29"/>
  <c r="AN147" i="29"/>
  <c r="AB147" i="29"/>
  <c r="AA147" i="29"/>
  <c r="X147" i="29"/>
  <c r="AR147" i="29"/>
  <c r="T147" i="29"/>
  <c r="S147" i="29"/>
  <c r="Q147" i="29"/>
  <c r="P147" i="29"/>
  <c r="O147" i="29"/>
  <c r="N147" i="29"/>
  <c r="M147" i="29"/>
  <c r="L147" i="29"/>
  <c r="K147" i="29"/>
  <c r="J147" i="29"/>
  <c r="I147" i="29"/>
  <c r="H147" i="29"/>
  <c r="G147" i="29"/>
  <c r="F147" i="29"/>
  <c r="E147" i="29"/>
  <c r="D147" i="29"/>
  <c r="AG146" i="29"/>
  <c r="AF146" i="29"/>
  <c r="AE146" i="29"/>
  <c r="AD146" i="29"/>
  <c r="AC146" i="29"/>
  <c r="AN146" i="29"/>
  <c r="AB146" i="29"/>
  <c r="AA146" i="29"/>
  <c r="X146" i="29"/>
  <c r="AR146" i="29"/>
  <c r="T146" i="29"/>
  <c r="S146" i="29"/>
  <c r="Q146" i="29"/>
  <c r="P146" i="29"/>
  <c r="O146" i="29"/>
  <c r="N146" i="29"/>
  <c r="M146" i="29"/>
  <c r="L146" i="29"/>
  <c r="K146" i="29"/>
  <c r="J146" i="29"/>
  <c r="I146" i="29"/>
  <c r="H146" i="29"/>
  <c r="G146" i="29"/>
  <c r="F146" i="29"/>
  <c r="E146" i="29"/>
  <c r="D146" i="29"/>
  <c r="AG145" i="29"/>
  <c r="AF145" i="29"/>
  <c r="AE145" i="29"/>
  <c r="AD145" i="29"/>
  <c r="AC145" i="29"/>
  <c r="AN145" i="29"/>
  <c r="AB145" i="29"/>
  <c r="AA145" i="29"/>
  <c r="X145" i="29"/>
  <c r="AR145" i="29"/>
  <c r="T145" i="29"/>
  <c r="S145" i="29"/>
  <c r="Q145" i="29"/>
  <c r="P145" i="29"/>
  <c r="O145" i="29"/>
  <c r="N145" i="29"/>
  <c r="M145" i="29"/>
  <c r="L145" i="29"/>
  <c r="K145" i="29"/>
  <c r="J145" i="29"/>
  <c r="I145" i="29"/>
  <c r="H145" i="29"/>
  <c r="G145" i="29"/>
  <c r="F145" i="29"/>
  <c r="E145" i="29"/>
  <c r="D145" i="29"/>
  <c r="AG144" i="29"/>
  <c r="AF144" i="29"/>
  <c r="AE144" i="29"/>
  <c r="AD144" i="29"/>
  <c r="AC144" i="29"/>
  <c r="AN144" i="29"/>
  <c r="AB144" i="29"/>
  <c r="AA144" i="29"/>
  <c r="X144" i="29"/>
  <c r="AR144" i="29"/>
  <c r="T144" i="29"/>
  <c r="S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AG143" i="29"/>
  <c r="AF143" i="29"/>
  <c r="AE143" i="29"/>
  <c r="AD143" i="29"/>
  <c r="AC143" i="29"/>
  <c r="AN143" i="29"/>
  <c r="AB143" i="29"/>
  <c r="AA143" i="29"/>
  <c r="X143" i="29"/>
  <c r="AR143" i="29"/>
  <c r="T143" i="29"/>
  <c r="S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AG142" i="29"/>
  <c r="AF142" i="29"/>
  <c r="AE142" i="29"/>
  <c r="AD142" i="29"/>
  <c r="AC142" i="29"/>
  <c r="AN142" i="29"/>
  <c r="AB142" i="29"/>
  <c r="AA142" i="29"/>
  <c r="X142" i="29"/>
  <c r="AR142" i="29"/>
  <c r="T142" i="29"/>
  <c r="S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AG141" i="29"/>
  <c r="AF141" i="29"/>
  <c r="AE141" i="29"/>
  <c r="AD141" i="29"/>
  <c r="AC141" i="29"/>
  <c r="AN141" i="29"/>
  <c r="AB141" i="29"/>
  <c r="AA141" i="29"/>
  <c r="X141" i="29"/>
  <c r="AR141" i="29"/>
  <c r="T141" i="29"/>
  <c r="S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AR140" i="29"/>
  <c r="AN140" i="29"/>
  <c r="Z140" i="29"/>
  <c r="Z39" i="29"/>
  <c r="W140" i="29"/>
  <c r="V140" i="29"/>
  <c r="U140" i="29"/>
  <c r="U39" i="29"/>
  <c r="U175" i="29"/>
  <c r="AG138" i="29"/>
  <c r="AF138" i="29"/>
  <c r="AE138" i="29"/>
  <c r="AD138" i="29"/>
  <c r="AC138" i="29"/>
  <c r="AB138" i="29"/>
  <c r="AA138" i="29"/>
  <c r="Z138" i="29"/>
  <c r="Y138" i="29"/>
  <c r="X138" i="29"/>
  <c r="U138" i="29"/>
  <c r="N138" i="29"/>
  <c r="K138" i="29"/>
  <c r="I138" i="29"/>
  <c r="H138" i="29"/>
  <c r="G138" i="29"/>
  <c r="F138" i="29"/>
  <c r="E138" i="29"/>
  <c r="D138" i="29"/>
  <c r="AG137" i="29"/>
  <c r="AF137" i="29"/>
  <c r="AE137" i="29"/>
  <c r="AD137" i="29"/>
  <c r="AC137" i="29"/>
  <c r="AB137" i="29"/>
  <c r="AA137" i="29"/>
  <c r="Z137" i="29"/>
  <c r="Y137" i="29"/>
  <c r="X137" i="29"/>
  <c r="U137" i="29"/>
  <c r="N137" i="29"/>
  <c r="K137" i="29"/>
  <c r="I137" i="29"/>
  <c r="H137" i="29"/>
  <c r="G137" i="29"/>
  <c r="F137" i="29"/>
  <c r="E137" i="29"/>
  <c r="D137" i="29"/>
  <c r="AG136" i="29"/>
  <c r="AF136" i="29"/>
  <c r="AE136" i="29"/>
  <c r="AD136" i="29"/>
  <c r="AC136" i="29"/>
  <c r="AB136" i="29"/>
  <c r="AA136" i="29"/>
  <c r="Z136" i="29"/>
  <c r="Y136" i="29"/>
  <c r="X136" i="29"/>
  <c r="U136" i="29"/>
  <c r="N136" i="29"/>
  <c r="K136" i="29"/>
  <c r="I136" i="29"/>
  <c r="H136" i="29"/>
  <c r="G136" i="29"/>
  <c r="F136" i="29"/>
  <c r="E136" i="29"/>
  <c r="D136" i="29"/>
  <c r="AG135" i="29"/>
  <c r="AF135" i="29"/>
  <c r="AE135" i="29"/>
  <c r="AD135" i="29"/>
  <c r="AC135" i="29"/>
  <c r="AB135" i="29"/>
  <c r="AA135" i="29"/>
  <c r="Z135" i="29"/>
  <c r="Y135" i="29"/>
  <c r="X135" i="29"/>
  <c r="U135" i="29"/>
  <c r="N135" i="29"/>
  <c r="K135" i="29"/>
  <c r="I135" i="29"/>
  <c r="H135" i="29"/>
  <c r="G135" i="29"/>
  <c r="F135" i="29"/>
  <c r="E135" i="29"/>
  <c r="D135" i="29"/>
  <c r="AG134" i="29"/>
  <c r="AF134" i="29"/>
  <c r="AE134" i="29"/>
  <c r="AD134" i="29"/>
  <c r="AC134" i="29"/>
  <c r="AB134" i="29"/>
  <c r="AA134" i="29"/>
  <c r="Z134" i="29"/>
  <c r="Y134" i="29"/>
  <c r="X134" i="29"/>
  <c r="U134" i="29"/>
  <c r="N134" i="29"/>
  <c r="K134" i="29"/>
  <c r="I134" i="29"/>
  <c r="H134" i="29"/>
  <c r="G134" i="29"/>
  <c r="F134" i="29"/>
  <c r="E134" i="29"/>
  <c r="D134" i="29"/>
  <c r="AG133" i="29"/>
  <c r="AF133" i="29"/>
  <c r="AE133" i="29"/>
  <c r="AD133" i="29"/>
  <c r="AC133" i="29"/>
  <c r="AB133" i="29"/>
  <c r="AA133" i="29"/>
  <c r="Z133" i="29"/>
  <c r="Y133" i="29"/>
  <c r="X133" i="29"/>
  <c r="U133" i="29"/>
  <c r="N133" i="29"/>
  <c r="K133" i="29"/>
  <c r="I133" i="29"/>
  <c r="H133" i="29"/>
  <c r="G133" i="29"/>
  <c r="F133" i="29"/>
  <c r="E133" i="29"/>
  <c r="D133" i="29"/>
  <c r="AG132" i="29"/>
  <c r="AF132" i="29"/>
  <c r="AE132" i="29"/>
  <c r="AD132" i="29"/>
  <c r="AC132" i="29"/>
  <c r="AB132" i="29"/>
  <c r="AA132" i="29"/>
  <c r="Z132" i="29"/>
  <c r="Y132" i="29"/>
  <c r="X132" i="29"/>
  <c r="U132" i="29"/>
  <c r="N132" i="29"/>
  <c r="K132" i="29"/>
  <c r="I132" i="29"/>
  <c r="H132" i="29"/>
  <c r="G132" i="29"/>
  <c r="F132" i="29"/>
  <c r="E132" i="29"/>
  <c r="D132" i="29"/>
  <c r="W131" i="29"/>
  <c r="W39" i="29"/>
  <c r="V131" i="29"/>
  <c r="T131" i="29"/>
  <c r="T39" i="29"/>
  <c r="S131" i="29"/>
  <c r="S39" i="29"/>
  <c r="Q131" i="29"/>
  <c r="Q39" i="29"/>
  <c r="P131" i="29"/>
  <c r="P39" i="29"/>
  <c r="M131" i="29"/>
  <c r="M39" i="29"/>
  <c r="L131" i="29"/>
  <c r="L39" i="29"/>
  <c r="J131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AL129" i="29"/>
  <c r="S129" i="29"/>
  <c r="AI129" i="29"/>
  <c r="R129" i="29"/>
  <c r="Q129" i="29"/>
  <c r="P129" i="29"/>
  <c r="AH129" i="29"/>
  <c r="O129" i="29"/>
  <c r="AQ129" i="29"/>
  <c r="N129" i="29"/>
  <c r="M129" i="29"/>
  <c r="L129" i="29"/>
  <c r="AP129" i="29"/>
  <c r="K129" i="29"/>
  <c r="J129" i="29"/>
  <c r="I129" i="29"/>
  <c r="H129" i="29"/>
  <c r="G129" i="29"/>
  <c r="F129" i="29"/>
  <c r="E129" i="29"/>
  <c r="D129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AL128" i="29"/>
  <c r="S128" i="29"/>
  <c r="AI128" i="29"/>
  <c r="R128" i="29"/>
  <c r="Q128" i="29"/>
  <c r="P128" i="29"/>
  <c r="AH128" i="29"/>
  <c r="O128" i="29"/>
  <c r="AQ128" i="29"/>
  <c r="N128" i="29"/>
  <c r="M128" i="29"/>
  <c r="L128" i="29"/>
  <c r="AP128" i="29"/>
  <c r="K128" i="29"/>
  <c r="J128" i="29"/>
  <c r="I128" i="29"/>
  <c r="H128" i="29"/>
  <c r="G128" i="29"/>
  <c r="F128" i="29"/>
  <c r="E128" i="29"/>
  <c r="D128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AL127" i="29"/>
  <c r="S127" i="29"/>
  <c r="AI127" i="29"/>
  <c r="R127" i="29"/>
  <c r="Q127" i="29"/>
  <c r="P127" i="29"/>
  <c r="AH127" i="29"/>
  <c r="O127" i="29"/>
  <c r="AQ127" i="29"/>
  <c r="N127" i="29"/>
  <c r="M127" i="29"/>
  <c r="L127" i="29"/>
  <c r="AP127" i="29"/>
  <c r="K127" i="29"/>
  <c r="J127" i="29"/>
  <c r="I127" i="29"/>
  <c r="H127" i="29"/>
  <c r="G127" i="29"/>
  <c r="F127" i="29"/>
  <c r="E127" i="29"/>
  <c r="D127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AL126" i="29"/>
  <c r="S126" i="29"/>
  <c r="AI126" i="29"/>
  <c r="R126" i="29"/>
  <c r="Q126" i="29"/>
  <c r="P126" i="29"/>
  <c r="AH126" i="29"/>
  <c r="O126" i="29"/>
  <c r="AQ126" i="29"/>
  <c r="N126" i="29"/>
  <c r="M126" i="29"/>
  <c r="L126" i="29"/>
  <c r="AP126" i="29"/>
  <c r="K126" i="29"/>
  <c r="J126" i="29"/>
  <c r="I126" i="29"/>
  <c r="H126" i="29"/>
  <c r="G126" i="29"/>
  <c r="F126" i="29"/>
  <c r="E126" i="29"/>
  <c r="D126" i="29"/>
  <c r="AG125" i="29"/>
  <c r="AF125" i="29"/>
  <c r="AE125" i="29"/>
  <c r="AD125" i="29"/>
  <c r="AC125" i="29"/>
  <c r="AB125" i="29"/>
  <c r="AA125" i="29"/>
  <c r="Z125" i="29"/>
  <c r="Y125" i="29"/>
  <c r="X125" i="29"/>
  <c r="W125" i="29"/>
  <c r="V125" i="29"/>
  <c r="U125" i="29"/>
  <c r="T125" i="29"/>
  <c r="AL125" i="29"/>
  <c r="S125" i="29"/>
  <c r="AI125" i="29"/>
  <c r="R125" i="29"/>
  <c r="Q125" i="29"/>
  <c r="P125" i="29"/>
  <c r="AH125" i="29"/>
  <c r="O125" i="29"/>
  <c r="AQ125" i="29"/>
  <c r="N125" i="29"/>
  <c r="M125" i="29"/>
  <c r="L125" i="29"/>
  <c r="AP125" i="29"/>
  <c r="K125" i="29"/>
  <c r="J125" i="29"/>
  <c r="I125" i="29"/>
  <c r="H125" i="29"/>
  <c r="G125" i="29"/>
  <c r="F125" i="29"/>
  <c r="E125" i="29"/>
  <c r="D125" i="29"/>
  <c r="AG124" i="29"/>
  <c r="AF124" i="29"/>
  <c r="AE124" i="29"/>
  <c r="AD124" i="29"/>
  <c r="AC124" i="29"/>
  <c r="AB124" i="29"/>
  <c r="AA124" i="29"/>
  <c r="Z124" i="29"/>
  <c r="Y124" i="29"/>
  <c r="X124" i="29"/>
  <c r="W124" i="29"/>
  <c r="V124" i="29"/>
  <c r="U124" i="29"/>
  <c r="T124" i="29"/>
  <c r="AL124" i="29"/>
  <c r="S124" i="29"/>
  <c r="AI124" i="29"/>
  <c r="R124" i="29"/>
  <c r="Q124" i="29"/>
  <c r="P124" i="29"/>
  <c r="AH124" i="29"/>
  <c r="O124" i="29"/>
  <c r="AQ124" i="29"/>
  <c r="N124" i="29"/>
  <c r="M124" i="29"/>
  <c r="L124" i="29"/>
  <c r="AP124" i="29"/>
  <c r="K124" i="29"/>
  <c r="J124" i="29"/>
  <c r="I124" i="29"/>
  <c r="H124" i="29"/>
  <c r="G124" i="29"/>
  <c r="F124" i="29"/>
  <c r="E124" i="29"/>
  <c r="D124" i="29"/>
  <c r="AG123" i="29"/>
  <c r="AF123" i="29"/>
  <c r="AE123" i="29"/>
  <c r="AD123" i="29"/>
  <c r="AC123" i="29"/>
  <c r="AB123" i="29"/>
  <c r="AA123" i="29"/>
  <c r="Z123" i="29"/>
  <c r="Y123" i="29"/>
  <c r="X123" i="29"/>
  <c r="W123" i="29"/>
  <c r="V123" i="29"/>
  <c r="U123" i="29"/>
  <c r="T123" i="29"/>
  <c r="AL123" i="29"/>
  <c r="S123" i="29"/>
  <c r="AI123" i="29"/>
  <c r="R123" i="29"/>
  <c r="Q123" i="29"/>
  <c r="P123" i="29"/>
  <c r="AH123" i="29"/>
  <c r="O123" i="29"/>
  <c r="AQ123" i="29"/>
  <c r="N123" i="29"/>
  <c r="M123" i="29"/>
  <c r="L123" i="29"/>
  <c r="AP123" i="29"/>
  <c r="K123" i="29"/>
  <c r="J123" i="29"/>
  <c r="I123" i="29"/>
  <c r="H123" i="29"/>
  <c r="G123" i="29"/>
  <c r="F123" i="29"/>
  <c r="E123" i="29"/>
  <c r="D123" i="29"/>
  <c r="AW122" i="29"/>
  <c r="AQ122" i="29"/>
  <c r="AP122" i="29"/>
  <c r="AL122" i="29"/>
  <c r="AU122" i="29"/>
  <c r="AI122" i="29"/>
  <c r="AH122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AL120" i="29"/>
  <c r="P120" i="29"/>
  <c r="AH120" i="29"/>
  <c r="O120" i="29"/>
  <c r="N120" i="29"/>
  <c r="M120" i="29"/>
  <c r="L120" i="29"/>
  <c r="AP120" i="29"/>
  <c r="K120" i="29"/>
  <c r="J120" i="29"/>
  <c r="I120" i="29"/>
  <c r="H120" i="29"/>
  <c r="G120" i="29"/>
  <c r="F120" i="29"/>
  <c r="E120" i="29"/>
  <c r="D120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AL119" i="29"/>
  <c r="P119" i="29"/>
  <c r="AH119" i="29"/>
  <c r="O119" i="29"/>
  <c r="N119" i="29"/>
  <c r="M119" i="29"/>
  <c r="L119" i="29"/>
  <c r="AP119" i="29"/>
  <c r="K119" i="29"/>
  <c r="J119" i="29"/>
  <c r="I119" i="29"/>
  <c r="H119" i="29"/>
  <c r="G119" i="29"/>
  <c r="F119" i="29"/>
  <c r="E119" i="29"/>
  <c r="D119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AL118" i="29"/>
  <c r="P118" i="29"/>
  <c r="AH118" i="29"/>
  <c r="O118" i="29"/>
  <c r="N118" i="29"/>
  <c r="M118" i="29"/>
  <c r="L118" i="29"/>
  <c r="AP118" i="29"/>
  <c r="K118" i="29"/>
  <c r="J118" i="29"/>
  <c r="I118" i="29"/>
  <c r="H118" i="29"/>
  <c r="G118" i="29"/>
  <c r="F118" i="29"/>
  <c r="E118" i="29"/>
  <c r="D118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AL117" i="29"/>
  <c r="P117" i="29"/>
  <c r="AH117" i="29"/>
  <c r="O117" i="29"/>
  <c r="N117" i="29"/>
  <c r="M117" i="29"/>
  <c r="L117" i="29"/>
  <c r="AP117" i="29"/>
  <c r="K117" i="29"/>
  <c r="J117" i="29"/>
  <c r="I117" i="29"/>
  <c r="H117" i="29"/>
  <c r="G117" i="29"/>
  <c r="F117" i="29"/>
  <c r="E117" i="29"/>
  <c r="D117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AL116" i="29"/>
  <c r="P116" i="29"/>
  <c r="AH116" i="29"/>
  <c r="O116" i="29"/>
  <c r="N116" i="29"/>
  <c r="M116" i="29"/>
  <c r="L116" i="29"/>
  <c r="AP116" i="29"/>
  <c r="K116" i="29"/>
  <c r="J116" i="29"/>
  <c r="I116" i="29"/>
  <c r="H116" i="29"/>
  <c r="G116" i="29"/>
  <c r="F116" i="29"/>
  <c r="E116" i="29"/>
  <c r="D116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AL115" i="29"/>
  <c r="P115" i="29"/>
  <c r="AH115" i="29"/>
  <c r="O115" i="29"/>
  <c r="N115" i="29"/>
  <c r="M115" i="29"/>
  <c r="L115" i="29"/>
  <c r="AP115" i="29"/>
  <c r="K115" i="29"/>
  <c r="J115" i="29"/>
  <c r="I115" i="29"/>
  <c r="H115" i="29"/>
  <c r="G115" i="29"/>
  <c r="F115" i="29"/>
  <c r="E115" i="29"/>
  <c r="D115" i="29"/>
  <c r="AG114" i="29"/>
  <c r="AF114" i="29"/>
  <c r="AE114" i="29"/>
  <c r="AD114" i="29"/>
  <c r="AC114" i="29"/>
  <c r="AB114" i="29"/>
  <c r="AA114" i="29"/>
  <c r="Z114" i="29"/>
  <c r="Y114" i="29"/>
  <c r="X114" i="29"/>
  <c r="W114" i="29"/>
  <c r="V114" i="29"/>
  <c r="U114" i="29"/>
  <c r="T114" i="29"/>
  <c r="S114" i="29"/>
  <c r="R114" i="29"/>
  <c r="Q114" i="29"/>
  <c r="AL114" i="29"/>
  <c r="P114" i="29"/>
  <c r="AH114" i="29"/>
  <c r="O114" i="29"/>
  <c r="N114" i="29"/>
  <c r="M114" i="29"/>
  <c r="L114" i="29"/>
  <c r="AP114" i="29"/>
  <c r="K114" i="29"/>
  <c r="J114" i="29"/>
  <c r="I114" i="29"/>
  <c r="H114" i="29"/>
  <c r="G114" i="29"/>
  <c r="F114" i="29"/>
  <c r="E114" i="29"/>
  <c r="D114" i="29"/>
  <c r="AW113" i="29"/>
  <c r="AP113" i="29"/>
  <c r="AV113" i="29"/>
  <c r="AL113" i="29"/>
  <c r="AU113" i="29"/>
  <c r="AH113" i="29"/>
  <c r="AT113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AM111" i="29"/>
  <c r="P111" i="29"/>
  <c r="O111" i="29"/>
  <c r="N111" i="29"/>
  <c r="AL111" i="29"/>
  <c r="M111" i="29"/>
  <c r="AI111" i="29"/>
  <c r="L111" i="29"/>
  <c r="AQ111" i="29"/>
  <c r="K111" i="29"/>
  <c r="J111" i="29"/>
  <c r="AH111" i="29"/>
  <c r="I111" i="29"/>
  <c r="AP111" i="29"/>
  <c r="H111" i="29"/>
  <c r="G111" i="29"/>
  <c r="F111" i="29"/>
  <c r="E111" i="29"/>
  <c r="D111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AM110" i="29"/>
  <c r="P110" i="29"/>
  <c r="O110" i="29"/>
  <c r="N110" i="29"/>
  <c r="AL110" i="29"/>
  <c r="M110" i="29"/>
  <c r="AI110" i="29"/>
  <c r="L110" i="29"/>
  <c r="AQ110" i="29"/>
  <c r="K110" i="29"/>
  <c r="J110" i="29"/>
  <c r="AH110" i="29"/>
  <c r="I110" i="29"/>
  <c r="AP110" i="29"/>
  <c r="H110" i="29"/>
  <c r="G110" i="29"/>
  <c r="F110" i="29"/>
  <c r="E110" i="29"/>
  <c r="D110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AM109" i="29"/>
  <c r="P109" i="29"/>
  <c r="O109" i="29"/>
  <c r="N109" i="29"/>
  <c r="AL109" i="29"/>
  <c r="M109" i="29"/>
  <c r="AI109" i="29"/>
  <c r="L109" i="29"/>
  <c r="AQ109" i="29"/>
  <c r="K109" i="29"/>
  <c r="J109" i="29"/>
  <c r="AH109" i="29"/>
  <c r="I109" i="29"/>
  <c r="AP109" i="29"/>
  <c r="H109" i="29"/>
  <c r="G109" i="29"/>
  <c r="F109" i="29"/>
  <c r="E109" i="29"/>
  <c r="D109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AM108" i="29"/>
  <c r="P108" i="29"/>
  <c r="O108" i="29"/>
  <c r="N108" i="29"/>
  <c r="AL108" i="29"/>
  <c r="M108" i="29"/>
  <c r="AI108" i="29"/>
  <c r="L108" i="29"/>
  <c r="AQ108" i="29"/>
  <c r="K108" i="29"/>
  <c r="J108" i="29"/>
  <c r="AH108" i="29"/>
  <c r="I108" i="29"/>
  <c r="AP108" i="29"/>
  <c r="H108" i="29"/>
  <c r="G108" i="29"/>
  <c r="F108" i="29"/>
  <c r="E108" i="29"/>
  <c r="D108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AM107" i="29"/>
  <c r="P107" i="29"/>
  <c r="O107" i="29"/>
  <c r="N107" i="29"/>
  <c r="AL107" i="29"/>
  <c r="M107" i="29"/>
  <c r="AI107" i="29"/>
  <c r="L107" i="29"/>
  <c r="AQ107" i="29"/>
  <c r="K107" i="29"/>
  <c r="J107" i="29"/>
  <c r="AH107" i="29"/>
  <c r="I107" i="29"/>
  <c r="AP107" i="29"/>
  <c r="H107" i="29"/>
  <c r="G107" i="29"/>
  <c r="F107" i="29"/>
  <c r="E107" i="29"/>
  <c r="D107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AM106" i="29"/>
  <c r="P106" i="29"/>
  <c r="O106" i="29"/>
  <c r="N106" i="29"/>
  <c r="AL106" i="29"/>
  <c r="M106" i="29"/>
  <c r="AI106" i="29"/>
  <c r="L106" i="29"/>
  <c r="AQ106" i="29"/>
  <c r="K106" i="29"/>
  <c r="J106" i="29"/>
  <c r="AH106" i="29"/>
  <c r="I106" i="29"/>
  <c r="AP106" i="29"/>
  <c r="H106" i="29"/>
  <c r="G106" i="29"/>
  <c r="F106" i="29"/>
  <c r="E106" i="29"/>
  <c r="D106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AM105" i="29"/>
  <c r="P105" i="29"/>
  <c r="O105" i="29"/>
  <c r="N105" i="29"/>
  <c r="AL105" i="29"/>
  <c r="M105" i="29"/>
  <c r="AI105" i="29"/>
  <c r="L105" i="29"/>
  <c r="AQ105" i="29"/>
  <c r="K105" i="29"/>
  <c r="J105" i="29"/>
  <c r="AH105" i="29"/>
  <c r="I105" i="29"/>
  <c r="AP105" i="29"/>
  <c r="H105" i="29"/>
  <c r="G105" i="29"/>
  <c r="F105" i="29"/>
  <c r="E105" i="29"/>
  <c r="D105" i="29"/>
  <c r="AW104" i="29"/>
  <c r="AQ104" i="29"/>
  <c r="AP104" i="29"/>
  <c r="AV104" i="29"/>
  <c r="AM104" i="29"/>
  <c r="AL104" i="29"/>
  <c r="AI104" i="29"/>
  <c r="AH104" i="29"/>
  <c r="AG102" i="29"/>
  <c r="AF102" i="29"/>
  <c r="AE102" i="29"/>
  <c r="AD102" i="29"/>
  <c r="AC102" i="29"/>
  <c r="AB102" i="29"/>
  <c r="AA102" i="29"/>
  <c r="Z102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AM102" i="29"/>
  <c r="M102" i="29"/>
  <c r="L102" i="29"/>
  <c r="K102" i="29"/>
  <c r="AL102" i="29"/>
  <c r="J102" i="29"/>
  <c r="AI102" i="29"/>
  <c r="I102" i="29"/>
  <c r="AQ102" i="29"/>
  <c r="H102" i="29"/>
  <c r="G102" i="29"/>
  <c r="AH102" i="29"/>
  <c r="F102" i="29"/>
  <c r="AP102" i="29"/>
  <c r="E102" i="29"/>
  <c r="D102" i="29"/>
  <c r="AG101" i="29"/>
  <c r="AF101" i="29"/>
  <c r="AE101" i="29"/>
  <c r="AD101" i="29"/>
  <c r="AC101" i="29"/>
  <c r="AB101" i="29"/>
  <c r="AA101" i="29"/>
  <c r="Z101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AM101" i="29"/>
  <c r="M101" i="29"/>
  <c r="L101" i="29"/>
  <c r="K101" i="29"/>
  <c r="AL101" i="29"/>
  <c r="J101" i="29"/>
  <c r="AI101" i="29"/>
  <c r="I101" i="29"/>
  <c r="AQ101" i="29"/>
  <c r="H101" i="29"/>
  <c r="G101" i="29"/>
  <c r="AH101" i="29"/>
  <c r="F101" i="29"/>
  <c r="AP101" i="29"/>
  <c r="E101" i="29"/>
  <c r="D101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AM100" i="29"/>
  <c r="M100" i="29"/>
  <c r="L100" i="29"/>
  <c r="K100" i="29"/>
  <c r="AL100" i="29"/>
  <c r="J100" i="29"/>
  <c r="AI100" i="29"/>
  <c r="I100" i="29"/>
  <c r="AQ100" i="29"/>
  <c r="H100" i="29"/>
  <c r="G100" i="29"/>
  <c r="AH100" i="29"/>
  <c r="F100" i="29"/>
  <c r="AP100" i="29"/>
  <c r="E100" i="29"/>
  <c r="D100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AM99" i="29"/>
  <c r="M99" i="29"/>
  <c r="L99" i="29"/>
  <c r="K99" i="29"/>
  <c r="AL99" i="29"/>
  <c r="J99" i="29"/>
  <c r="AI99" i="29"/>
  <c r="I99" i="29"/>
  <c r="AQ99" i="29"/>
  <c r="H99" i="29"/>
  <c r="G99" i="29"/>
  <c r="AH99" i="29"/>
  <c r="F99" i="29"/>
  <c r="AP99" i="29"/>
  <c r="E99" i="29"/>
  <c r="D99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AM98" i="29"/>
  <c r="M98" i="29"/>
  <c r="L98" i="29"/>
  <c r="K98" i="29"/>
  <c r="AL98" i="29"/>
  <c r="J98" i="29"/>
  <c r="AI98" i="29"/>
  <c r="I98" i="29"/>
  <c r="AQ98" i="29"/>
  <c r="H98" i="29"/>
  <c r="G98" i="29"/>
  <c r="AH98" i="29"/>
  <c r="F98" i="29"/>
  <c r="AP98" i="29"/>
  <c r="E98" i="29"/>
  <c r="D98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AM97" i="29"/>
  <c r="M97" i="29"/>
  <c r="L97" i="29"/>
  <c r="K97" i="29"/>
  <c r="AL97" i="29"/>
  <c r="J97" i="29"/>
  <c r="AI97" i="29"/>
  <c r="I97" i="29"/>
  <c r="AQ97" i="29"/>
  <c r="H97" i="29"/>
  <c r="G97" i="29"/>
  <c r="AH97" i="29"/>
  <c r="F97" i="29"/>
  <c r="AP97" i="29"/>
  <c r="E97" i="29"/>
  <c r="D97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AM96" i="29"/>
  <c r="M96" i="29"/>
  <c r="L96" i="29"/>
  <c r="K96" i="29"/>
  <c r="AL96" i="29"/>
  <c r="J96" i="29"/>
  <c r="AI96" i="29"/>
  <c r="I96" i="29"/>
  <c r="AQ96" i="29"/>
  <c r="H96" i="29"/>
  <c r="G96" i="29"/>
  <c r="AH96" i="29"/>
  <c r="F96" i="29"/>
  <c r="AP96" i="29"/>
  <c r="E96" i="29"/>
  <c r="D96" i="29"/>
  <c r="AW95" i="29"/>
  <c r="AQ95" i="29"/>
  <c r="AP95" i="29"/>
  <c r="AM95" i="29"/>
  <c r="AL95" i="29"/>
  <c r="AI95" i="29"/>
  <c r="AH95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AM93" i="29"/>
  <c r="M93" i="29"/>
  <c r="L93" i="29"/>
  <c r="K93" i="29"/>
  <c r="AL93" i="29"/>
  <c r="J93" i="29"/>
  <c r="AI93" i="29"/>
  <c r="I93" i="29"/>
  <c r="H93" i="29"/>
  <c r="G93" i="29"/>
  <c r="AH93" i="29"/>
  <c r="F93" i="29"/>
  <c r="AP93" i="29"/>
  <c r="E93" i="29"/>
  <c r="D93" i="29"/>
  <c r="AG92" i="29"/>
  <c r="AF92" i="29"/>
  <c r="AE92" i="29"/>
  <c r="AD92" i="29"/>
  <c r="AC92" i="29"/>
  <c r="AB92" i="29"/>
  <c r="AA92" i="29"/>
  <c r="Z92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AM92" i="29"/>
  <c r="M92" i="29"/>
  <c r="L92" i="29"/>
  <c r="K92" i="29"/>
  <c r="AL92" i="29"/>
  <c r="J92" i="29"/>
  <c r="AI92" i="29"/>
  <c r="I92" i="29"/>
  <c r="H92" i="29"/>
  <c r="G92" i="29"/>
  <c r="AH92" i="29"/>
  <c r="F92" i="29"/>
  <c r="AP92" i="29"/>
  <c r="E92" i="29"/>
  <c r="D92" i="29"/>
  <c r="AG91" i="29"/>
  <c r="AF91" i="29"/>
  <c r="AE91" i="29"/>
  <c r="AD91" i="29"/>
  <c r="AC91" i="29"/>
  <c r="AB91" i="29"/>
  <c r="AA91" i="29"/>
  <c r="Z91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AM91" i="29"/>
  <c r="M91" i="29"/>
  <c r="L91" i="29"/>
  <c r="K91" i="29"/>
  <c r="AL91" i="29"/>
  <c r="J91" i="29"/>
  <c r="AI91" i="29"/>
  <c r="I91" i="29"/>
  <c r="H91" i="29"/>
  <c r="G91" i="29"/>
  <c r="AH91" i="29"/>
  <c r="F91" i="29"/>
  <c r="AP91" i="29"/>
  <c r="E91" i="29"/>
  <c r="D91" i="29"/>
  <c r="AG90" i="29"/>
  <c r="AF90" i="29"/>
  <c r="AE90" i="29"/>
  <c r="AD90" i="29"/>
  <c r="AC90" i="29"/>
  <c r="AB90" i="29"/>
  <c r="AA90" i="29"/>
  <c r="Z90" i="29"/>
  <c r="Y90" i="29"/>
  <c r="X90" i="29"/>
  <c r="W90" i="29"/>
  <c r="V90" i="29"/>
  <c r="U90" i="29"/>
  <c r="T90" i="29"/>
  <c r="S90" i="29"/>
  <c r="R90" i="29"/>
  <c r="Q90" i="29"/>
  <c r="P90" i="29"/>
  <c r="O90" i="29"/>
  <c r="N90" i="29"/>
  <c r="AM90" i="29"/>
  <c r="M90" i="29"/>
  <c r="L90" i="29"/>
  <c r="K90" i="29"/>
  <c r="AL90" i="29"/>
  <c r="J90" i="29"/>
  <c r="AI90" i="29"/>
  <c r="I90" i="29"/>
  <c r="H90" i="29"/>
  <c r="G90" i="29"/>
  <c r="AH90" i="29"/>
  <c r="F90" i="29"/>
  <c r="AP90" i="29"/>
  <c r="E90" i="29"/>
  <c r="D90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AM89" i="29"/>
  <c r="M89" i="29"/>
  <c r="L89" i="29"/>
  <c r="K89" i="29"/>
  <c r="AL89" i="29"/>
  <c r="J89" i="29"/>
  <c r="AI89" i="29"/>
  <c r="I89" i="29"/>
  <c r="H89" i="29"/>
  <c r="G89" i="29"/>
  <c r="AH89" i="29"/>
  <c r="F89" i="29"/>
  <c r="AP89" i="29"/>
  <c r="E89" i="29"/>
  <c r="D89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AM88" i="29"/>
  <c r="M88" i="29"/>
  <c r="L88" i="29"/>
  <c r="K88" i="29"/>
  <c r="AL88" i="29"/>
  <c r="J88" i="29"/>
  <c r="AI88" i="29"/>
  <c r="I88" i="29"/>
  <c r="H88" i="29"/>
  <c r="G88" i="29"/>
  <c r="AH88" i="29"/>
  <c r="F88" i="29"/>
  <c r="AP88" i="29"/>
  <c r="E88" i="29"/>
  <c r="D88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AM87" i="29"/>
  <c r="M87" i="29"/>
  <c r="L87" i="29"/>
  <c r="K87" i="29"/>
  <c r="AL87" i="29"/>
  <c r="J87" i="29"/>
  <c r="AI87" i="29"/>
  <c r="I87" i="29"/>
  <c r="H87" i="29"/>
  <c r="G87" i="29"/>
  <c r="AH87" i="29"/>
  <c r="F87" i="29"/>
  <c r="AP87" i="29"/>
  <c r="E87" i="29"/>
  <c r="D87" i="29"/>
  <c r="AW86" i="29"/>
  <c r="AP86" i="29"/>
  <c r="AV86" i="29"/>
  <c r="AM86" i="29"/>
  <c r="AL86" i="29"/>
  <c r="AI86" i="29"/>
  <c r="AH86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AM84" i="29"/>
  <c r="M84" i="29"/>
  <c r="L84" i="29"/>
  <c r="K84" i="29"/>
  <c r="J84" i="29"/>
  <c r="I84" i="29"/>
  <c r="H84" i="29"/>
  <c r="G84" i="29"/>
  <c r="AI84" i="29"/>
  <c r="F84" i="29"/>
  <c r="E84" i="29"/>
  <c r="D84" i="29"/>
  <c r="AH84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AM83" i="29"/>
  <c r="M83" i="29"/>
  <c r="L83" i="29"/>
  <c r="K83" i="29"/>
  <c r="J83" i="29"/>
  <c r="I83" i="29"/>
  <c r="H83" i="29"/>
  <c r="G83" i="29"/>
  <c r="AI83" i="29"/>
  <c r="F83" i="29"/>
  <c r="E83" i="29"/>
  <c r="D83" i="29"/>
  <c r="AH83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AM82" i="29"/>
  <c r="M82" i="29"/>
  <c r="L82" i="29"/>
  <c r="K82" i="29"/>
  <c r="J82" i="29"/>
  <c r="I82" i="29"/>
  <c r="H82" i="29"/>
  <c r="G82" i="29"/>
  <c r="AI82" i="29"/>
  <c r="F82" i="29"/>
  <c r="E82" i="29"/>
  <c r="D82" i="29"/>
  <c r="AH82" i="29"/>
  <c r="AG81" i="29"/>
  <c r="AF81" i="29"/>
  <c r="AE81" i="29"/>
  <c r="AD81" i="29"/>
  <c r="AC81" i="29"/>
  <c r="AB81" i="29"/>
  <c r="AA81" i="29"/>
  <c r="Z81" i="29"/>
  <c r="Y81" i="29"/>
  <c r="X81" i="29"/>
  <c r="W81" i="29"/>
  <c r="V81" i="29"/>
  <c r="U81" i="29"/>
  <c r="T81" i="29"/>
  <c r="S81" i="29"/>
  <c r="R81" i="29"/>
  <c r="Q81" i="29"/>
  <c r="P81" i="29"/>
  <c r="O81" i="29"/>
  <c r="N81" i="29"/>
  <c r="AM81" i="29"/>
  <c r="M81" i="29"/>
  <c r="L81" i="29"/>
  <c r="K81" i="29"/>
  <c r="J81" i="29"/>
  <c r="I81" i="29"/>
  <c r="H81" i="29"/>
  <c r="G81" i="29"/>
  <c r="AI81" i="29"/>
  <c r="F81" i="29"/>
  <c r="E81" i="29"/>
  <c r="D81" i="29"/>
  <c r="AH81" i="29"/>
  <c r="AG80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AM80" i="29"/>
  <c r="M80" i="29"/>
  <c r="L80" i="29"/>
  <c r="K80" i="29"/>
  <c r="J80" i="29"/>
  <c r="I80" i="29"/>
  <c r="H80" i="29"/>
  <c r="G80" i="29"/>
  <c r="AI80" i="29"/>
  <c r="F80" i="29"/>
  <c r="E80" i="29"/>
  <c r="D80" i="29"/>
  <c r="AH80" i="29"/>
  <c r="AG79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AM79" i="29"/>
  <c r="M79" i="29"/>
  <c r="L79" i="29"/>
  <c r="K79" i="29"/>
  <c r="J79" i="29"/>
  <c r="I79" i="29"/>
  <c r="H79" i="29"/>
  <c r="G79" i="29"/>
  <c r="AI79" i="29"/>
  <c r="F79" i="29"/>
  <c r="E79" i="29"/>
  <c r="D79" i="29"/>
  <c r="AH79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AM78" i="29"/>
  <c r="M78" i="29"/>
  <c r="L78" i="29"/>
  <c r="K78" i="29"/>
  <c r="J78" i="29"/>
  <c r="I78" i="29"/>
  <c r="H78" i="29"/>
  <c r="G78" i="29"/>
  <c r="AI78" i="29"/>
  <c r="F78" i="29"/>
  <c r="E78" i="29"/>
  <c r="D78" i="29"/>
  <c r="AH78" i="29"/>
  <c r="AW77" i="29"/>
  <c r="AV77" i="29"/>
  <c r="AM77" i="29"/>
  <c r="AL77" i="29"/>
  <c r="AI77" i="29"/>
  <c r="AH77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AL75" i="29"/>
  <c r="J75" i="29"/>
  <c r="I75" i="29"/>
  <c r="AQ75" i="29"/>
  <c r="H75" i="29"/>
  <c r="G75" i="29"/>
  <c r="AH75" i="29"/>
  <c r="F75" i="29"/>
  <c r="AP75" i="29"/>
  <c r="E75" i="29"/>
  <c r="D75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AL74" i="29"/>
  <c r="J74" i="29"/>
  <c r="I74" i="29"/>
  <c r="AQ74" i="29"/>
  <c r="H74" i="29"/>
  <c r="G74" i="29"/>
  <c r="AH74" i="29"/>
  <c r="F74" i="29"/>
  <c r="AP74" i="29"/>
  <c r="E74" i="29"/>
  <c r="D74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AL73" i="29"/>
  <c r="J73" i="29"/>
  <c r="I73" i="29"/>
  <c r="AQ73" i="29"/>
  <c r="H73" i="29"/>
  <c r="G73" i="29"/>
  <c r="AH73" i="29"/>
  <c r="F73" i="29"/>
  <c r="AP73" i="29"/>
  <c r="E73" i="29"/>
  <c r="D73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AL72" i="29"/>
  <c r="J72" i="29"/>
  <c r="I72" i="29"/>
  <c r="AQ72" i="29"/>
  <c r="H72" i="29"/>
  <c r="G72" i="29"/>
  <c r="AH72" i="29"/>
  <c r="F72" i="29"/>
  <c r="AP72" i="29"/>
  <c r="E72" i="29"/>
  <c r="D72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AL71" i="29"/>
  <c r="J71" i="29"/>
  <c r="I71" i="29"/>
  <c r="AQ71" i="29"/>
  <c r="H71" i="29"/>
  <c r="G71" i="29"/>
  <c r="AH71" i="29"/>
  <c r="F71" i="29"/>
  <c r="AP71" i="29"/>
  <c r="E71" i="29"/>
  <c r="D71" i="29"/>
  <c r="AG70" i="29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K70" i="29"/>
  <c r="AL70" i="29"/>
  <c r="J70" i="29"/>
  <c r="I70" i="29"/>
  <c r="AQ70" i="29"/>
  <c r="H70" i="29"/>
  <c r="G70" i="29"/>
  <c r="AH70" i="29"/>
  <c r="F70" i="29"/>
  <c r="AP70" i="29"/>
  <c r="E70" i="29"/>
  <c r="D70" i="29"/>
  <c r="AG69" i="29"/>
  <c r="AF69" i="29"/>
  <c r="AE69" i="29"/>
  <c r="AD69" i="29"/>
  <c r="AC69" i="29"/>
  <c r="AB69" i="29"/>
  <c r="AA69" i="29"/>
  <c r="Z69" i="29"/>
  <c r="Y69" i="29"/>
  <c r="X69" i="29"/>
  <c r="W69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AL69" i="29"/>
  <c r="J69" i="29"/>
  <c r="I69" i="29"/>
  <c r="AQ69" i="29"/>
  <c r="H69" i="29"/>
  <c r="G69" i="29"/>
  <c r="AH69" i="29"/>
  <c r="F69" i="29"/>
  <c r="AP69" i="29"/>
  <c r="E69" i="29"/>
  <c r="D69" i="29"/>
  <c r="AW68" i="29"/>
  <c r="AQ68" i="29"/>
  <c r="AP68" i="29"/>
  <c r="AL68" i="29"/>
  <c r="AU68" i="29"/>
  <c r="AH68" i="29"/>
  <c r="AT68" i="29"/>
  <c r="AG66" i="29"/>
  <c r="AF66" i="29"/>
  <c r="AE66" i="29"/>
  <c r="AD66" i="29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AM66" i="29"/>
  <c r="J66" i="29"/>
  <c r="I66" i="29"/>
  <c r="H66" i="29"/>
  <c r="AL66" i="29"/>
  <c r="G66" i="29"/>
  <c r="AH66" i="29"/>
  <c r="F66" i="29"/>
  <c r="E66" i="29"/>
  <c r="D66" i="29"/>
  <c r="AG65" i="29"/>
  <c r="AF65" i="29"/>
  <c r="AE65" i="29"/>
  <c r="AD65" i="29"/>
  <c r="AC65" i="29"/>
  <c r="AB65" i="29"/>
  <c r="AA65" i="29"/>
  <c r="Z65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AM65" i="29"/>
  <c r="J65" i="29"/>
  <c r="I65" i="29"/>
  <c r="H65" i="29"/>
  <c r="AL65" i="29"/>
  <c r="G65" i="29"/>
  <c r="AH65" i="29"/>
  <c r="F65" i="29"/>
  <c r="E65" i="29"/>
  <c r="D65" i="29"/>
  <c r="AG64" i="29"/>
  <c r="AF64" i="29"/>
  <c r="AE64" i="29"/>
  <c r="AD64" i="29"/>
  <c r="AC64" i="29"/>
  <c r="AB64" i="29"/>
  <c r="AA64" i="29"/>
  <c r="Z64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AM64" i="29"/>
  <c r="J64" i="29"/>
  <c r="I64" i="29"/>
  <c r="H64" i="29"/>
  <c r="AL64" i="29"/>
  <c r="G64" i="29"/>
  <c r="AH64" i="29"/>
  <c r="F64" i="29"/>
  <c r="E64" i="29"/>
  <c r="D64" i="29"/>
  <c r="AG63" i="29"/>
  <c r="AF63" i="29"/>
  <c r="AE63" i="29"/>
  <c r="AD63" i="29"/>
  <c r="AC63" i="29"/>
  <c r="AB63" i="29"/>
  <c r="AA63" i="29"/>
  <c r="Z63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AM63" i="29"/>
  <c r="J63" i="29"/>
  <c r="I63" i="29"/>
  <c r="H63" i="29"/>
  <c r="AL63" i="29"/>
  <c r="G63" i="29"/>
  <c r="AH63" i="29"/>
  <c r="F63" i="29"/>
  <c r="E63" i="29"/>
  <c r="D63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AM62" i="29"/>
  <c r="J62" i="29"/>
  <c r="I62" i="29"/>
  <c r="H62" i="29"/>
  <c r="AL62" i="29"/>
  <c r="G62" i="29"/>
  <c r="AH62" i="29"/>
  <c r="F62" i="29"/>
  <c r="E62" i="29"/>
  <c r="D6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AM61" i="29"/>
  <c r="J61" i="29"/>
  <c r="I61" i="29"/>
  <c r="H61" i="29"/>
  <c r="AL61" i="29"/>
  <c r="G61" i="29"/>
  <c r="AH61" i="29"/>
  <c r="F61" i="29"/>
  <c r="E61" i="29"/>
  <c r="D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AM60" i="29"/>
  <c r="J60" i="29"/>
  <c r="I60" i="29"/>
  <c r="H60" i="29"/>
  <c r="AL60" i="29"/>
  <c r="G60" i="29"/>
  <c r="AH60" i="29"/>
  <c r="F60" i="29"/>
  <c r="E60" i="29"/>
  <c r="D60" i="29"/>
  <c r="AW59" i="29"/>
  <c r="AV59" i="29"/>
  <c r="AM59" i="29"/>
  <c r="AL59" i="29"/>
  <c r="AH59" i="29"/>
  <c r="AT59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AM57" i="29"/>
  <c r="J57" i="29"/>
  <c r="I57" i="29"/>
  <c r="H57" i="29"/>
  <c r="AL57" i="29"/>
  <c r="G57" i="29"/>
  <c r="F57" i="29"/>
  <c r="E57" i="29"/>
  <c r="D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AM56" i="29"/>
  <c r="J56" i="29"/>
  <c r="I56" i="29"/>
  <c r="H56" i="29"/>
  <c r="AL56" i="29"/>
  <c r="G56" i="29"/>
  <c r="F56" i="29"/>
  <c r="E56" i="29"/>
  <c r="D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AM55" i="29"/>
  <c r="J55" i="29"/>
  <c r="I55" i="29"/>
  <c r="H55" i="29"/>
  <c r="AL55" i="29"/>
  <c r="G55" i="29"/>
  <c r="F55" i="29"/>
  <c r="E55" i="29"/>
  <c r="D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AM54" i="29"/>
  <c r="J54" i="29"/>
  <c r="I54" i="29"/>
  <c r="H54" i="29"/>
  <c r="AL54" i="29"/>
  <c r="G54" i="29"/>
  <c r="F54" i="29"/>
  <c r="E54" i="29"/>
  <c r="D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AM53" i="29"/>
  <c r="J53" i="29"/>
  <c r="I53" i="29"/>
  <c r="H53" i="29"/>
  <c r="AL53" i="29"/>
  <c r="G53" i="29"/>
  <c r="F53" i="29"/>
  <c r="E53" i="29"/>
  <c r="D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AM52" i="29"/>
  <c r="J52" i="29"/>
  <c r="I52" i="29"/>
  <c r="H52" i="29"/>
  <c r="AL52" i="29"/>
  <c r="G52" i="29"/>
  <c r="F52" i="29"/>
  <c r="E52" i="29"/>
  <c r="D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AM51" i="29"/>
  <c r="J51" i="29"/>
  <c r="I51" i="29"/>
  <c r="H51" i="29"/>
  <c r="AL51" i="29"/>
  <c r="G51" i="29"/>
  <c r="F51" i="29"/>
  <c r="E51" i="29"/>
  <c r="D51" i="29"/>
  <c r="AW50" i="29"/>
  <c r="AV50" i="29"/>
  <c r="AT50" i="29"/>
  <c r="AM50" i="29"/>
  <c r="AL50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AW41" i="29"/>
  <c r="AG39" i="29"/>
  <c r="AF39" i="29"/>
  <c r="AE39" i="29"/>
  <c r="W155" i="29"/>
  <c r="AD39" i="29"/>
  <c r="X175" i="29"/>
  <c r="AC39" i="29"/>
  <c r="AB39" i="29"/>
  <c r="V155" i="29"/>
  <c r="AA39" i="29"/>
  <c r="W175" i="29"/>
  <c r="X39" i="29"/>
  <c r="V175" i="29"/>
  <c r="N39" i="29"/>
  <c r="K39" i="29"/>
  <c r="I39" i="29"/>
  <c r="H39" i="29"/>
  <c r="G39" i="29"/>
  <c r="F39" i="29"/>
  <c r="E39" i="29"/>
  <c r="D39" i="29"/>
  <c r="S32" i="29"/>
  <c r="S33" i="29"/>
  <c r="S34" i="29"/>
  <c r="S35" i="29"/>
  <c r="S36" i="29"/>
  <c r="S37" i="29"/>
  <c r="P32" i="29"/>
  <c r="P33" i="29"/>
  <c r="P34" i="29"/>
  <c r="P35" i="29"/>
  <c r="P36" i="29"/>
  <c r="P37" i="29"/>
  <c r="M32" i="29"/>
  <c r="M33" i="29"/>
  <c r="M34" i="29"/>
  <c r="M35" i="29"/>
  <c r="M36" i="29"/>
  <c r="M37" i="29"/>
  <c r="J32" i="29"/>
  <c r="J33" i="29"/>
  <c r="J34" i="29"/>
  <c r="J35" i="29"/>
  <c r="J36" i="29"/>
  <c r="J37" i="29"/>
  <c r="G32" i="29"/>
  <c r="G33" i="29"/>
  <c r="G34" i="29"/>
  <c r="G35" i="29"/>
  <c r="G36" i="29"/>
  <c r="G37" i="29"/>
  <c r="D32" i="29"/>
  <c r="D33" i="29"/>
  <c r="D34" i="29"/>
  <c r="D35" i="29"/>
  <c r="D36" i="29"/>
  <c r="D37" i="29"/>
  <c r="AE31" i="29"/>
  <c r="AE32" i="29"/>
  <c r="AE33" i="29"/>
  <c r="AE34" i="29"/>
  <c r="AE35" i="29"/>
  <c r="AE36" i="29"/>
  <c r="AE37" i="29"/>
  <c r="AB31" i="29"/>
  <c r="AB32" i="29"/>
  <c r="AB33" i="29"/>
  <c r="AB34" i="29"/>
  <c r="AB35" i="29"/>
  <c r="AB36" i="29"/>
  <c r="AB37" i="29"/>
  <c r="Y31" i="29"/>
  <c r="Y32" i="29"/>
  <c r="Y33" i="29"/>
  <c r="Y34" i="29"/>
  <c r="Y35" i="29"/>
  <c r="Y36" i="29"/>
  <c r="Y37" i="29"/>
  <c r="V31" i="29"/>
  <c r="V32" i="29"/>
  <c r="V33" i="29"/>
  <c r="V34" i="29"/>
  <c r="V35" i="29"/>
  <c r="V36" i="29"/>
  <c r="V37" i="29"/>
  <c r="AW17" i="29"/>
  <c r="AW22" i="29"/>
  <c r="AE15" i="29"/>
  <c r="AB15" i="29"/>
  <c r="Y15" i="29"/>
  <c r="V15" i="29"/>
  <c r="S15" i="29"/>
  <c r="P15" i="29"/>
  <c r="M15" i="29"/>
  <c r="J15" i="29"/>
  <c r="G15" i="29"/>
  <c r="D15" i="29"/>
  <c r="AE14" i="29"/>
  <c r="AB14" i="29"/>
  <c r="Y14" i="29"/>
  <c r="V14" i="29"/>
  <c r="S14" i="29"/>
  <c r="P14" i="29"/>
  <c r="M14" i="29"/>
  <c r="J14" i="29"/>
  <c r="G14" i="29"/>
  <c r="D14" i="29"/>
  <c r="AW13" i="29"/>
  <c r="AW15" i="29"/>
  <c r="AW12" i="29"/>
  <c r="AW11" i="29"/>
  <c r="AW10" i="29"/>
  <c r="AE9" i="29"/>
  <c r="AB9" i="29"/>
  <c r="Y9" i="29"/>
  <c r="V9" i="29"/>
  <c r="S9" i="29"/>
  <c r="P9" i="29"/>
  <c r="M9" i="29"/>
  <c r="J9" i="29"/>
  <c r="G9" i="29"/>
  <c r="D9" i="29"/>
  <c r="AW8" i="29"/>
  <c r="AW6" i="29"/>
  <c r="AW7" i="29"/>
  <c r="AG147" i="25"/>
  <c r="AF147" i="25"/>
  <c r="AE147" i="25"/>
  <c r="AD147" i="25"/>
  <c r="AC147" i="25"/>
  <c r="AB147" i="25"/>
  <c r="AA147" i="25"/>
  <c r="Z147" i="25"/>
  <c r="AJ147" i="25"/>
  <c r="Y147" i="25"/>
  <c r="AI147" i="25"/>
  <c r="X147" i="25"/>
  <c r="W147" i="25"/>
  <c r="V147" i="25"/>
  <c r="AH147" i="25"/>
  <c r="U147" i="25"/>
  <c r="AM147" i="25"/>
  <c r="T147" i="25"/>
  <c r="S147" i="25"/>
  <c r="R147" i="25"/>
  <c r="AL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AG146" i="25"/>
  <c r="AF146" i="25"/>
  <c r="AE146" i="25"/>
  <c r="AD146" i="25"/>
  <c r="AC146" i="25"/>
  <c r="AB146" i="25"/>
  <c r="AA146" i="25"/>
  <c r="Z146" i="25"/>
  <c r="AJ146" i="25"/>
  <c r="Y146" i="25"/>
  <c r="AI146" i="25"/>
  <c r="X146" i="25"/>
  <c r="W146" i="25"/>
  <c r="V146" i="25"/>
  <c r="AH146" i="25"/>
  <c r="U146" i="25"/>
  <c r="AM146" i="25"/>
  <c r="T146" i="25"/>
  <c r="S146" i="25"/>
  <c r="R146" i="25"/>
  <c r="AL146" i="25"/>
  <c r="Q146" i="25"/>
  <c r="P146" i="25"/>
  <c r="O146" i="25"/>
  <c r="N146" i="25"/>
  <c r="M146" i="25"/>
  <c r="L146" i="25"/>
  <c r="K146" i="25"/>
  <c r="J146" i="25"/>
  <c r="I146" i="25"/>
  <c r="H146" i="25"/>
  <c r="G146" i="25"/>
  <c r="F146" i="25"/>
  <c r="E146" i="25"/>
  <c r="D146" i="25"/>
  <c r="AG145" i="25"/>
  <c r="AF145" i="25"/>
  <c r="AE145" i="25"/>
  <c r="AD145" i="25"/>
  <c r="AC145" i="25"/>
  <c r="AB145" i="25"/>
  <c r="AA145" i="25"/>
  <c r="Z145" i="25"/>
  <c r="AJ145" i="25"/>
  <c r="Y145" i="25"/>
  <c r="AI145" i="25"/>
  <c r="X145" i="25"/>
  <c r="W145" i="25"/>
  <c r="V145" i="25"/>
  <c r="AH145" i="25"/>
  <c r="U145" i="25"/>
  <c r="AM145" i="25"/>
  <c r="T145" i="25"/>
  <c r="S145" i="25"/>
  <c r="R145" i="25"/>
  <c r="AL145" i="25"/>
  <c r="Q145" i="25"/>
  <c r="P145" i="25"/>
  <c r="O145" i="25"/>
  <c r="N145" i="25"/>
  <c r="M145" i="25"/>
  <c r="L145" i="25"/>
  <c r="K145" i="25"/>
  <c r="J145" i="25"/>
  <c r="I145" i="25"/>
  <c r="H145" i="25"/>
  <c r="G145" i="25"/>
  <c r="F145" i="25"/>
  <c r="E145" i="25"/>
  <c r="D145" i="25"/>
  <c r="AG144" i="25"/>
  <c r="AF144" i="25"/>
  <c r="AE144" i="25"/>
  <c r="AD144" i="25"/>
  <c r="AC144" i="25"/>
  <c r="AB144" i="25"/>
  <c r="AA144" i="25"/>
  <c r="Z144" i="25"/>
  <c r="AJ144" i="25"/>
  <c r="Y144" i="25"/>
  <c r="AI144" i="25"/>
  <c r="X144" i="25"/>
  <c r="W144" i="25"/>
  <c r="V144" i="25"/>
  <c r="AH144" i="25"/>
  <c r="U144" i="25"/>
  <c r="AM144" i="25"/>
  <c r="T144" i="25"/>
  <c r="S144" i="25"/>
  <c r="R144" i="25"/>
  <c r="AL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AG143" i="25"/>
  <c r="AF143" i="25"/>
  <c r="AE143" i="25"/>
  <c r="AD143" i="25"/>
  <c r="AC143" i="25"/>
  <c r="AB143" i="25"/>
  <c r="AA143" i="25"/>
  <c r="Z143" i="25"/>
  <c r="AJ143" i="25"/>
  <c r="Y143" i="25"/>
  <c r="AI143" i="25"/>
  <c r="X143" i="25"/>
  <c r="W143" i="25"/>
  <c r="V143" i="25"/>
  <c r="AH143" i="25"/>
  <c r="U143" i="25"/>
  <c r="AM143" i="25"/>
  <c r="T143" i="25"/>
  <c r="S143" i="25"/>
  <c r="R143" i="25"/>
  <c r="AL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AG142" i="25"/>
  <c r="AF142" i="25"/>
  <c r="AE142" i="25"/>
  <c r="AD142" i="25"/>
  <c r="AC142" i="25"/>
  <c r="AB142" i="25"/>
  <c r="AA142" i="25"/>
  <c r="Z142" i="25"/>
  <c r="AJ142" i="25"/>
  <c r="Y142" i="25"/>
  <c r="AI142" i="25"/>
  <c r="X142" i="25"/>
  <c r="W142" i="25"/>
  <c r="V142" i="25"/>
  <c r="AH142" i="25"/>
  <c r="U142" i="25"/>
  <c r="AM142" i="25"/>
  <c r="T142" i="25"/>
  <c r="S142" i="25"/>
  <c r="R142" i="25"/>
  <c r="AL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AG141" i="25"/>
  <c r="AF141" i="25"/>
  <c r="AE141" i="25"/>
  <c r="AD141" i="25"/>
  <c r="AC141" i="25"/>
  <c r="AB141" i="25"/>
  <c r="AA141" i="25"/>
  <c r="Z141" i="25"/>
  <c r="AJ141" i="25"/>
  <c r="Y141" i="25"/>
  <c r="AI141" i="25"/>
  <c r="X141" i="25"/>
  <c r="W141" i="25"/>
  <c r="V141" i="25"/>
  <c r="AH141" i="25"/>
  <c r="U141" i="25"/>
  <c r="AM141" i="25"/>
  <c r="T141" i="25"/>
  <c r="S141" i="25"/>
  <c r="R141" i="25"/>
  <c r="AL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AQ140" i="25"/>
  <c r="AM140" i="25"/>
  <c r="AL140" i="25"/>
  <c r="AK140" i="25"/>
  <c r="AJ140" i="25"/>
  <c r="AO140" i="25"/>
  <c r="AI140" i="25"/>
  <c r="AH140" i="25"/>
  <c r="AG138" i="25"/>
  <c r="AF138" i="25"/>
  <c r="AE138" i="25"/>
  <c r="AD138" i="25"/>
  <c r="AC138" i="25"/>
  <c r="AB138" i="25"/>
  <c r="AA138" i="25"/>
  <c r="Z138" i="25"/>
  <c r="AK138" i="25"/>
  <c r="Y138" i="25"/>
  <c r="X138" i="25"/>
  <c r="W138" i="25"/>
  <c r="V138" i="25"/>
  <c r="AI138" i="25"/>
  <c r="U138" i="25"/>
  <c r="T138" i="25"/>
  <c r="S138" i="25"/>
  <c r="AH138" i="25"/>
  <c r="R138" i="25"/>
  <c r="AM138" i="25"/>
  <c r="Q138" i="25"/>
  <c r="P138" i="25"/>
  <c r="O138" i="25"/>
  <c r="AL138" i="25"/>
  <c r="N138" i="25"/>
  <c r="M138" i="25"/>
  <c r="L138" i="25"/>
  <c r="K138" i="25"/>
  <c r="J138" i="25"/>
  <c r="I138" i="25"/>
  <c r="H138" i="25"/>
  <c r="G138" i="25"/>
  <c r="F138" i="25"/>
  <c r="E138" i="25"/>
  <c r="D138" i="25"/>
  <c r="AG137" i="25"/>
  <c r="AF137" i="25"/>
  <c r="AE137" i="25"/>
  <c r="AD137" i="25"/>
  <c r="AC137" i="25"/>
  <c r="AB137" i="25"/>
  <c r="AA137" i="25"/>
  <c r="Z137" i="25"/>
  <c r="AK137" i="25"/>
  <c r="Y137" i="25"/>
  <c r="X137" i="25"/>
  <c r="W137" i="25"/>
  <c r="V137" i="25"/>
  <c r="AI137" i="25"/>
  <c r="U137" i="25"/>
  <c r="T137" i="25"/>
  <c r="S137" i="25"/>
  <c r="AH137" i="25"/>
  <c r="R137" i="25"/>
  <c r="AM137" i="25"/>
  <c r="Q137" i="25"/>
  <c r="P137" i="25"/>
  <c r="O137" i="25"/>
  <c r="AL137" i="25"/>
  <c r="N137" i="25"/>
  <c r="M137" i="25"/>
  <c r="L137" i="25"/>
  <c r="K137" i="25"/>
  <c r="J137" i="25"/>
  <c r="I137" i="25"/>
  <c r="H137" i="25"/>
  <c r="G137" i="25"/>
  <c r="F137" i="25"/>
  <c r="E137" i="25"/>
  <c r="D137" i="25"/>
  <c r="AG136" i="25"/>
  <c r="AF136" i="25"/>
  <c r="AE136" i="25"/>
  <c r="AD136" i="25"/>
  <c r="AC136" i="25"/>
  <c r="AB136" i="25"/>
  <c r="AA136" i="25"/>
  <c r="Z136" i="25"/>
  <c r="AK136" i="25"/>
  <c r="Y136" i="25"/>
  <c r="X136" i="25"/>
  <c r="W136" i="25"/>
  <c r="V136" i="25"/>
  <c r="AI136" i="25"/>
  <c r="U136" i="25"/>
  <c r="T136" i="25"/>
  <c r="S136" i="25"/>
  <c r="AH136" i="25"/>
  <c r="R136" i="25"/>
  <c r="AM136" i="25"/>
  <c r="Q136" i="25"/>
  <c r="P136" i="25"/>
  <c r="O136" i="25"/>
  <c r="AL136" i="25"/>
  <c r="N136" i="25"/>
  <c r="M136" i="25"/>
  <c r="L136" i="25"/>
  <c r="K136" i="25"/>
  <c r="J136" i="25"/>
  <c r="I136" i="25"/>
  <c r="H136" i="25"/>
  <c r="G136" i="25"/>
  <c r="F136" i="25"/>
  <c r="E136" i="25"/>
  <c r="D136" i="25"/>
  <c r="AG135" i="25"/>
  <c r="AF135" i="25"/>
  <c r="AE135" i="25"/>
  <c r="AD135" i="25"/>
  <c r="AC135" i="25"/>
  <c r="AB135" i="25"/>
  <c r="AA135" i="25"/>
  <c r="Z135" i="25"/>
  <c r="AK135" i="25"/>
  <c r="Y135" i="25"/>
  <c r="X135" i="25"/>
  <c r="W135" i="25"/>
  <c r="V135" i="25"/>
  <c r="AI135" i="25"/>
  <c r="U135" i="25"/>
  <c r="T135" i="25"/>
  <c r="S135" i="25"/>
  <c r="AH135" i="25"/>
  <c r="R135" i="25"/>
  <c r="AM135" i="25"/>
  <c r="Q135" i="25"/>
  <c r="P135" i="25"/>
  <c r="O135" i="25"/>
  <c r="AL135" i="25"/>
  <c r="N135" i="25"/>
  <c r="M135" i="25"/>
  <c r="L135" i="25"/>
  <c r="K135" i="25"/>
  <c r="J135" i="25"/>
  <c r="I135" i="25"/>
  <c r="H135" i="25"/>
  <c r="G135" i="25"/>
  <c r="F135" i="25"/>
  <c r="E135" i="25"/>
  <c r="D135" i="25"/>
  <c r="AG134" i="25"/>
  <c r="AF134" i="25"/>
  <c r="AE134" i="25"/>
  <c r="AD134" i="25"/>
  <c r="AC134" i="25"/>
  <c r="AB134" i="25"/>
  <c r="AA134" i="25"/>
  <c r="Z134" i="25"/>
  <c r="AK134" i="25"/>
  <c r="Y134" i="25"/>
  <c r="X134" i="25"/>
  <c r="W134" i="25"/>
  <c r="V134" i="25"/>
  <c r="AI134" i="25"/>
  <c r="U134" i="25"/>
  <c r="T134" i="25"/>
  <c r="S134" i="25"/>
  <c r="AH134" i="25"/>
  <c r="R134" i="25"/>
  <c r="AM134" i="25"/>
  <c r="Q134" i="25"/>
  <c r="P134" i="25"/>
  <c r="O134" i="25"/>
  <c r="AL134" i="25"/>
  <c r="N134" i="25"/>
  <c r="M134" i="25"/>
  <c r="L134" i="25"/>
  <c r="K134" i="25"/>
  <c r="J134" i="25"/>
  <c r="I134" i="25"/>
  <c r="H134" i="25"/>
  <c r="G134" i="25"/>
  <c r="F134" i="25"/>
  <c r="E134" i="25"/>
  <c r="D134" i="25"/>
  <c r="AG133" i="25"/>
  <c r="AF133" i="25"/>
  <c r="AE133" i="25"/>
  <c r="AD133" i="25"/>
  <c r="AC133" i="25"/>
  <c r="AB133" i="25"/>
  <c r="AA133" i="25"/>
  <c r="Z133" i="25"/>
  <c r="AK133" i="25"/>
  <c r="Y133" i="25"/>
  <c r="X133" i="25"/>
  <c r="W133" i="25"/>
  <c r="V133" i="25"/>
  <c r="AI133" i="25"/>
  <c r="U133" i="25"/>
  <c r="T133" i="25"/>
  <c r="S133" i="25"/>
  <c r="AH133" i="25"/>
  <c r="R133" i="25"/>
  <c r="AM133" i="25"/>
  <c r="Q133" i="25"/>
  <c r="P133" i="25"/>
  <c r="O133" i="25"/>
  <c r="AL133" i="25"/>
  <c r="N133" i="25"/>
  <c r="M133" i="25"/>
  <c r="L133" i="25"/>
  <c r="K133" i="25"/>
  <c r="J133" i="25"/>
  <c r="I133" i="25"/>
  <c r="H133" i="25"/>
  <c r="G133" i="25"/>
  <c r="F133" i="25"/>
  <c r="E133" i="25"/>
  <c r="D133" i="25"/>
  <c r="AG132" i="25"/>
  <c r="AF132" i="25"/>
  <c r="AE132" i="25"/>
  <c r="AD132" i="25"/>
  <c r="AC132" i="25"/>
  <c r="AB132" i="25"/>
  <c r="AA132" i="25"/>
  <c r="Z132" i="25"/>
  <c r="AK132" i="25"/>
  <c r="Y132" i="25"/>
  <c r="X132" i="25"/>
  <c r="W132" i="25"/>
  <c r="V132" i="25"/>
  <c r="AI132" i="25"/>
  <c r="U132" i="25"/>
  <c r="T132" i="25"/>
  <c r="S132" i="25"/>
  <c r="AH132" i="25"/>
  <c r="R132" i="25"/>
  <c r="AM132" i="25"/>
  <c r="Q132" i="25"/>
  <c r="P132" i="25"/>
  <c r="O132" i="25"/>
  <c r="AL132" i="25"/>
  <c r="N132" i="25"/>
  <c r="M132" i="25"/>
  <c r="L132" i="25"/>
  <c r="K132" i="25"/>
  <c r="J132" i="25"/>
  <c r="I132" i="25"/>
  <c r="H132" i="25"/>
  <c r="G132" i="25"/>
  <c r="F132" i="25"/>
  <c r="E132" i="25"/>
  <c r="D132" i="25"/>
  <c r="AQ131" i="25"/>
  <c r="AM131" i="25"/>
  <c r="AL131" i="25"/>
  <c r="AK131" i="25"/>
  <c r="AJ131" i="25"/>
  <c r="AI131" i="25"/>
  <c r="AH131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AJ129" i="25"/>
  <c r="S129" i="25"/>
  <c r="AI129" i="25"/>
  <c r="R129" i="25"/>
  <c r="Q129" i="25"/>
  <c r="AK129" i="25"/>
  <c r="P129" i="25"/>
  <c r="AH129" i="25"/>
  <c r="O129" i="25"/>
  <c r="AM129" i="25"/>
  <c r="N129" i="25"/>
  <c r="M129" i="25"/>
  <c r="L129" i="25"/>
  <c r="AL129" i="25"/>
  <c r="K129" i="25"/>
  <c r="J129" i="25"/>
  <c r="I129" i="25"/>
  <c r="H129" i="25"/>
  <c r="G129" i="25"/>
  <c r="F129" i="25"/>
  <c r="E129" i="25"/>
  <c r="D129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AJ128" i="25"/>
  <c r="S128" i="25"/>
  <c r="AI128" i="25"/>
  <c r="R128" i="25"/>
  <c r="Q128" i="25"/>
  <c r="AK128" i="25"/>
  <c r="P128" i="25"/>
  <c r="AH128" i="25"/>
  <c r="O128" i="25"/>
  <c r="AM128" i="25"/>
  <c r="N128" i="25"/>
  <c r="M128" i="25"/>
  <c r="L128" i="25"/>
  <c r="AL128" i="25"/>
  <c r="K128" i="25"/>
  <c r="J128" i="25"/>
  <c r="I128" i="25"/>
  <c r="H128" i="25"/>
  <c r="G128" i="25"/>
  <c r="F128" i="25"/>
  <c r="E128" i="25"/>
  <c r="D128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AJ127" i="25"/>
  <c r="S127" i="25"/>
  <c r="AI127" i="25"/>
  <c r="R127" i="25"/>
  <c r="Q127" i="25"/>
  <c r="AK127" i="25"/>
  <c r="P127" i="25"/>
  <c r="AH127" i="25"/>
  <c r="O127" i="25"/>
  <c r="AM127" i="25"/>
  <c r="N127" i="25"/>
  <c r="M127" i="25"/>
  <c r="L127" i="25"/>
  <c r="AL127" i="25"/>
  <c r="K127" i="25"/>
  <c r="J127" i="25"/>
  <c r="I127" i="25"/>
  <c r="H127" i="25"/>
  <c r="G127" i="25"/>
  <c r="F127" i="25"/>
  <c r="E127" i="25"/>
  <c r="D127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AJ126" i="25"/>
  <c r="S126" i="25"/>
  <c r="AI126" i="25"/>
  <c r="R126" i="25"/>
  <c r="Q126" i="25"/>
  <c r="AK126" i="25"/>
  <c r="P126" i="25"/>
  <c r="AH126" i="25"/>
  <c r="O126" i="25"/>
  <c r="AM126" i="25"/>
  <c r="N126" i="25"/>
  <c r="M126" i="25"/>
  <c r="L126" i="25"/>
  <c r="AL126" i="25"/>
  <c r="K126" i="25"/>
  <c r="J126" i="25"/>
  <c r="I126" i="25"/>
  <c r="H126" i="25"/>
  <c r="G126" i="25"/>
  <c r="F126" i="25"/>
  <c r="E126" i="25"/>
  <c r="D126" i="25"/>
  <c r="AG125" i="25"/>
  <c r="AF125" i="25"/>
  <c r="AE125" i="25"/>
  <c r="AD125" i="25"/>
  <c r="AC125" i="25"/>
  <c r="AB125" i="25"/>
  <c r="AA125" i="25"/>
  <c r="Z125" i="25"/>
  <c r="Y125" i="25"/>
  <c r="X125" i="25"/>
  <c r="W125" i="25"/>
  <c r="V125" i="25"/>
  <c r="U125" i="25"/>
  <c r="T125" i="25"/>
  <c r="AJ125" i="25"/>
  <c r="S125" i="25"/>
  <c r="AI125" i="25"/>
  <c r="R125" i="25"/>
  <c r="Q125" i="25"/>
  <c r="AK125" i="25"/>
  <c r="P125" i="25"/>
  <c r="AH125" i="25"/>
  <c r="O125" i="25"/>
  <c r="AM125" i="25"/>
  <c r="N125" i="25"/>
  <c r="M125" i="25"/>
  <c r="L125" i="25"/>
  <c r="AL125" i="25"/>
  <c r="K125" i="25"/>
  <c r="J125" i="25"/>
  <c r="I125" i="25"/>
  <c r="H125" i="25"/>
  <c r="G125" i="25"/>
  <c r="F125" i="25"/>
  <c r="E125" i="25"/>
  <c r="D125" i="25"/>
  <c r="AG124" i="25"/>
  <c r="AF124" i="25"/>
  <c r="AE124" i="25"/>
  <c r="AD124" i="25"/>
  <c r="AC124" i="25"/>
  <c r="AB124" i="25"/>
  <c r="AA124" i="25"/>
  <c r="Z124" i="25"/>
  <c r="Y124" i="25"/>
  <c r="X124" i="25"/>
  <c r="W124" i="25"/>
  <c r="V124" i="25"/>
  <c r="U124" i="25"/>
  <c r="T124" i="25"/>
  <c r="AJ124" i="25"/>
  <c r="S124" i="25"/>
  <c r="AI124" i="25"/>
  <c r="R124" i="25"/>
  <c r="Q124" i="25"/>
  <c r="AK124" i="25"/>
  <c r="P124" i="25"/>
  <c r="AH124" i="25"/>
  <c r="O124" i="25"/>
  <c r="AM124" i="25"/>
  <c r="N124" i="25"/>
  <c r="M124" i="25"/>
  <c r="L124" i="25"/>
  <c r="AL124" i="25"/>
  <c r="K124" i="25"/>
  <c r="J124" i="25"/>
  <c r="I124" i="25"/>
  <c r="H124" i="25"/>
  <c r="G124" i="25"/>
  <c r="F124" i="25"/>
  <c r="E124" i="25"/>
  <c r="D124" i="25"/>
  <c r="AG123" i="25"/>
  <c r="AF123" i="25"/>
  <c r="AE123" i="25"/>
  <c r="AD123" i="25"/>
  <c r="AC123" i="25"/>
  <c r="AB123" i="25"/>
  <c r="AA123" i="25"/>
  <c r="Z123" i="25"/>
  <c r="Y123" i="25"/>
  <c r="X123" i="25"/>
  <c r="W123" i="25"/>
  <c r="V123" i="25"/>
  <c r="U123" i="25"/>
  <c r="T123" i="25"/>
  <c r="AJ123" i="25"/>
  <c r="S123" i="25"/>
  <c r="AI123" i="25"/>
  <c r="R123" i="25"/>
  <c r="Q123" i="25"/>
  <c r="AK123" i="25"/>
  <c r="P123" i="25"/>
  <c r="AH123" i="25"/>
  <c r="O123" i="25"/>
  <c r="AM123" i="25"/>
  <c r="N123" i="25"/>
  <c r="M123" i="25"/>
  <c r="L123" i="25"/>
  <c r="AL123" i="25"/>
  <c r="K123" i="25"/>
  <c r="J123" i="25"/>
  <c r="I123" i="25"/>
  <c r="H123" i="25"/>
  <c r="G123" i="25"/>
  <c r="F123" i="25"/>
  <c r="E123" i="25"/>
  <c r="D123" i="25"/>
  <c r="AQ122" i="25"/>
  <c r="AM122" i="25"/>
  <c r="AL122" i="25"/>
  <c r="AK122" i="25"/>
  <c r="AJ122" i="25"/>
  <c r="AI122" i="25"/>
  <c r="AH122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AJ120" i="25"/>
  <c r="P120" i="25"/>
  <c r="AH120" i="25"/>
  <c r="O120" i="25"/>
  <c r="N120" i="25"/>
  <c r="M120" i="25"/>
  <c r="L120" i="25"/>
  <c r="AL120" i="25"/>
  <c r="K120" i="25"/>
  <c r="J120" i="25"/>
  <c r="I120" i="25"/>
  <c r="H120" i="25"/>
  <c r="G120" i="25"/>
  <c r="F120" i="25"/>
  <c r="E120" i="25"/>
  <c r="D120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AJ119" i="25"/>
  <c r="P119" i="25"/>
  <c r="AH119" i="25"/>
  <c r="O119" i="25"/>
  <c r="N119" i="25"/>
  <c r="M119" i="25"/>
  <c r="L119" i="25"/>
  <c r="AL119" i="25"/>
  <c r="K119" i="25"/>
  <c r="J119" i="25"/>
  <c r="I119" i="25"/>
  <c r="H119" i="25"/>
  <c r="G119" i="25"/>
  <c r="F119" i="25"/>
  <c r="E119" i="25"/>
  <c r="D119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AJ118" i="25"/>
  <c r="P118" i="25"/>
  <c r="AH118" i="25"/>
  <c r="O118" i="25"/>
  <c r="N118" i="25"/>
  <c r="M118" i="25"/>
  <c r="L118" i="25"/>
  <c r="AL118" i="25"/>
  <c r="K118" i="25"/>
  <c r="J118" i="25"/>
  <c r="I118" i="25"/>
  <c r="H118" i="25"/>
  <c r="G118" i="25"/>
  <c r="F118" i="25"/>
  <c r="E118" i="25"/>
  <c r="D118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AJ117" i="25"/>
  <c r="P117" i="25"/>
  <c r="AH117" i="25"/>
  <c r="O117" i="25"/>
  <c r="N117" i="25"/>
  <c r="M117" i="25"/>
  <c r="L117" i="25"/>
  <c r="AL117" i="25"/>
  <c r="K117" i="25"/>
  <c r="J117" i="25"/>
  <c r="I117" i="25"/>
  <c r="H117" i="25"/>
  <c r="G117" i="25"/>
  <c r="F117" i="25"/>
  <c r="E117" i="25"/>
  <c r="D117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AJ116" i="25"/>
  <c r="P116" i="25"/>
  <c r="AH116" i="25"/>
  <c r="O116" i="25"/>
  <c r="N116" i="25"/>
  <c r="M116" i="25"/>
  <c r="L116" i="25"/>
  <c r="AL116" i="25"/>
  <c r="K116" i="25"/>
  <c r="J116" i="25"/>
  <c r="I116" i="25"/>
  <c r="H116" i="25"/>
  <c r="G116" i="25"/>
  <c r="F116" i="25"/>
  <c r="E116" i="25"/>
  <c r="D116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AJ115" i="25"/>
  <c r="P115" i="25"/>
  <c r="AH115" i="25"/>
  <c r="O115" i="25"/>
  <c r="N115" i="25"/>
  <c r="M115" i="25"/>
  <c r="L115" i="25"/>
  <c r="AL115" i="25"/>
  <c r="K115" i="25"/>
  <c r="J115" i="25"/>
  <c r="I115" i="25"/>
  <c r="H115" i="25"/>
  <c r="G115" i="25"/>
  <c r="F115" i="25"/>
  <c r="E115" i="25"/>
  <c r="D115" i="25"/>
  <c r="AG114" i="25"/>
  <c r="AF114" i="25"/>
  <c r="AE114" i="25"/>
  <c r="AD114" i="25"/>
  <c r="AC114" i="25"/>
  <c r="AB114" i="25"/>
  <c r="AA114" i="25"/>
  <c r="Z114" i="25"/>
  <c r="Y114" i="25"/>
  <c r="X114" i="25"/>
  <c r="W114" i="25"/>
  <c r="V114" i="25"/>
  <c r="U114" i="25"/>
  <c r="T114" i="25"/>
  <c r="S114" i="25"/>
  <c r="R114" i="25"/>
  <c r="Q114" i="25"/>
  <c r="AJ114" i="25"/>
  <c r="P114" i="25"/>
  <c r="AH114" i="25"/>
  <c r="O114" i="25"/>
  <c r="N114" i="25"/>
  <c r="M114" i="25"/>
  <c r="L114" i="25"/>
  <c r="AL114" i="25"/>
  <c r="K114" i="25"/>
  <c r="J114" i="25"/>
  <c r="I114" i="25"/>
  <c r="H114" i="25"/>
  <c r="G114" i="25"/>
  <c r="F114" i="25"/>
  <c r="E114" i="25"/>
  <c r="D114" i="25"/>
  <c r="AQ113" i="25"/>
  <c r="AL113" i="25"/>
  <c r="AP113" i="25"/>
  <c r="AJ113" i="25"/>
  <c r="AO113" i="25"/>
  <c r="AH113" i="25"/>
  <c r="AN113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AK111" i="25"/>
  <c r="P111" i="25"/>
  <c r="O111" i="25"/>
  <c r="N111" i="25"/>
  <c r="AJ111" i="25"/>
  <c r="M111" i="25"/>
  <c r="L111" i="25"/>
  <c r="AM111" i="25"/>
  <c r="K111" i="25"/>
  <c r="J111" i="25"/>
  <c r="I111" i="25"/>
  <c r="H111" i="25"/>
  <c r="G111" i="25"/>
  <c r="F111" i="25"/>
  <c r="E111" i="25"/>
  <c r="D111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AK110" i="25"/>
  <c r="P110" i="25"/>
  <c r="O110" i="25"/>
  <c r="N110" i="25"/>
  <c r="AJ110" i="25"/>
  <c r="M110" i="25"/>
  <c r="L110" i="25"/>
  <c r="AM110" i="25"/>
  <c r="K110" i="25"/>
  <c r="J110" i="25"/>
  <c r="I110" i="25"/>
  <c r="H110" i="25"/>
  <c r="G110" i="25"/>
  <c r="F110" i="25"/>
  <c r="E110" i="25"/>
  <c r="D110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AK109" i="25"/>
  <c r="P109" i="25"/>
  <c r="O109" i="25"/>
  <c r="N109" i="25"/>
  <c r="AJ109" i="25"/>
  <c r="M109" i="25"/>
  <c r="L109" i="25"/>
  <c r="AM109" i="25"/>
  <c r="K109" i="25"/>
  <c r="J109" i="25"/>
  <c r="I109" i="25"/>
  <c r="H109" i="25"/>
  <c r="G109" i="25"/>
  <c r="F109" i="25"/>
  <c r="E109" i="25"/>
  <c r="D109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AK108" i="25"/>
  <c r="P108" i="25"/>
  <c r="O108" i="25"/>
  <c r="N108" i="25"/>
  <c r="AJ108" i="25"/>
  <c r="M108" i="25"/>
  <c r="L108" i="25"/>
  <c r="AM108" i="25"/>
  <c r="K108" i="25"/>
  <c r="J108" i="25"/>
  <c r="I108" i="25"/>
  <c r="H108" i="25"/>
  <c r="G108" i="25"/>
  <c r="F108" i="25"/>
  <c r="E108" i="25"/>
  <c r="D108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AK107" i="25"/>
  <c r="P107" i="25"/>
  <c r="O107" i="25"/>
  <c r="N107" i="25"/>
  <c r="AJ107" i="25"/>
  <c r="M107" i="25"/>
  <c r="L107" i="25"/>
  <c r="AM107" i="25"/>
  <c r="K107" i="25"/>
  <c r="J107" i="25"/>
  <c r="I107" i="25"/>
  <c r="H107" i="25"/>
  <c r="G107" i="25"/>
  <c r="F107" i="25"/>
  <c r="E107" i="25"/>
  <c r="D107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AK106" i="25"/>
  <c r="P106" i="25"/>
  <c r="O106" i="25"/>
  <c r="N106" i="25"/>
  <c r="AJ106" i="25"/>
  <c r="M106" i="25"/>
  <c r="L106" i="25"/>
  <c r="AM106" i="25"/>
  <c r="K106" i="25"/>
  <c r="J106" i="25"/>
  <c r="I106" i="25"/>
  <c r="H106" i="25"/>
  <c r="G106" i="25"/>
  <c r="F106" i="25"/>
  <c r="E106" i="25"/>
  <c r="D106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AK105" i="25"/>
  <c r="P105" i="25"/>
  <c r="O105" i="25"/>
  <c r="N105" i="25"/>
  <c r="AJ105" i="25"/>
  <c r="M105" i="25"/>
  <c r="L105" i="25"/>
  <c r="AM105" i="25"/>
  <c r="K105" i="25"/>
  <c r="J105" i="25"/>
  <c r="I105" i="25"/>
  <c r="H105" i="25"/>
  <c r="G105" i="25"/>
  <c r="F105" i="25"/>
  <c r="E105" i="25"/>
  <c r="D105" i="25"/>
  <c r="AQ104" i="25"/>
  <c r="AM104" i="25"/>
  <c r="AL104" i="25"/>
  <c r="AK104" i="25"/>
  <c r="AJ104" i="25"/>
  <c r="AI104" i="25"/>
  <c r="AH104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AJ102" i="25"/>
  <c r="P102" i="25"/>
  <c r="O102" i="25"/>
  <c r="N102" i="25"/>
  <c r="M102" i="25"/>
  <c r="AI102" i="25"/>
  <c r="L102" i="25"/>
  <c r="AL102" i="25"/>
  <c r="K102" i="25"/>
  <c r="J102" i="25"/>
  <c r="AH102" i="25"/>
  <c r="I102" i="25"/>
  <c r="H102" i="25"/>
  <c r="G102" i="25"/>
  <c r="F102" i="25"/>
  <c r="E102" i="25"/>
  <c r="D102" i="25"/>
  <c r="AG101" i="25"/>
  <c r="AF101" i="25"/>
  <c r="AE101" i="25"/>
  <c r="AD101" i="25"/>
  <c r="AC101" i="25"/>
  <c r="AB101" i="25"/>
  <c r="AA101" i="25"/>
  <c r="Z101" i="25"/>
  <c r="Y101" i="25"/>
  <c r="X101" i="25"/>
  <c r="W101" i="25"/>
  <c r="V101" i="25"/>
  <c r="U101" i="25"/>
  <c r="T101" i="25"/>
  <c r="S101" i="25"/>
  <c r="R101" i="25"/>
  <c r="Q101" i="25"/>
  <c r="AJ101" i="25"/>
  <c r="P101" i="25"/>
  <c r="O101" i="25"/>
  <c r="N101" i="25"/>
  <c r="M101" i="25"/>
  <c r="AI101" i="25"/>
  <c r="L101" i="25"/>
  <c r="AL101" i="25"/>
  <c r="K101" i="25"/>
  <c r="J101" i="25"/>
  <c r="AH101" i="25"/>
  <c r="I101" i="25"/>
  <c r="H101" i="25"/>
  <c r="G101" i="25"/>
  <c r="F101" i="25"/>
  <c r="E101" i="25"/>
  <c r="D101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AJ100" i="25"/>
  <c r="P100" i="25"/>
  <c r="O100" i="25"/>
  <c r="N100" i="25"/>
  <c r="M100" i="25"/>
  <c r="AI100" i="25"/>
  <c r="L100" i="25"/>
  <c r="AL100" i="25"/>
  <c r="K100" i="25"/>
  <c r="J100" i="25"/>
  <c r="AH100" i="25"/>
  <c r="I100" i="25"/>
  <c r="H100" i="25"/>
  <c r="G100" i="25"/>
  <c r="F100" i="25"/>
  <c r="E100" i="25"/>
  <c r="D100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AJ99" i="25"/>
  <c r="P99" i="25"/>
  <c r="O99" i="25"/>
  <c r="N99" i="25"/>
  <c r="M99" i="25"/>
  <c r="AI99" i="25"/>
  <c r="L99" i="25"/>
  <c r="AL99" i="25"/>
  <c r="K99" i="25"/>
  <c r="J99" i="25"/>
  <c r="AH99" i="25"/>
  <c r="I99" i="25"/>
  <c r="H99" i="25"/>
  <c r="G99" i="25"/>
  <c r="F99" i="25"/>
  <c r="E99" i="25"/>
  <c r="D99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AJ98" i="25"/>
  <c r="P98" i="25"/>
  <c r="O98" i="25"/>
  <c r="N98" i="25"/>
  <c r="M98" i="25"/>
  <c r="AI98" i="25"/>
  <c r="L98" i="25"/>
  <c r="AL98" i="25"/>
  <c r="K98" i="25"/>
  <c r="J98" i="25"/>
  <c r="AH98" i="25"/>
  <c r="I98" i="25"/>
  <c r="H98" i="25"/>
  <c r="G98" i="25"/>
  <c r="F98" i="25"/>
  <c r="E98" i="25"/>
  <c r="D98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AJ97" i="25"/>
  <c r="P97" i="25"/>
  <c r="O97" i="25"/>
  <c r="N97" i="25"/>
  <c r="M97" i="25"/>
  <c r="AI97" i="25"/>
  <c r="L97" i="25"/>
  <c r="AL97" i="25"/>
  <c r="K97" i="25"/>
  <c r="J97" i="25"/>
  <c r="AH97" i="25"/>
  <c r="I97" i="25"/>
  <c r="H97" i="25"/>
  <c r="G97" i="25"/>
  <c r="F97" i="25"/>
  <c r="E97" i="25"/>
  <c r="D97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AJ96" i="25"/>
  <c r="P96" i="25"/>
  <c r="O96" i="25"/>
  <c r="N96" i="25"/>
  <c r="M96" i="25"/>
  <c r="AI96" i="25"/>
  <c r="L96" i="25"/>
  <c r="AL96" i="25"/>
  <c r="K96" i="25"/>
  <c r="J96" i="25"/>
  <c r="AH96" i="25"/>
  <c r="I96" i="25"/>
  <c r="H96" i="25"/>
  <c r="G96" i="25"/>
  <c r="F96" i="25"/>
  <c r="E96" i="25"/>
  <c r="D96" i="25"/>
  <c r="AQ95" i="25"/>
  <c r="AL95" i="25"/>
  <c r="AP95" i="25"/>
  <c r="AJ95" i="25"/>
  <c r="AO95" i="25"/>
  <c r="AI95" i="25"/>
  <c r="AH95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AK93" i="25"/>
  <c r="P93" i="25"/>
  <c r="O93" i="25"/>
  <c r="N93" i="25"/>
  <c r="AJ93" i="25"/>
  <c r="M93" i="25"/>
  <c r="L93" i="25"/>
  <c r="AM93" i="25"/>
  <c r="K93" i="25"/>
  <c r="J93" i="25"/>
  <c r="AI93" i="25"/>
  <c r="I93" i="25"/>
  <c r="AL93" i="25"/>
  <c r="H93" i="25"/>
  <c r="G93" i="25"/>
  <c r="AH93" i="25"/>
  <c r="F93" i="25"/>
  <c r="E93" i="25"/>
  <c r="D93" i="25"/>
  <c r="AG92" i="25"/>
  <c r="AF92" i="25"/>
  <c r="AE92" i="25"/>
  <c r="AD92" i="25"/>
  <c r="AC92" i="25"/>
  <c r="AB92" i="25"/>
  <c r="AA92" i="25"/>
  <c r="Z92" i="25"/>
  <c r="Y92" i="25"/>
  <c r="X92" i="25"/>
  <c r="W92" i="25"/>
  <c r="V92" i="25"/>
  <c r="U92" i="25"/>
  <c r="T92" i="25"/>
  <c r="S92" i="25"/>
  <c r="R92" i="25"/>
  <c r="Q92" i="25"/>
  <c r="AK92" i="25"/>
  <c r="P92" i="25"/>
  <c r="O92" i="25"/>
  <c r="N92" i="25"/>
  <c r="AJ92" i="25"/>
  <c r="M92" i="25"/>
  <c r="L92" i="25"/>
  <c r="AM92" i="25"/>
  <c r="K92" i="25"/>
  <c r="J92" i="25"/>
  <c r="AI92" i="25"/>
  <c r="I92" i="25"/>
  <c r="AL92" i="25"/>
  <c r="H92" i="25"/>
  <c r="G92" i="25"/>
  <c r="AH92" i="25"/>
  <c r="F92" i="25"/>
  <c r="E92" i="25"/>
  <c r="D92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AK91" i="25"/>
  <c r="P91" i="25"/>
  <c r="O91" i="25"/>
  <c r="N91" i="25"/>
  <c r="AJ91" i="25"/>
  <c r="M91" i="25"/>
  <c r="L91" i="25"/>
  <c r="AM91" i="25"/>
  <c r="K91" i="25"/>
  <c r="J91" i="25"/>
  <c r="AI91" i="25"/>
  <c r="I91" i="25"/>
  <c r="AL91" i="25"/>
  <c r="H91" i="25"/>
  <c r="G91" i="25"/>
  <c r="AH91" i="25"/>
  <c r="F91" i="25"/>
  <c r="E91" i="25"/>
  <c r="D91" i="25"/>
  <c r="AG90" i="25"/>
  <c r="AF90" i="25"/>
  <c r="AE90" i="25"/>
  <c r="AD90" i="25"/>
  <c r="AC90" i="25"/>
  <c r="AB90" i="25"/>
  <c r="AA90" i="25"/>
  <c r="Z90" i="25"/>
  <c r="Y90" i="25"/>
  <c r="X90" i="25"/>
  <c r="W90" i="25"/>
  <c r="V90" i="25"/>
  <c r="U90" i="25"/>
  <c r="T90" i="25"/>
  <c r="S90" i="25"/>
  <c r="R90" i="25"/>
  <c r="Q90" i="25"/>
  <c r="AK90" i="25"/>
  <c r="P90" i="25"/>
  <c r="O90" i="25"/>
  <c r="N90" i="25"/>
  <c r="AJ90" i="25"/>
  <c r="M90" i="25"/>
  <c r="L90" i="25"/>
  <c r="AM90" i="25"/>
  <c r="K90" i="25"/>
  <c r="J90" i="25"/>
  <c r="AI90" i="25"/>
  <c r="I90" i="25"/>
  <c r="AL90" i="25"/>
  <c r="H90" i="25"/>
  <c r="G90" i="25"/>
  <c r="AH90" i="25"/>
  <c r="F90" i="25"/>
  <c r="E90" i="25"/>
  <c r="D90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AK89" i="25"/>
  <c r="P89" i="25"/>
  <c r="O89" i="25"/>
  <c r="N89" i="25"/>
  <c r="AJ89" i="25"/>
  <c r="M89" i="25"/>
  <c r="L89" i="25"/>
  <c r="AM89" i="25"/>
  <c r="K89" i="25"/>
  <c r="J89" i="25"/>
  <c r="AI89" i="25"/>
  <c r="I89" i="25"/>
  <c r="AL89" i="25"/>
  <c r="H89" i="25"/>
  <c r="G89" i="25"/>
  <c r="AH89" i="25"/>
  <c r="F89" i="25"/>
  <c r="E89" i="25"/>
  <c r="D89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AK88" i="25"/>
  <c r="P88" i="25"/>
  <c r="O88" i="25"/>
  <c r="N88" i="25"/>
  <c r="AJ88" i="25"/>
  <c r="M88" i="25"/>
  <c r="L88" i="25"/>
  <c r="AM88" i="25"/>
  <c r="K88" i="25"/>
  <c r="J88" i="25"/>
  <c r="AI88" i="25"/>
  <c r="I88" i="25"/>
  <c r="AL88" i="25"/>
  <c r="H88" i="25"/>
  <c r="G88" i="25"/>
  <c r="AH88" i="25"/>
  <c r="F88" i="25"/>
  <c r="E88" i="25"/>
  <c r="D88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AK87" i="25"/>
  <c r="P87" i="25"/>
  <c r="O87" i="25"/>
  <c r="N87" i="25"/>
  <c r="AJ87" i="25"/>
  <c r="M87" i="25"/>
  <c r="L87" i="25"/>
  <c r="AM87" i="25"/>
  <c r="K87" i="25"/>
  <c r="J87" i="25"/>
  <c r="AI87" i="25"/>
  <c r="I87" i="25"/>
  <c r="AL87" i="25"/>
  <c r="H87" i="25"/>
  <c r="G87" i="25"/>
  <c r="AH87" i="25"/>
  <c r="F87" i="25"/>
  <c r="E87" i="25"/>
  <c r="D87" i="25"/>
  <c r="AQ86" i="25"/>
  <c r="AM86" i="25"/>
  <c r="AL86" i="25"/>
  <c r="AK86" i="25"/>
  <c r="AJ86" i="25"/>
  <c r="AI86" i="25"/>
  <c r="AH86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AJ84" i="25"/>
  <c r="M84" i="25"/>
  <c r="L84" i="25"/>
  <c r="K84" i="25"/>
  <c r="J84" i="25"/>
  <c r="AI84" i="25"/>
  <c r="I84" i="25"/>
  <c r="AM84" i="25"/>
  <c r="H84" i="25"/>
  <c r="G84" i="25"/>
  <c r="AH84" i="25"/>
  <c r="F84" i="25"/>
  <c r="AL84" i="25"/>
  <c r="E84" i="25"/>
  <c r="D84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AJ83" i="25"/>
  <c r="M83" i="25"/>
  <c r="L83" i="25"/>
  <c r="K83" i="25"/>
  <c r="J83" i="25"/>
  <c r="AI83" i="25"/>
  <c r="I83" i="25"/>
  <c r="AM83" i="25"/>
  <c r="H83" i="25"/>
  <c r="G83" i="25"/>
  <c r="AH83" i="25"/>
  <c r="F83" i="25"/>
  <c r="AL83" i="25"/>
  <c r="E83" i="25"/>
  <c r="D83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AJ82" i="25"/>
  <c r="M82" i="25"/>
  <c r="L82" i="25"/>
  <c r="K82" i="25"/>
  <c r="J82" i="25"/>
  <c r="AI82" i="25"/>
  <c r="I82" i="25"/>
  <c r="AM82" i="25"/>
  <c r="H82" i="25"/>
  <c r="G82" i="25"/>
  <c r="AH82" i="25"/>
  <c r="F82" i="25"/>
  <c r="AL82" i="25"/>
  <c r="E82" i="25"/>
  <c r="D82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AJ81" i="25"/>
  <c r="M81" i="25"/>
  <c r="L81" i="25"/>
  <c r="K81" i="25"/>
  <c r="J81" i="25"/>
  <c r="AI81" i="25"/>
  <c r="I81" i="25"/>
  <c r="AM81" i="25"/>
  <c r="H81" i="25"/>
  <c r="G81" i="25"/>
  <c r="AH81" i="25"/>
  <c r="F81" i="25"/>
  <c r="AL81" i="25"/>
  <c r="E81" i="25"/>
  <c r="D81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AJ80" i="25"/>
  <c r="M80" i="25"/>
  <c r="L80" i="25"/>
  <c r="K80" i="25"/>
  <c r="J80" i="25"/>
  <c r="AI80" i="25"/>
  <c r="I80" i="25"/>
  <c r="AM80" i="25"/>
  <c r="H80" i="25"/>
  <c r="G80" i="25"/>
  <c r="AH80" i="25"/>
  <c r="F80" i="25"/>
  <c r="AL80" i="25"/>
  <c r="E80" i="25"/>
  <c r="D80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AJ79" i="25"/>
  <c r="M79" i="25"/>
  <c r="L79" i="25"/>
  <c r="K79" i="25"/>
  <c r="J79" i="25"/>
  <c r="AI79" i="25"/>
  <c r="I79" i="25"/>
  <c r="AM79" i="25"/>
  <c r="H79" i="25"/>
  <c r="G79" i="25"/>
  <c r="AH79" i="25"/>
  <c r="F79" i="25"/>
  <c r="AL79" i="25"/>
  <c r="E79" i="25"/>
  <c r="D79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AJ78" i="25"/>
  <c r="M78" i="25"/>
  <c r="L78" i="25"/>
  <c r="K78" i="25"/>
  <c r="J78" i="25"/>
  <c r="AI78" i="25"/>
  <c r="I78" i="25"/>
  <c r="AM78" i="25"/>
  <c r="H78" i="25"/>
  <c r="G78" i="25"/>
  <c r="AH78" i="25"/>
  <c r="F78" i="25"/>
  <c r="AL78" i="25"/>
  <c r="E78" i="25"/>
  <c r="D78" i="25"/>
  <c r="AQ77" i="25"/>
  <c r="AM77" i="25"/>
  <c r="AL77" i="25"/>
  <c r="AP77" i="25"/>
  <c r="AJ77" i="25"/>
  <c r="AO77" i="25"/>
  <c r="AI77" i="25"/>
  <c r="AH77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AJ75" i="25"/>
  <c r="J75" i="25"/>
  <c r="I75" i="25"/>
  <c r="AM75" i="25"/>
  <c r="H75" i="25"/>
  <c r="G75" i="25"/>
  <c r="AH75" i="25"/>
  <c r="F75" i="25"/>
  <c r="AL75" i="25"/>
  <c r="E75" i="25"/>
  <c r="D75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AJ74" i="25"/>
  <c r="J74" i="25"/>
  <c r="I74" i="25"/>
  <c r="AM74" i="25"/>
  <c r="H74" i="25"/>
  <c r="G74" i="25"/>
  <c r="AH74" i="25"/>
  <c r="F74" i="25"/>
  <c r="AL74" i="25"/>
  <c r="E74" i="25"/>
  <c r="D74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AJ73" i="25"/>
  <c r="J73" i="25"/>
  <c r="I73" i="25"/>
  <c r="AM73" i="25"/>
  <c r="H73" i="25"/>
  <c r="G73" i="25"/>
  <c r="AH73" i="25"/>
  <c r="F73" i="25"/>
  <c r="AL73" i="25"/>
  <c r="E73" i="25"/>
  <c r="D73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AJ72" i="25"/>
  <c r="J72" i="25"/>
  <c r="I72" i="25"/>
  <c r="AM72" i="25"/>
  <c r="H72" i="25"/>
  <c r="G72" i="25"/>
  <c r="AH72" i="25"/>
  <c r="F72" i="25"/>
  <c r="AL72" i="25"/>
  <c r="E72" i="25"/>
  <c r="D72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AJ71" i="25"/>
  <c r="J71" i="25"/>
  <c r="I71" i="25"/>
  <c r="AM71" i="25"/>
  <c r="H71" i="25"/>
  <c r="G71" i="25"/>
  <c r="AH71" i="25"/>
  <c r="F71" i="25"/>
  <c r="AL71" i="25"/>
  <c r="E71" i="25"/>
  <c r="D71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AJ70" i="25"/>
  <c r="J70" i="25"/>
  <c r="I70" i="25"/>
  <c r="AM70" i="25"/>
  <c r="H70" i="25"/>
  <c r="G70" i="25"/>
  <c r="AH70" i="25"/>
  <c r="F70" i="25"/>
  <c r="AL70" i="25"/>
  <c r="E70" i="25"/>
  <c r="D70" i="25"/>
  <c r="AG69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AJ69" i="25"/>
  <c r="J69" i="25"/>
  <c r="I69" i="25"/>
  <c r="AM69" i="25"/>
  <c r="H69" i="25"/>
  <c r="G69" i="25"/>
  <c r="AH69" i="25"/>
  <c r="F69" i="25"/>
  <c r="AL69" i="25"/>
  <c r="E69" i="25"/>
  <c r="D69" i="25"/>
  <c r="AQ68" i="25"/>
  <c r="AM68" i="25"/>
  <c r="AL68" i="25"/>
  <c r="AJ68" i="25"/>
  <c r="AO68" i="25"/>
  <c r="AH68" i="25"/>
  <c r="AN68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AK66" i="25"/>
  <c r="J66" i="25"/>
  <c r="I66" i="25"/>
  <c r="H66" i="25"/>
  <c r="AJ66" i="25"/>
  <c r="G66" i="25"/>
  <c r="AH66" i="25"/>
  <c r="F66" i="25"/>
  <c r="E66" i="25"/>
  <c r="D66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AK65" i="25"/>
  <c r="J65" i="25"/>
  <c r="I65" i="25"/>
  <c r="H65" i="25"/>
  <c r="AJ65" i="25"/>
  <c r="G65" i="25"/>
  <c r="AH65" i="25"/>
  <c r="F65" i="25"/>
  <c r="E65" i="25"/>
  <c r="D65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AK64" i="25"/>
  <c r="J64" i="25"/>
  <c r="I64" i="25"/>
  <c r="H64" i="25"/>
  <c r="AJ64" i="25"/>
  <c r="G64" i="25"/>
  <c r="AH64" i="25"/>
  <c r="F64" i="25"/>
  <c r="E64" i="25"/>
  <c r="D64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AK63" i="25"/>
  <c r="J63" i="25"/>
  <c r="I63" i="25"/>
  <c r="H63" i="25"/>
  <c r="AJ63" i="25"/>
  <c r="G63" i="25"/>
  <c r="AH63" i="25"/>
  <c r="F63" i="25"/>
  <c r="E63" i="25"/>
  <c r="D63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AK62" i="25"/>
  <c r="J62" i="25"/>
  <c r="I62" i="25"/>
  <c r="H62" i="25"/>
  <c r="AJ62" i="25"/>
  <c r="G62" i="25"/>
  <c r="AH62" i="25"/>
  <c r="F62" i="25"/>
  <c r="E62" i="25"/>
  <c r="D62" i="25"/>
  <c r="AG61" i="25"/>
  <c r="AF61" i="25"/>
  <c r="AE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AK61" i="25"/>
  <c r="J61" i="25"/>
  <c r="I61" i="25"/>
  <c r="H61" i="25"/>
  <c r="AJ61" i="25"/>
  <c r="G61" i="25"/>
  <c r="AH61" i="25"/>
  <c r="F61" i="25"/>
  <c r="E61" i="25"/>
  <c r="D61" i="25"/>
  <c r="AG60" i="25"/>
  <c r="AF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AK60" i="25"/>
  <c r="J60" i="25"/>
  <c r="I60" i="25"/>
  <c r="H60" i="25"/>
  <c r="AJ60" i="25"/>
  <c r="G60" i="25"/>
  <c r="AH60" i="25"/>
  <c r="F60" i="25"/>
  <c r="E60" i="25"/>
  <c r="D60" i="25"/>
  <c r="AQ59" i="25"/>
  <c r="AP59" i="25"/>
  <c r="AK59" i="25"/>
  <c r="AJ59" i="25"/>
  <c r="AH59" i="25"/>
  <c r="AN59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AK57" i="25"/>
  <c r="J57" i="25"/>
  <c r="I57" i="25"/>
  <c r="H57" i="25"/>
  <c r="AJ57" i="25"/>
  <c r="G57" i="25"/>
  <c r="F57" i="25"/>
  <c r="E57" i="25"/>
  <c r="D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AK56" i="25"/>
  <c r="J56" i="25"/>
  <c r="I56" i="25"/>
  <c r="H56" i="25"/>
  <c r="AJ56" i="25"/>
  <c r="G56" i="25"/>
  <c r="F56" i="25"/>
  <c r="E56" i="25"/>
  <c r="D56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AK55" i="25"/>
  <c r="J55" i="25"/>
  <c r="I55" i="25"/>
  <c r="H55" i="25"/>
  <c r="AJ55" i="25"/>
  <c r="G55" i="25"/>
  <c r="F55" i="25"/>
  <c r="E55" i="25"/>
  <c r="D55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AK54" i="25"/>
  <c r="J54" i="25"/>
  <c r="I54" i="25"/>
  <c r="H54" i="25"/>
  <c r="AJ54" i="25"/>
  <c r="G54" i="25"/>
  <c r="F54" i="25"/>
  <c r="E54" i="25"/>
  <c r="D54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AK53" i="25"/>
  <c r="J53" i="25"/>
  <c r="I53" i="25"/>
  <c r="H53" i="25"/>
  <c r="AJ53" i="25"/>
  <c r="G53" i="25"/>
  <c r="F53" i="25"/>
  <c r="E53" i="25"/>
  <c r="D53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AK52" i="25"/>
  <c r="J52" i="25"/>
  <c r="I52" i="25"/>
  <c r="H52" i="25"/>
  <c r="AJ52" i="25"/>
  <c r="G52" i="25"/>
  <c r="F52" i="25"/>
  <c r="E52" i="25"/>
  <c r="D52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AK51" i="25"/>
  <c r="J51" i="25"/>
  <c r="I51" i="25"/>
  <c r="H51" i="25"/>
  <c r="AJ51" i="25"/>
  <c r="G51" i="25"/>
  <c r="F51" i="25"/>
  <c r="E51" i="25"/>
  <c r="D51" i="25"/>
  <c r="AQ50" i="25"/>
  <c r="AP50" i="25"/>
  <c r="AN50" i="25"/>
  <c r="AK50" i="25"/>
  <c r="AJ50" i="25"/>
  <c r="AO50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AQ41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S32" i="25"/>
  <c r="S33" i="25"/>
  <c r="S34" i="25"/>
  <c r="S35" i="25"/>
  <c r="S36" i="25"/>
  <c r="S37" i="25"/>
  <c r="P32" i="25"/>
  <c r="P33" i="25"/>
  <c r="P34" i="25"/>
  <c r="P35" i="25"/>
  <c r="P36" i="25"/>
  <c r="P37" i="25"/>
  <c r="M32" i="25"/>
  <c r="M33" i="25"/>
  <c r="M34" i="25"/>
  <c r="M35" i="25"/>
  <c r="M36" i="25"/>
  <c r="M37" i="25"/>
  <c r="J32" i="25"/>
  <c r="J33" i="25"/>
  <c r="J34" i="25"/>
  <c r="J35" i="25"/>
  <c r="J36" i="25"/>
  <c r="J37" i="25"/>
  <c r="G32" i="25"/>
  <c r="G33" i="25"/>
  <c r="G34" i="25"/>
  <c r="G35" i="25"/>
  <c r="G36" i="25"/>
  <c r="G37" i="25"/>
  <c r="D32" i="25"/>
  <c r="D33" i="25"/>
  <c r="D34" i="25"/>
  <c r="D35" i="25"/>
  <c r="D36" i="25"/>
  <c r="D37" i="25"/>
  <c r="AE31" i="25"/>
  <c r="AE32" i="25"/>
  <c r="AE33" i="25"/>
  <c r="AE34" i="25"/>
  <c r="AE35" i="25"/>
  <c r="AE36" i="25"/>
  <c r="AE37" i="25"/>
  <c r="AB31" i="25"/>
  <c r="AB32" i="25"/>
  <c r="AB33" i="25"/>
  <c r="AB34" i="25"/>
  <c r="AB35" i="25"/>
  <c r="AB36" i="25"/>
  <c r="AB37" i="25"/>
  <c r="Y31" i="25"/>
  <c r="Y32" i="25"/>
  <c r="Y33" i="25"/>
  <c r="Y34" i="25"/>
  <c r="Y35" i="25"/>
  <c r="Y36" i="25"/>
  <c r="Y37" i="25"/>
  <c r="V31" i="25"/>
  <c r="V32" i="25"/>
  <c r="V33" i="25"/>
  <c r="V34" i="25"/>
  <c r="V35" i="25"/>
  <c r="V36" i="25"/>
  <c r="V37" i="25"/>
  <c r="AQ17" i="25"/>
  <c r="AQ22" i="25"/>
  <c r="AE15" i="25"/>
  <c r="AB15" i="25"/>
  <c r="Y15" i="25"/>
  <c r="V15" i="25"/>
  <c r="S15" i="25"/>
  <c r="P15" i="25"/>
  <c r="M15" i="25"/>
  <c r="J15" i="25"/>
  <c r="G15" i="25"/>
  <c r="D15" i="25"/>
  <c r="AE14" i="25"/>
  <c r="AB14" i="25"/>
  <c r="Y14" i="25"/>
  <c r="V14" i="25"/>
  <c r="S14" i="25"/>
  <c r="P14" i="25"/>
  <c r="M14" i="25"/>
  <c r="J14" i="25"/>
  <c r="G14" i="25"/>
  <c r="D14" i="25"/>
  <c r="AQ13" i="25"/>
  <c r="AQ15" i="25"/>
  <c r="AQ12" i="25"/>
  <c r="AQ11" i="25"/>
  <c r="AQ10" i="25"/>
  <c r="AE9" i="25"/>
  <c r="AB9" i="25"/>
  <c r="Y9" i="25"/>
  <c r="V9" i="25"/>
  <c r="S9" i="25"/>
  <c r="P9" i="25"/>
  <c r="M9" i="25"/>
  <c r="J9" i="25"/>
  <c r="G9" i="25"/>
  <c r="D9" i="25"/>
  <c r="AQ8" i="25"/>
  <c r="AQ6" i="25"/>
  <c r="AQ7" i="25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40" i="19"/>
  <c r="B42" i="19"/>
  <c r="B44" i="19"/>
  <c r="B46" i="19"/>
  <c r="B48" i="19"/>
  <c r="B50" i="19"/>
  <c r="B52" i="19"/>
  <c r="B54" i="19"/>
  <c r="B56" i="19"/>
  <c r="B58" i="19"/>
  <c r="B60" i="19"/>
  <c r="B62" i="19"/>
  <c r="B64" i="19"/>
  <c r="B66" i="19"/>
  <c r="B68" i="19"/>
  <c r="B70" i="19"/>
  <c r="B72" i="19"/>
  <c r="B74" i="19"/>
  <c r="B76" i="19"/>
  <c r="B78" i="19"/>
  <c r="B80" i="19"/>
  <c r="B82" i="19"/>
  <c r="B84" i="19"/>
  <c r="B86" i="19"/>
  <c r="B88" i="19"/>
  <c r="B90" i="19"/>
  <c r="B92" i="19"/>
  <c r="B94" i="19"/>
  <c r="B96" i="19"/>
  <c r="B98" i="19"/>
  <c r="B39" i="19"/>
  <c r="B41" i="19"/>
  <c r="B43" i="19"/>
  <c r="B45" i="19"/>
  <c r="B47" i="19"/>
  <c r="B49" i="19"/>
  <c r="B51" i="19"/>
  <c r="B53" i="19"/>
  <c r="B55" i="19"/>
  <c r="B57" i="19"/>
  <c r="B59" i="19"/>
  <c r="B61" i="19"/>
  <c r="B63" i="19"/>
  <c r="B65" i="19"/>
  <c r="B67" i="19"/>
  <c r="B69" i="19"/>
  <c r="B71" i="19"/>
  <c r="B73" i="19"/>
  <c r="B75" i="19"/>
  <c r="B77" i="19"/>
  <c r="B79" i="19"/>
  <c r="B81" i="19"/>
  <c r="B83" i="19"/>
  <c r="B85" i="19"/>
  <c r="B87" i="19"/>
  <c r="B89" i="19"/>
  <c r="B91" i="19"/>
  <c r="B93" i="19"/>
  <c r="B95" i="19"/>
  <c r="B97" i="19"/>
  <c r="I25" i="19"/>
  <c r="L20" i="19"/>
  <c r="C20" i="19"/>
  <c r="D57" i="13"/>
  <c r="D56" i="13"/>
  <c r="S47" i="5"/>
  <c r="H47" i="5"/>
  <c r="Q45" i="5"/>
  <c r="N45" i="5"/>
  <c r="N17" i="1" s="1"/>
  <c r="K45" i="5"/>
  <c r="H45" i="5"/>
  <c r="Q44" i="5"/>
  <c r="N44" i="5"/>
  <c r="N16" i="1"/>
  <c r="K44" i="5"/>
  <c r="H44" i="5"/>
  <c r="F44" i="5"/>
  <c r="Q43" i="5"/>
  <c r="N43" i="5"/>
  <c r="N15" i="1"/>
  <c r="K43" i="5"/>
  <c r="H43" i="5"/>
  <c r="Q42" i="5"/>
  <c r="N42" i="5"/>
  <c r="N14" i="1" s="1"/>
  <c r="K42" i="5"/>
  <c r="Q41" i="5"/>
  <c r="N41" i="5"/>
  <c r="N13" i="1" s="1"/>
  <c r="K41" i="5"/>
  <c r="I41" i="5"/>
  <c r="N40" i="5"/>
  <c r="N10" i="1" s="1"/>
  <c r="K40" i="5"/>
  <c r="H40" i="5"/>
  <c r="Q39" i="5"/>
  <c r="N39" i="5"/>
  <c r="N9" i="1" s="1"/>
  <c r="M39" i="5"/>
  <c r="K39" i="5"/>
  <c r="H39" i="5"/>
  <c r="S38" i="5"/>
  <c r="K38" i="5"/>
  <c r="Q37" i="5"/>
  <c r="N37" i="5"/>
  <c r="N5" i="1" s="1"/>
  <c r="K37" i="5"/>
  <c r="Q36" i="5"/>
  <c r="N36" i="5"/>
  <c r="N4" i="1" s="1"/>
  <c r="K36" i="5"/>
  <c r="Q34" i="5"/>
  <c r="P34" i="5"/>
  <c r="O34" i="5"/>
  <c r="N34" i="5"/>
  <c r="M34" i="5"/>
  <c r="L34" i="5"/>
  <c r="K34" i="5"/>
  <c r="J34" i="5"/>
  <c r="I34" i="5"/>
  <c r="H34" i="5"/>
  <c r="R30" i="5"/>
  <c r="V17" i="1"/>
  <c r="R29" i="5"/>
  <c r="V16" i="1"/>
  <c r="R28" i="5"/>
  <c r="V15" i="1" s="1"/>
  <c r="Q24" i="5"/>
  <c r="O24" i="5"/>
  <c r="M24" i="5"/>
  <c r="J24" i="5"/>
  <c r="H24" i="5"/>
  <c r="G24" i="5"/>
  <c r="F24" i="5"/>
  <c r="R23" i="5"/>
  <c r="R22" i="5"/>
  <c r="R21" i="5"/>
  <c r="Q20" i="5"/>
  <c r="P20" i="5"/>
  <c r="O20" i="5"/>
  <c r="N20" i="5"/>
  <c r="M20" i="5"/>
  <c r="L20" i="5"/>
  <c r="K20" i="5"/>
  <c r="J20" i="5"/>
  <c r="I20" i="5"/>
  <c r="G20" i="5"/>
  <c r="F20" i="5"/>
  <c r="R19" i="5"/>
  <c r="O18" i="5"/>
  <c r="I18" i="5"/>
  <c r="G18" i="5"/>
  <c r="F18" i="5"/>
  <c r="R17" i="5"/>
  <c r="Q16" i="5"/>
  <c r="P16" i="5"/>
  <c r="O16" i="5"/>
  <c r="N16" i="5"/>
  <c r="M16" i="5"/>
  <c r="L16" i="5"/>
  <c r="K16" i="5"/>
  <c r="J16" i="5"/>
  <c r="I16" i="5"/>
  <c r="H16" i="5"/>
  <c r="G16" i="5"/>
  <c r="F16" i="5"/>
  <c r="R15" i="5"/>
  <c r="T14" i="5"/>
  <c r="T12" i="5"/>
  <c r="R12" i="5"/>
  <c r="Q11" i="5"/>
  <c r="P11" i="5"/>
  <c r="O11" i="5"/>
  <c r="N11" i="5"/>
  <c r="M11" i="5"/>
  <c r="L11" i="5"/>
  <c r="F11" i="5"/>
  <c r="R10" i="5"/>
  <c r="R7" i="5"/>
  <c r="V7" i="1" s="1"/>
  <c r="I6" i="5"/>
  <c r="H6" i="5"/>
  <c r="G6" i="5"/>
  <c r="F6" i="5"/>
  <c r="T5" i="5"/>
  <c r="R5" i="5"/>
  <c r="V5" i="1" s="1"/>
  <c r="T4" i="5"/>
  <c r="R4" i="5"/>
  <c r="IY27" i="15"/>
  <c r="QD24" i="15"/>
  <c r="OY24" i="15"/>
  <c r="AH24" i="15"/>
  <c r="QD23" i="15"/>
  <c r="OY23" i="15"/>
  <c r="AH23" i="15"/>
  <c r="QD22" i="15"/>
  <c r="OY22" i="15"/>
  <c r="AH22" i="15"/>
  <c r="QD21" i="15"/>
  <c r="OY21" i="15"/>
  <c r="AH21" i="15"/>
  <c r="BAL20" i="15"/>
  <c r="BAK20" i="15"/>
  <c r="BAJ20" i="15"/>
  <c r="BAI20" i="15"/>
  <c r="BAH20" i="15"/>
  <c r="BAG20" i="15"/>
  <c r="BAF20" i="15"/>
  <c r="BAE20" i="15"/>
  <c r="BAD20" i="15"/>
  <c r="BAC20" i="15"/>
  <c r="BAB20" i="15"/>
  <c r="BAA20" i="15"/>
  <c r="AZZ20" i="15"/>
  <c r="AZY20" i="15"/>
  <c r="AZX20" i="15"/>
  <c r="AZW20" i="15"/>
  <c r="AZV20" i="15"/>
  <c r="AZU20" i="15"/>
  <c r="AZT20" i="15"/>
  <c r="AZS20" i="15"/>
  <c r="AZR20" i="15"/>
  <c r="AZQ20" i="15"/>
  <c r="AZP20" i="15"/>
  <c r="AZO20" i="15"/>
  <c r="AZN20" i="15"/>
  <c r="AZM20" i="15"/>
  <c r="AZL20" i="15"/>
  <c r="AZK20" i="15"/>
  <c r="AZJ20" i="15"/>
  <c r="AZI20" i="15"/>
  <c r="AZH20" i="15"/>
  <c r="AVQ20" i="15"/>
  <c r="ARZ20" i="15"/>
  <c r="AQT20" i="15"/>
  <c r="ANE20" i="15"/>
  <c r="AND20" i="15"/>
  <c r="ANC20" i="15"/>
  <c r="ANB20" i="15"/>
  <c r="ANA20" i="15"/>
  <c r="AMZ20" i="15"/>
  <c r="AMY20" i="15"/>
  <c r="AMX20" i="15"/>
  <c r="AMW20" i="15"/>
  <c r="AMV20" i="15"/>
  <c r="AMU20" i="15"/>
  <c r="AMT20" i="15"/>
  <c r="AMS20" i="15"/>
  <c r="AMR20" i="15"/>
  <c r="AMQ20" i="15"/>
  <c r="AMP20" i="15"/>
  <c r="AMO20" i="15"/>
  <c r="AMN20" i="15"/>
  <c r="AMM20" i="15"/>
  <c r="AML20" i="15"/>
  <c r="AMK20" i="15"/>
  <c r="AMJ20" i="15"/>
  <c r="AMI20" i="15"/>
  <c r="AMH20" i="15"/>
  <c r="AMG20" i="15"/>
  <c r="AMF20" i="15"/>
  <c r="AME20" i="15"/>
  <c r="AMD20" i="15"/>
  <c r="AMC20" i="15"/>
  <c r="AMB20" i="15"/>
  <c r="AMA20" i="15"/>
  <c r="ABA20" i="15"/>
  <c r="ZW20" i="15"/>
  <c r="ZV20" i="15"/>
  <c r="ZU20" i="15"/>
  <c r="ZT20" i="15"/>
  <c r="ZS20" i="15"/>
  <c r="ZR20" i="15"/>
  <c r="ZQ20" i="15"/>
  <c r="ZP20" i="15"/>
  <c r="ZO20" i="15"/>
  <c r="ZN20" i="15"/>
  <c r="ZM20" i="15"/>
  <c r="ZL20" i="15"/>
  <c r="ZK20" i="15"/>
  <c r="ZJ20" i="15"/>
  <c r="ZI20" i="15"/>
  <c r="ZH20" i="15"/>
  <c r="QD20" i="15"/>
  <c r="OY20" i="15"/>
  <c r="AH20" i="15"/>
  <c r="BAM19" i="15"/>
  <c r="AVQ19" i="15"/>
  <c r="ARZ19" i="15"/>
  <c r="AQT19" i="15"/>
  <c r="ANF19" i="15"/>
  <c r="ABA19" i="15"/>
  <c r="QD19" i="15"/>
  <c r="OY19" i="15"/>
  <c r="AH19" i="15"/>
  <c r="BAL18" i="15"/>
  <c r="BAK18" i="15"/>
  <c r="BAJ18" i="15"/>
  <c r="BAI18" i="15"/>
  <c r="BAH18" i="15"/>
  <c r="BAG18" i="15"/>
  <c r="BAF18" i="15"/>
  <c r="BAE18" i="15"/>
  <c r="BAD18" i="15"/>
  <c r="BAC18" i="15"/>
  <c r="BAB18" i="15"/>
  <c r="BAA18" i="15"/>
  <c r="AZZ18" i="15"/>
  <c r="AZY18" i="15"/>
  <c r="AZX18" i="15"/>
  <c r="AZW18" i="15"/>
  <c r="AZV18" i="15"/>
  <c r="AZU18" i="15"/>
  <c r="AZT18" i="15"/>
  <c r="AZS18" i="15"/>
  <c r="AZR18" i="15"/>
  <c r="AZQ18" i="15"/>
  <c r="AZP18" i="15"/>
  <c r="AZO18" i="15"/>
  <c r="AZN18" i="15"/>
  <c r="AZM18" i="15"/>
  <c r="AZL18" i="15"/>
  <c r="AZK18" i="15"/>
  <c r="AZJ18" i="15"/>
  <c r="AZI18" i="15"/>
  <c r="AZH18" i="15"/>
  <c r="AVQ18" i="15"/>
  <c r="ARZ18" i="15"/>
  <c r="AQT18" i="15"/>
  <c r="ANF18" i="15"/>
  <c r="ABA18" i="15"/>
  <c r="QD18" i="15"/>
  <c r="OY18" i="15"/>
  <c r="AH18" i="15"/>
  <c r="BAM17" i="15"/>
  <c r="AVQ17" i="15"/>
  <c r="ARZ17" i="15"/>
  <c r="AQT17" i="15"/>
  <c r="ANF17" i="15"/>
  <c r="ABA17" i="15"/>
  <c r="QD17" i="15"/>
  <c r="OY17" i="15"/>
  <c r="AH17" i="15"/>
  <c r="BAL16" i="15"/>
  <c r="BAK16" i="15"/>
  <c r="BAJ16" i="15"/>
  <c r="BAI16" i="15"/>
  <c r="BAH16" i="15"/>
  <c r="BAG16" i="15"/>
  <c r="BAF16" i="15"/>
  <c r="BAE16" i="15"/>
  <c r="BAD16" i="15"/>
  <c r="BAC16" i="15"/>
  <c r="BAB16" i="15"/>
  <c r="BAA16" i="15"/>
  <c r="AZZ16" i="15"/>
  <c r="AZY16" i="15"/>
  <c r="AZX16" i="15"/>
  <c r="AZW16" i="15"/>
  <c r="AZV16" i="15"/>
  <c r="AZU16" i="15"/>
  <c r="AZT16" i="15"/>
  <c r="AZS16" i="15"/>
  <c r="AZR16" i="15"/>
  <c r="AZQ16" i="15"/>
  <c r="AZP16" i="15"/>
  <c r="AZO16" i="15"/>
  <c r="AZN16" i="15"/>
  <c r="AZM16" i="15"/>
  <c r="AZL16" i="15"/>
  <c r="AZK16" i="15"/>
  <c r="AZJ16" i="15"/>
  <c r="AZI16" i="15"/>
  <c r="AZH16" i="15"/>
  <c r="AVQ16" i="15"/>
  <c r="ARZ16" i="15"/>
  <c r="AQT16" i="15"/>
  <c r="ANE16" i="15"/>
  <c r="AND16" i="15"/>
  <c r="ANC16" i="15"/>
  <c r="ANB16" i="15"/>
  <c r="ANA16" i="15"/>
  <c r="AMZ16" i="15"/>
  <c r="AMY16" i="15"/>
  <c r="AMX16" i="15"/>
  <c r="AMW16" i="15"/>
  <c r="AMV16" i="15"/>
  <c r="AMU16" i="15"/>
  <c r="AMT16" i="15"/>
  <c r="AMS16" i="15"/>
  <c r="AMR16" i="15"/>
  <c r="AMQ16" i="15"/>
  <c r="AMP16" i="15"/>
  <c r="AMO16" i="15"/>
  <c r="AMN16" i="15"/>
  <c r="AMM16" i="15"/>
  <c r="AML16" i="15"/>
  <c r="AMK16" i="15"/>
  <c r="AMJ16" i="15"/>
  <c r="AMI16" i="15"/>
  <c r="AMH16" i="15"/>
  <c r="AMG16" i="15"/>
  <c r="AMF16" i="15"/>
  <c r="AME16" i="15"/>
  <c r="AMD16" i="15"/>
  <c r="ABA16" i="15"/>
  <c r="QD16" i="15"/>
  <c r="OY16" i="15"/>
  <c r="NS16" i="15"/>
  <c r="MM16" i="15"/>
  <c r="LG16" i="15"/>
  <c r="KA16" i="15"/>
  <c r="IU16" i="15"/>
  <c r="HO16" i="15"/>
  <c r="GI16" i="15"/>
  <c r="FC16" i="15"/>
  <c r="DW16" i="15"/>
  <c r="CQ16" i="15"/>
  <c r="BK16" i="15"/>
  <c r="Y16" i="15"/>
  <c r="AH16" i="15"/>
  <c r="BAM15" i="15"/>
  <c r="AVQ15" i="15"/>
  <c r="ARZ15" i="15"/>
  <c r="AQT15" i="15"/>
  <c r="ANF15" i="15"/>
  <c r="ABA15" i="15"/>
  <c r="QD15" i="15"/>
  <c r="OY15" i="15"/>
  <c r="NS15" i="15"/>
  <c r="MM15" i="15"/>
  <c r="LG15" i="15"/>
  <c r="KA15" i="15"/>
  <c r="IU15" i="15"/>
  <c r="HO15" i="15"/>
  <c r="GI15" i="15"/>
  <c r="FC15" i="15"/>
  <c r="DW15" i="15"/>
  <c r="CQ15" i="15"/>
  <c r="BK15" i="15"/>
  <c r="AH15" i="15"/>
  <c r="BAM14" i="15"/>
  <c r="AVQ14" i="15"/>
  <c r="ARZ14" i="15"/>
  <c r="AQT14" i="15"/>
  <c r="ANF14" i="15"/>
  <c r="ABA14" i="15"/>
  <c r="QD14" i="15"/>
  <c r="OY14" i="15"/>
  <c r="NS14" i="15"/>
  <c r="MM14" i="15"/>
  <c r="LG14" i="15"/>
  <c r="KA14" i="15"/>
  <c r="IU14" i="15"/>
  <c r="HO14" i="15"/>
  <c r="GI14" i="15"/>
  <c r="FC14" i="15"/>
  <c r="DW14" i="15"/>
  <c r="CQ14" i="15"/>
  <c r="BK14" i="15"/>
  <c r="AH14" i="15"/>
  <c r="BAM13" i="15"/>
  <c r="AVQ13" i="15"/>
  <c r="ARZ13" i="15"/>
  <c r="AQT13" i="15"/>
  <c r="ANF13" i="15"/>
  <c r="ABA13" i="15"/>
  <c r="QD13" i="15"/>
  <c r="OY13" i="15"/>
  <c r="NS13" i="15"/>
  <c r="MM13" i="15"/>
  <c r="LG13" i="15"/>
  <c r="KA13" i="15"/>
  <c r="IU13" i="15"/>
  <c r="HO13" i="15"/>
  <c r="GI13" i="15"/>
  <c r="FC13" i="15"/>
  <c r="DW13" i="15"/>
  <c r="CQ13" i="15"/>
  <c r="BK13" i="15"/>
  <c r="AH13" i="15"/>
  <c r="BAL12" i="15"/>
  <c r="BAK12" i="15"/>
  <c r="BAJ12" i="15"/>
  <c r="BAI12" i="15"/>
  <c r="BAH12" i="15"/>
  <c r="BAG12" i="15"/>
  <c r="BAF12" i="15"/>
  <c r="BAE12" i="15"/>
  <c r="BAD12" i="15"/>
  <c r="BAC12" i="15"/>
  <c r="BAB12" i="15"/>
  <c r="BAA12" i="15"/>
  <c r="AZZ12" i="15"/>
  <c r="AZY12" i="15"/>
  <c r="AZX12" i="15"/>
  <c r="AZW12" i="15"/>
  <c r="AZV12" i="15"/>
  <c r="AZU12" i="15"/>
  <c r="AZT12" i="15"/>
  <c r="AZS12" i="15"/>
  <c r="AZR12" i="15"/>
  <c r="AZQ12" i="15"/>
  <c r="AZP12" i="15"/>
  <c r="AZO12" i="15"/>
  <c r="AZN12" i="15"/>
  <c r="AZM12" i="15"/>
  <c r="AZL12" i="15"/>
  <c r="AZK12" i="15"/>
  <c r="AZJ12" i="15"/>
  <c r="AZI12" i="15"/>
  <c r="AZH12" i="15"/>
  <c r="AVQ12" i="15"/>
  <c r="ARZ12" i="15"/>
  <c r="AQT12" i="15"/>
  <c r="ANE12" i="15"/>
  <c r="AND12" i="15"/>
  <c r="ANC12" i="15"/>
  <c r="ANB12" i="15"/>
  <c r="ANA12" i="15"/>
  <c r="AMZ12" i="15"/>
  <c r="AMY12" i="15"/>
  <c r="AMX12" i="15"/>
  <c r="AMW12" i="15"/>
  <c r="AMV12" i="15"/>
  <c r="AMU12" i="15"/>
  <c r="AMT12" i="15"/>
  <c r="AMS12" i="15"/>
  <c r="AMR12" i="15"/>
  <c r="AMQ12" i="15"/>
  <c r="AMP12" i="15"/>
  <c r="AMO12" i="15"/>
  <c r="AMN12" i="15"/>
  <c r="AMM12" i="15"/>
  <c r="AML12" i="15"/>
  <c r="AMK12" i="15"/>
  <c r="AMJ12" i="15"/>
  <c r="AMI12" i="15"/>
  <c r="AMH12" i="15"/>
  <c r="AMG12" i="15"/>
  <c r="AMF12" i="15"/>
  <c r="AME12" i="15"/>
  <c r="AMD12" i="15"/>
  <c r="AMC12" i="15"/>
  <c r="AMB12" i="15"/>
  <c r="AMA12" i="15"/>
  <c r="ABA12" i="15"/>
  <c r="ZW12" i="15"/>
  <c r="ZV12" i="15"/>
  <c r="ZU12" i="15"/>
  <c r="ZT12" i="15"/>
  <c r="ZS12" i="15"/>
  <c r="ZR12" i="15"/>
  <c r="ZQ12" i="15"/>
  <c r="ZP12" i="15"/>
  <c r="ZO12" i="15"/>
  <c r="ZN12" i="15"/>
  <c r="ZM12" i="15"/>
  <c r="ZL12" i="15"/>
  <c r="ZK12" i="15"/>
  <c r="ZJ12" i="15"/>
  <c r="ZI12" i="15"/>
  <c r="ZH12" i="15"/>
  <c r="ZG12" i="15"/>
  <c r="ZF12" i="15"/>
  <c r="ZE12" i="15"/>
  <c r="ZD12" i="15"/>
  <c r="ZC12" i="15"/>
  <c r="ZB12" i="15"/>
  <c r="ZA12" i="15"/>
  <c r="YZ12" i="15"/>
  <c r="YY12" i="15"/>
  <c r="YX12" i="15"/>
  <c r="YW12" i="15"/>
  <c r="YV12" i="15"/>
  <c r="YU12" i="15"/>
  <c r="YT12" i="15"/>
  <c r="YS12" i="15"/>
  <c r="SO12" i="15"/>
  <c r="QD12" i="15"/>
  <c r="OY12" i="15"/>
  <c r="NS12" i="15"/>
  <c r="MM12" i="15"/>
  <c r="LG12" i="15"/>
  <c r="KA12" i="15"/>
  <c r="IU12" i="15"/>
  <c r="HO12" i="15"/>
  <c r="GI12" i="15"/>
  <c r="FC12" i="15"/>
  <c r="DW12" i="15"/>
  <c r="CQ12" i="15"/>
  <c r="BK12" i="15"/>
  <c r="AVQ11" i="15"/>
  <c r="ARZ11" i="15"/>
  <c r="AQT11" i="15"/>
  <c r="ANF11" i="15"/>
  <c r="ABA11" i="15"/>
  <c r="ZX11" i="15"/>
  <c r="SO11" i="15"/>
  <c r="QD11" i="15"/>
  <c r="OY11" i="15"/>
  <c r="NS11" i="15"/>
  <c r="MM11" i="15"/>
  <c r="LG11" i="15"/>
  <c r="KA11" i="15"/>
  <c r="IU11" i="15"/>
  <c r="HO11" i="15"/>
  <c r="GI11" i="15"/>
  <c r="FC11" i="15"/>
  <c r="DW11" i="15"/>
  <c r="CQ11" i="15"/>
  <c r="BK11" i="15"/>
  <c r="AVQ10" i="15"/>
  <c r="ARZ10" i="15"/>
  <c r="AQT10" i="15"/>
  <c r="ABA10" i="15"/>
  <c r="QD10" i="15"/>
  <c r="OY10" i="15"/>
  <c r="NS10" i="15"/>
  <c r="MM10" i="15"/>
  <c r="LG10" i="15"/>
  <c r="KA10" i="15"/>
  <c r="IU10" i="15"/>
  <c r="HO10" i="15"/>
  <c r="GI10" i="15"/>
  <c r="FC10" i="15"/>
  <c r="DW10" i="15"/>
  <c r="CP10" i="15"/>
  <c r="CO10" i="15"/>
  <c r="CN10" i="15"/>
  <c r="CM10" i="15"/>
  <c r="CL10" i="15"/>
  <c r="CG10" i="15"/>
  <c r="CF10" i="15"/>
  <c r="CE10" i="15"/>
  <c r="CD10" i="15"/>
  <c r="CC10" i="15"/>
  <c r="CB10" i="15"/>
  <c r="CA10" i="15"/>
  <c r="BZ10" i="15"/>
  <c r="BY10" i="15"/>
  <c r="BX10" i="15"/>
  <c r="BW10" i="15"/>
  <c r="BU10" i="15"/>
  <c r="BR10" i="15"/>
  <c r="BQ10" i="15"/>
  <c r="BP10" i="15"/>
  <c r="BO10" i="15"/>
  <c r="BN10" i="15"/>
  <c r="BM10" i="15"/>
  <c r="BL10" i="15"/>
  <c r="BK10" i="15"/>
  <c r="AVQ9" i="15"/>
  <c r="ARZ9" i="15"/>
  <c r="AQT9" i="15"/>
  <c r="ABA9" i="15"/>
  <c r="QD9" i="15"/>
  <c r="OY9" i="15"/>
  <c r="NS9" i="15"/>
  <c r="MM9" i="15"/>
  <c r="LG9" i="15"/>
  <c r="KA9" i="15"/>
  <c r="IU9" i="15"/>
  <c r="HO9" i="15"/>
  <c r="GI9" i="15"/>
  <c r="FC9" i="15"/>
  <c r="DW9" i="15"/>
  <c r="CQ9" i="15"/>
  <c r="BK9" i="15"/>
  <c r="AVQ8" i="15"/>
  <c r="ARZ8" i="15"/>
  <c r="AQD8" i="15"/>
  <c r="AQE8" i="15"/>
  <c r="AQF8" i="15"/>
  <c r="AQG8" i="15"/>
  <c r="AQH8" i="15"/>
  <c r="AQI8" i="15"/>
  <c r="AQJ8" i="15"/>
  <c r="AQK8" i="15"/>
  <c r="AQL8" i="15"/>
  <c r="AQM8" i="15"/>
  <c r="AQN8" i="15"/>
  <c r="AQO8" i="15"/>
  <c r="AQP8" i="15"/>
  <c r="AQQ8" i="15"/>
  <c r="AQR8" i="15"/>
  <c r="AQS8" i="15"/>
  <c r="AQT8" i="15"/>
  <c r="ABA8" i="15"/>
  <c r="SO8" i="15"/>
  <c r="QD8" i="15"/>
  <c r="OY8" i="15"/>
  <c r="BL8" i="15"/>
  <c r="BK8" i="15"/>
  <c r="AVQ7" i="15"/>
  <c r="ARZ7" i="15"/>
  <c r="AQT7" i="15"/>
  <c r="ABA7" i="15"/>
  <c r="ZW7" i="15"/>
  <c r="ZV7" i="15"/>
  <c r="SO7" i="15"/>
  <c r="QD7" i="15"/>
  <c r="OY7" i="15"/>
  <c r="NS7" i="15"/>
  <c r="MM7" i="15"/>
  <c r="LG7" i="15"/>
  <c r="KA7" i="15"/>
  <c r="IU7" i="15"/>
  <c r="HO7" i="15"/>
  <c r="GI7" i="15"/>
  <c r="FC7" i="15"/>
  <c r="DW7" i="15"/>
  <c r="CQ7" i="15"/>
  <c r="BK7" i="15"/>
  <c r="AG7" i="15"/>
  <c r="AVQ6" i="15"/>
  <c r="ARZ6" i="15"/>
  <c r="AQT6" i="15"/>
  <c r="ABA6" i="15"/>
  <c r="ZW6" i="15"/>
  <c r="ZV6" i="15"/>
  <c r="SO6" i="15"/>
  <c r="QD6" i="15"/>
  <c r="OY6" i="15"/>
  <c r="NS6" i="15"/>
  <c r="MM6" i="15"/>
  <c r="LG6" i="15"/>
  <c r="KA6" i="15"/>
  <c r="IU6" i="15"/>
  <c r="HO6" i="15"/>
  <c r="GI6" i="15"/>
  <c r="FC6" i="15"/>
  <c r="DW6" i="15"/>
  <c r="CQ6" i="15"/>
  <c r="BK6" i="15"/>
  <c r="AVQ5" i="15"/>
  <c r="ARZ5" i="15"/>
  <c r="AQT5" i="15"/>
  <c r="ABA5" i="15"/>
  <c r="SO5" i="15"/>
  <c r="QD5" i="15"/>
  <c r="OY5" i="15"/>
  <c r="BK5" i="15"/>
  <c r="AOI3" i="15"/>
  <c r="AFX3" i="15"/>
  <c r="AES3" i="15"/>
  <c r="ADM3" i="15"/>
  <c r="ACG3" i="15"/>
  <c r="ABA3" i="15"/>
  <c r="HO3" i="15"/>
  <c r="GI3" i="15"/>
  <c r="FC3" i="15"/>
  <c r="DW3" i="15"/>
  <c r="CQ3" i="15"/>
  <c r="BK3" i="15"/>
  <c r="C3" i="15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G49" i="17"/>
  <c r="AF49" i="17"/>
  <c r="AE49" i="17"/>
  <c r="AE48" i="17" s="1"/>
  <c r="AD49" i="17"/>
  <c r="AC49" i="17"/>
  <c r="AB49" i="17"/>
  <c r="AA49" i="17"/>
  <c r="Z49" i="17"/>
  <c r="Y49" i="17"/>
  <c r="X49" i="17"/>
  <c r="X48" i="17" s="1"/>
  <c r="W49" i="17"/>
  <c r="V49" i="17"/>
  <c r="V47" i="17" s="1"/>
  <c r="U49" i="17"/>
  <c r="T49" i="17"/>
  <c r="S49" i="17"/>
  <c r="S48" i="17" s="1"/>
  <c r="R49" i="17"/>
  <c r="R48" i="17" s="1"/>
  <c r="Q49" i="17"/>
  <c r="P49" i="17"/>
  <c r="O49" i="17"/>
  <c r="O48" i="17" s="1"/>
  <c r="N49" i="17"/>
  <c r="M49" i="17"/>
  <c r="L49" i="17"/>
  <c r="L47" i="17" s="1"/>
  <c r="K49" i="17"/>
  <c r="J49" i="17"/>
  <c r="I49" i="17"/>
  <c r="H49" i="17"/>
  <c r="G49" i="17"/>
  <c r="F49" i="17"/>
  <c r="F47" i="17" s="1"/>
  <c r="E49" i="17"/>
  <c r="D49" i="17"/>
  <c r="C49" i="17"/>
  <c r="C48" i="17" s="1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AH46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AH45" i="17"/>
  <c r="AH17" i="17"/>
  <c r="C2" i="17"/>
  <c r="F53" i="9"/>
  <c r="C53" i="9"/>
  <c r="F52" i="9"/>
  <c r="C52" i="9"/>
  <c r="F51" i="9"/>
  <c r="C51" i="9"/>
  <c r="F50" i="9"/>
  <c r="C50" i="9"/>
  <c r="F49" i="9"/>
  <c r="C49" i="9"/>
  <c r="C48" i="9"/>
  <c r="B48" i="9"/>
  <c r="C47" i="9"/>
  <c r="B47" i="9"/>
  <c r="C46" i="9"/>
  <c r="C45" i="9"/>
  <c r="C44" i="9"/>
  <c r="B44" i="9"/>
  <c r="C43" i="9"/>
  <c r="B43" i="9"/>
  <c r="U39" i="9"/>
  <c r="U37" i="9" s="1"/>
  <c r="T39" i="9"/>
  <c r="T37" i="9" s="1"/>
  <c r="S39" i="9"/>
  <c r="S37" i="9" s="1"/>
  <c r="R39" i="9"/>
  <c r="R37" i="9" s="1"/>
  <c r="P39" i="9"/>
  <c r="P37" i="9" s="1"/>
  <c r="O39" i="9"/>
  <c r="O37" i="9" s="1"/>
  <c r="N39" i="9"/>
  <c r="N37" i="9" s="1"/>
  <c r="M39" i="9"/>
  <c r="M37" i="9" s="1"/>
  <c r="L39" i="9"/>
  <c r="L37" i="9" s="1"/>
  <c r="K39" i="9"/>
  <c r="K37" i="9" s="1"/>
  <c r="J39" i="9"/>
  <c r="J37" i="9" s="1"/>
  <c r="I39" i="9"/>
  <c r="I37" i="9" s="1"/>
  <c r="H39" i="9"/>
  <c r="H37" i="9" s="1"/>
  <c r="F39" i="9"/>
  <c r="F37" i="9" s="1"/>
  <c r="E39" i="9"/>
  <c r="E37" i="9" s="1"/>
  <c r="D39" i="9"/>
  <c r="D37" i="9" s="1"/>
  <c r="C39" i="9"/>
  <c r="C37" i="9" s="1"/>
  <c r="B39" i="9"/>
  <c r="B37" i="9" s="1"/>
  <c r="AG36" i="9"/>
  <c r="AF36" i="9"/>
  <c r="Y36" i="9"/>
  <c r="AH36" i="9" s="1"/>
  <c r="AG35" i="9"/>
  <c r="AF35" i="9"/>
  <c r="Y35" i="9"/>
  <c r="AH35" i="9"/>
  <c r="AG34" i="9"/>
  <c r="AF34" i="9"/>
  <c r="Y34" i="9"/>
  <c r="AH34" i="9"/>
  <c r="AG33" i="9"/>
  <c r="AF33" i="9"/>
  <c r="Y33" i="9"/>
  <c r="AH33" i="9"/>
  <c r="AG32" i="9"/>
  <c r="AF32" i="9"/>
  <c r="Y32" i="9"/>
  <c r="AH32" i="9" s="1"/>
  <c r="AG31" i="9"/>
  <c r="AF31" i="9"/>
  <c r="Y31" i="9"/>
  <c r="AH31" i="9"/>
  <c r="AG30" i="9"/>
  <c r="AF30" i="9"/>
  <c r="Y30" i="9"/>
  <c r="AH30" i="9"/>
  <c r="AG29" i="9"/>
  <c r="AF29" i="9"/>
  <c r="Y29" i="9"/>
  <c r="AH29" i="9"/>
  <c r="AG28" i="9"/>
  <c r="AF28" i="9"/>
  <c r="Y28" i="9"/>
  <c r="AH28" i="9" s="1"/>
  <c r="AG27" i="9"/>
  <c r="AF27" i="9"/>
  <c r="Y27" i="9"/>
  <c r="AH27" i="9"/>
  <c r="AG26" i="9"/>
  <c r="AF26" i="9"/>
  <c r="Y26" i="9"/>
  <c r="AH26" i="9"/>
  <c r="AG25" i="9"/>
  <c r="AF25" i="9"/>
  <c r="Y25" i="9"/>
  <c r="AH25" i="9"/>
  <c r="AG24" i="9"/>
  <c r="AF24" i="9"/>
  <c r="Y24" i="9"/>
  <c r="AH24" i="9" s="1"/>
  <c r="AG23" i="9"/>
  <c r="AF23" i="9"/>
  <c r="Y23" i="9"/>
  <c r="AH23" i="9"/>
  <c r="AG22" i="9"/>
  <c r="AF22" i="9"/>
  <c r="Y22" i="9"/>
  <c r="AH22" i="9"/>
  <c r="AG21" i="9"/>
  <c r="AF21" i="9"/>
  <c r="Y21" i="9"/>
  <c r="AH21" i="9"/>
  <c r="AG20" i="9"/>
  <c r="AF20" i="9"/>
  <c r="Y20" i="9"/>
  <c r="AH20" i="9" s="1"/>
  <c r="AG19" i="9"/>
  <c r="AF19" i="9"/>
  <c r="Y19" i="9"/>
  <c r="AH19" i="9"/>
  <c r="AG18" i="9"/>
  <c r="AF18" i="9"/>
  <c r="Y18" i="9"/>
  <c r="AH18" i="9"/>
  <c r="AG17" i="9"/>
  <c r="AF17" i="9"/>
  <c r="Y17" i="9"/>
  <c r="AH17" i="9"/>
  <c r="AG16" i="9"/>
  <c r="AF16" i="9"/>
  <c r="Y16" i="9"/>
  <c r="AH16" i="9" s="1"/>
  <c r="AG15" i="9"/>
  <c r="AF15" i="9"/>
  <c r="Y15" i="9"/>
  <c r="AH15" i="9"/>
  <c r="AG14" i="9"/>
  <c r="AF14" i="9"/>
  <c r="Y14" i="9"/>
  <c r="AH14" i="9"/>
  <c r="AG13" i="9"/>
  <c r="AF13" i="9"/>
  <c r="Y13" i="9"/>
  <c r="AH13" i="9"/>
  <c r="AG12" i="9"/>
  <c r="AF12" i="9"/>
  <c r="Y12" i="9"/>
  <c r="AH12" i="9" s="1"/>
  <c r="AG11" i="9"/>
  <c r="AF11" i="9"/>
  <c r="Y11" i="9"/>
  <c r="AH11" i="9"/>
  <c r="AG10" i="9"/>
  <c r="AF10" i="9"/>
  <c r="Y10" i="9"/>
  <c r="AH10" i="9"/>
  <c r="AG9" i="9"/>
  <c r="AF9" i="9"/>
  <c r="Y9" i="9"/>
  <c r="AH9" i="9"/>
  <c r="AG8" i="9"/>
  <c r="AF8" i="9"/>
  <c r="Y8" i="9"/>
  <c r="AH8" i="9" s="1"/>
  <c r="AG7" i="9"/>
  <c r="AF7" i="9"/>
  <c r="Y7" i="9"/>
  <c r="AH7" i="9"/>
  <c r="AG6" i="9"/>
  <c r="AF6" i="9"/>
  <c r="Y6" i="9"/>
  <c r="AH6" i="9" s="1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AK226" i="4"/>
  <c r="AL225" i="4"/>
  <c r="D14" i="1" s="1"/>
  <c r="E30" i="20" s="1"/>
  <c r="C223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F220" i="4"/>
  <c r="AL219" i="4"/>
  <c r="D13" i="1" s="1"/>
  <c r="E28" i="20" s="1"/>
  <c r="C217" i="4"/>
  <c r="AJ215" i="4"/>
  <c r="AI215" i="4"/>
  <c r="AH215" i="4"/>
  <c r="AG215" i="4"/>
  <c r="AF215" i="4"/>
  <c r="AE215" i="4"/>
  <c r="AD215" i="4"/>
  <c r="AC215" i="4"/>
  <c r="AB215" i="4"/>
  <c r="AA215" i="4"/>
  <c r="Z215" i="4"/>
  <c r="W12" i="15" s="1"/>
  <c r="Y215" i="4"/>
  <c r="V12" i="15" s="1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H12" i="15" s="1"/>
  <c r="J215" i="4"/>
  <c r="G12" i="15" s="1"/>
  <c r="I215" i="4"/>
  <c r="I162" i="4" s="1"/>
  <c r="J8" i="23" s="1"/>
  <c r="H215" i="4"/>
  <c r="G215" i="4"/>
  <c r="F215" i="4"/>
  <c r="F162" i="4" s="1"/>
  <c r="AK214" i="4"/>
  <c r="AK213" i="4"/>
  <c r="AK212" i="4"/>
  <c r="AK210" i="4"/>
  <c r="AK209" i="4"/>
  <c r="AK208" i="4"/>
  <c r="AK207" i="4"/>
  <c r="AK206" i="4"/>
  <c r="AK205" i="4"/>
  <c r="AK204" i="4"/>
  <c r="AK203" i="4"/>
  <c r="C200" i="4"/>
  <c r="AJ196" i="4"/>
  <c r="E34" i="24" s="1"/>
  <c r="AE196" i="4"/>
  <c r="E29" i="24" s="1"/>
  <c r="AD196" i="4"/>
  <c r="E28" i="24" s="1"/>
  <c r="AC196" i="4"/>
  <c r="E27" i="24" s="1"/>
  <c r="AB196" i="4"/>
  <c r="E26" i="24" s="1"/>
  <c r="AA196" i="4"/>
  <c r="E25" i="24" s="1"/>
  <c r="Z196" i="4"/>
  <c r="E24" i="24" s="1"/>
  <c r="Y196" i="4"/>
  <c r="E23" i="24" s="1"/>
  <c r="X196" i="4"/>
  <c r="E22" i="24" s="1"/>
  <c r="W196" i="4"/>
  <c r="E21" i="24" s="1"/>
  <c r="V196" i="4"/>
  <c r="E20" i="24" s="1"/>
  <c r="U196" i="4"/>
  <c r="E19" i="24" s="1"/>
  <c r="T196" i="4"/>
  <c r="E18" i="24" s="1"/>
  <c r="S196" i="4"/>
  <c r="E17" i="24" s="1"/>
  <c r="R196" i="4"/>
  <c r="E16" i="24" s="1"/>
  <c r="Q196" i="4"/>
  <c r="E15" i="24" s="1"/>
  <c r="P196" i="4"/>
  <c r="E14" i="24" s="1"/>
  <c r="O196" i="4"/>
  <c r="E13" i="24" s="1"/>
  <c r="N196" i="4"/>
  <c r="E12" i="24" s="1"/>
  <c r="M196" i="4"/>
  <c r="E11" i="24" s="1"/>
  <c r="L196" i="4"/>
  <c r="E10" i="24"/>
  <c r="K196" i="4"/>
  <c r="E9" i="24" s="1"/>
  <c r="J196" i="4"/>
  <c r="E8" i="24"/>
  <c r="I196" i="4"/>
  <c r="E7" i="24" s="1"/>
  <c r="H196" i="4"/>
  <c r="G196" i="4"/>
  <c r="E5" i="24"/>
  <c r="E4" i="24"/>
  <c r="AJ195" i="4"/>
  <c r="AJ197" i="4" s="1"/>
  <c r="AJ88" i="1" s="1"/>
  <c r="AE195" i="4"/>
  <c r="AD195" i="4"/>
  <c r="AC195" i="4"/>
  <c r="AB195" i="4"/>
  <c r="AB197" i="4" s="1"/>
  <c r="AB88" i="1" s="1"/>
  <c r="AA195" i="4"/>
  <c r="D25" i="24" s="1"/>
  <c r="Z195" i="4"/>
  <c r="Z197" i="4" s="1"/>
  <c r="Z88" i="1" s="1"/>
  <c r="Y195" i="4"/>
  <c r="D23" i="24" s="1"/>
  <c r="X195" i="4"/>
  <c r="X197" i="4" s="1"/>
  <c r="X88" i="1" s="1"/>
  <c r="W195" i="4"/>
  <c r="D21" i="24" s="1"/>
  <c r="V195" i="4"/>
  <c r="D20" i="24" s="1"/>
  <c r="U195" i="4"/>
  <c r="T195" i="4"/>
  <c r="D18" i="24" s="1"/>
  <c r="S195" i="4"/>
  <c r="S197" i="4" s="1"/>
  <c r="S88" i="1" s="1"/>
  <c r="R195" i="4"/>
  <c r="R197" i="4" s="1"/>
  <c r="R88" i="1" s="1"/>
  <c r="Q195" i="4"/>
  <c r="Q197" i="4" s="1"/>
  <c r="Q88" i="1" s="1"/>
  <c r="P195" i="4"/>
  <c r="O195" i="4"/>
  <c r="D13" i="24" s="1"/>
  <c r="N195" i="4"/>
  <c r="M195" i="4"/>
  <c r="D11" i="24" s="1"/>
  <c r="L195" i="4"/>
  <c r="D10" i="24" s="1"/>
  <c r="K195" i="4"/>
  <c r="K197" i="4" s="1"/>
  <c r="G88" i="1" s="1"/>
  <c r="J195" i="4"/>
  <c r="J197" i="4" s="1"/>
  <c r="F88" i="1" s="1"/>
  <c r="I195" i="4"/>
  <c r="H195" i="4"/>
  <c r="G195" i="4"/>
  <c r="G197" i="4" s="1"/>
  <c r="C88" i="1" s="1"/>
  <c r="AL38" i="4" s="1"/>
  <c r="D5" i="24"/>
  <c r="F5" i="24" s="1"/>
  <c r="H5" i="24" s="1"/>
  <c r="C193" i="4"/>
  <c r="AJ191" i="4"/>
  <c r="AG21" i="17"/>
  <c r="AI191" i="4"/>
  <c r="AF21" i="17" s="1"/>
  <c r="AH191" i="4"/>
  <c r="AE21" i="17" s="1"/>
  <c r="AG191" i="4"/>
  <c r="AD21" i="17" s="1"/>
  <c r="AF191" i="4"/>
  <c r="AC21" i="17" s="1"/>
  <c r="AE191" i="4"/>
  <c r="AB21" i="17" s="1"/>
  <c r="AD191" i="4"/>
  <c r="AA21" i="17" s="1"/>
  <c r="AC191" i="4"/>
  <c r="Z21" i="17"/>
  <c r="AB191" i="4"/>
  <c r="Y21" i="17"/>
  <c r="AA191" i="4"/>
  <c r="X21" i="17" s="1"/>
  <c r="Z191" i="4"/>
  <c r="W21" i="17" s="1"/>
  <c r="Y191" i="4"/>
  <c r="V21" i="17"/>
  <c r="X191" i="4"/>
  <c r="U21" i="17" s="1"/>
  <c r="W191" i="4"/>
  <c r="T21" i="17" s="1"/>
  <c r="V191" i="4"/>
  <c r="S21" i="17" s="1"/>
  <c r="U191" i="4"/>
  <c r="R21" i="17" s="1"/>
  <c r="T191" i="4"/>
  <c r="Q21" i="17" s="1"/>
  <c r="S191" i="4"/>
  <c r="P21" i="17" s="1"/>
  <c r="R191" i="4"/>
  <c r="O21" i="17" s="1"/>
  <c r="Q191" i="4"/>
  <c r="N21" i="17" s="1"/>
  <c r="P191" i="4"/>
  <c r="M21" i="17" s="1"/>
  <c r="O191" i="4"/>
  <c r="L21" i="17"/>
  <c r="N191" i="4"/>
  <c r="K21" i="17" s="1"/>
  <c r="M191" i="4"/>
  <c r="J21" i="17"/>
  <c r="L191" i="4"/>
  <c r="I21" i="17"/>
  <c r="K191" i="4"/>
  <c r="J191" i="4"/>
  <c r="G21" i="17" s="1"/>
  <c r="I191" i="4"/>
  <c r="F21" i="17"/>
  <c r="H191" i="4"/>
  <c r="E21" i="17" s="1"/>
  <c r="G191" i="4"/>
  <c r="D21" i="17" s="1"/>
  <c r="AK190" i="4"/>
  <c r="AK188" i="4"/>
  <c r="C186" i="4"/>
  <c r="AJ184" i="4"/>
  <c r="AG20" i="17" s="1"/>
  <c r="AI184" i="4"/>
  <c r="AF20" i="17" s="1"/>
  <c r="AH184" i="4"/>
  <c r="AE20" i="17" s="1"/>
  <c r="AG184" i="4"/>
  <c r="AD20" i="17"/>
  <c r="AF184" i="4"/>
  <c r="AC20" i="17" s="1"/>
  <c r="AE184" i="4"/>
  <c r="AD184" i="4"/>
  <c r="AA20" i="17" s="1"/>
  <c r="AC184" i="4"/>
  <c r="Z20" i="17" s="1"/>
  <c r="AB184" i="4"/>
  <c r="Y20" i="17" s="1"/>
  <c r="AA184" i="4"/>
  <c r="X20" i="17" s="1"/>
  <c r="Z184" i="4"/>
  <c r="W20" i="17" s="1"/>
  <c r="Y184" i="4"/>
  <c r="V20" i="17" s="1"/>
  <c r="V18" i="17" s="1"/>
  <c r="X184" i="4"/>
  <c r="U20" i="17" s="1"/>
  <c r="W184" i="4"/>
  <c r="T20" i="17"/>
  <c r="V184" i="4"/>
  <c r="S20" i="17" s="1"/>
  <c r="U184" i="4"/>
  <c r="R20" i="17" s="1"/>
  <c r="T184" i="4"/>
  <c r="Q20" i="17" s="1"/>
  <c r="S184" i="4"/>
  <c r="P20" i="17" s="1"/>
  <c r="R184" i="4"/>
  <c r="O20" i="17" s="1"/>
  <c r="Q184" i="4"/>
  <c r="N20" i="17" s="1"/>
  <c r="P184" i="4"/>
  <c r="M20" i="17" s="1"/>
  <c r="O184" i="4"/>
  <c r="L20" i="17" s="1"/>
  <c r="N184" i="4"/>
  <c r="K20" i="17" s="1"/>
  <c r="M184" i="4"/>
  <c r="J20" i="17" s="1"/>
  <c r="L184" i="4"/>
  <c r="I20" i="17" s="1"/>
  <c r="K184" i="4"/>
  <c r="H20" i="17" s="1"/>
  <c r="J184" i="4"/>
  <c r="G20" i="17" s="1"/>
  <c r="I184" i="4"/>
  <c r="F20" i="17" s="1"/>
  <c r="H184" i="4"/>
  <c r="E20" i="17"/>
  <c r="G184" i="4"/>
  <c r="AK183" i="4"/>
  <c r="AK182" i="4"/>
  <c r="AK181" i="4"/>
  <c r="C179" i="4"/>
  <c r="AJ177" i="4"/>
  <c r="AJ83" i="1" s="1"/>
  <c r="AI177" i="4"/>
  <c r="AI83" i="1"/>
  <c r="AH177" i="4"/>
  <c r="AH83" i="1"/>
  <c r="AG177" i="4"/>
  <c r="AG83" i="1" s="1"/>
  <c r="AF177" i="4"/>
  <c r="AF83" i="1" s="1"/>
  <c r="AE177" i="4"/>
  <c r="AE83" i="1" s="1"/>
  <c r="AD177" i="4"/>
  <c r="AD83" i="1" s="1"/>
  <c r="AC177" i="4"/>
  <c r="AC83" i="1" s="1"/>
  <c r="AB177" i="4"/>
  <c r="AB83" i="1"/>
  <c r="AA177" i="4"/>
  <c r="AA83" i="1"/>
  <c r="Z177" i="4"/>
  <c r="Z83" i="1"/>
  <c r="Y177" i="4"/>
  <c r="Y83" i="1" s="1"/>
  <c r="X177" i="4"/>
  <c r="X83" i="1"/>
  <c r="W177" i="4"/>
  <c r="W83" i="1"/>
  <c r="V177" i="4"/>
  <c r="V83" i="1"/>
  <c r="U177" i="4"/>
  <c r="U83" i="1"/>
  <c r="T177" i="4"/>
  <c r="T83" i="1"/>
  <c r="S177" i="4"/>
  <c r="S83" i="1"/>
  <c r="R177" i="4"/>
  <c r="R83" i="1"/>
  <c r="Q177" i="4"/>
  <c r="Q83" i="1" s="1"/>
  <c r="P177" i="4"/>
  <c r="L83" i="1"/>
  <c r="O177" i="4"/>
  <c r="K83" i="1"/>
  <c r="N177" i="4"/>
  <c r="J83" i="1"/>
  <c r="M177" i="4"/>
  <c r="I83" i="1"/>
  <c r="L177" i="4"/>
  <c r="H83" i="1"/>
  <c r="K177" i="4"/>
  <c r="G83" i="1"/>
  <c r="J177" i="4"/>
  <c r="F83" i="1"/>
  <c r="I177" i="4"/>
  <c r="E83" i="1" s="1"/>
  <c r="H177" i="4"/>
  <c r="D83" i="1" s="1"/>
  <c r="G177" i="4"/>
  <c r="C83" i="1"/>
  <c r="B83" i="1"/>
  <c r="AK176" i="4"/>
  <c r="AK175" i="4"/>
  <c r="AK174" i="4"/>
  <c r="C172" i="4"/>
  <c r="C154" i="4"/>
  <c r="AK148" i="4"/>
  <c r="AJ142" i="4"/>
  <c r="AJ148" i="4" s="1"/>
  <c r="AI142" i="4"/>
  <c r="AJ72" i="1" s="1"/>
  <c r="AH142" i="4"/>
  <c r="AI72" i="1" s="1"/>
  <c r="AG142" i="4"/>
  <c r="AH72" i="1" s="1"/>
  <c r="AF142" i="4"/>
  <c r="AG72" i="1" s="1"/>
  <c r="AE142" i="4"/>
  <c r="AF72" i="1" s="1"/>
  <c r="AD142" i="4"/>
  <c r="AE72" i="1" s="1"/>
  <c r="AC142" i="4"/>
  <c r="AD72" i="1" s="1"/>
  <c r="AB142" i="4"/>
  <c r="AC72" i="1" s="1"/>
  <c r="AA142" i="4"/>
  <c r="AB72" i="1" s="1"/>
  <c r="Z142" i="4"/>
  <c r="AA72" i="1" s="1"/>
  <c r="Y142" i="4"/>
  <c r="Y148" i="4" s="1"/>
  <c r="X142" i="4"/>
  <c r="Y72" i="1" s="1"/>
  <c r="W142" i="4"/>
  <c r="X72" i="1" s="1"/>
  <c r="V142" i="4"/>
  <c r="W72" i="1" s="1"/>
  <c r="U142" i="4"/>
  <c r="T142" i="4"/>
  <c r="U72" i="1" s="1"/>
  <c r="S142" i="4"/>
  <c r="C16" i="28" s="1"/>
  <c r="G17" i="24" s="1"/>
  <c r="R142" i="4"/>
  <c r="S72" i="1" s="1"/>
  <c r="Q142" i="4"/>
  <c r="R72" i="1" s="1"/>
  <c r="P142" i="4"/>
  <c r="Q72" i="1" s="1"/>
  <c r="O142" i="4"/>
  <c r="N142" i="4"/>
  <c r="K72" i="1" s="1"/>
  <c r="M142" i="4"/>
  <c r="J72" i="1" s="1"/>
  <c r="L142" i="4"/>
  <c r="I72" i="1" s="1"/>
  <c r="K142" i="4"/>
  <c r="C8" i="28" s="1"/>
  <c r="G9" i="24" s="1"/>
  <c r="H72" i="1"/>
  <c r="J142" i="4"/>
  <c r="C7" i="28" s="1"/>
  <c r="G8" i="24" s="1"/>
  <c r="I142" i="4"/>
  <c r="C6" i="28"/>
  <c r="G7" i="24" s="1"/>
  <c r="H142" i="4"/>
  <c r="C5" i="28" s="1"/>
  <c r="G6" i="24" s="1"/>
  <c r="G142" i="4"/>
  <c r="G148" i="4" s="1"/>
  <c r="AK141" i="4"/>
  <c r="AK140" i="4"/>
  <c r="D138" i="4"/>
  <c r="C137" i="4"/>
  <c r="AK134" i="4"/>
  <c r="AK133" i="4"/>
  <c r="AK132" i="4"/>
  <c r="C127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AJ113" i="4"/>
  <c r="AI113" i="4"/>
  <c r="AH113" i="4"/>
  <c r="BJ38" i="32" s="1"/>
  <c r="AG113" i="4"/>
  <c r="AF113" i="4"/>
  <c r="AE113" i="4"/>
  <c r="AD113" i="4"/>
  <c r="AY27" i="32" s="1"/>
  <c r="AC113" i="4"/>
  <c r="BE38" i="32" s="1"/>
  <c r="AB113" i="4"/>
  <c r="BD38" i="32" s="1"/>
  <c r="AA113" i="4"/>
  <c r="BC38" i="32" s="1"/>
  <c r="Z113" i="4"/>
  <c r="Y113" i="4"/>
  <c r="X113" i="4"/>
  <c r="W113" i="4"/>
  <c r="V113" i="4"/>
  <c r="U113" i="4"/>
  <c r="T113" i="4"/>
  <c r="AY17" i="32" s="1"/>
  <c r="BA17" i="32" s="1"/>
  <c r="S113" i="4"/>
  <c r="AY16" i="32" s="1"/>
  <c r="R113" i="4"/>
  <c r="AY15" i="32" s="1"/>
  <c r="Q113" i="4"/>
  <c r="P113" i="4"/>
  <c r="AY13" i="32" s="1"/>
  <c r="O113" i="4"/>
  <c r="AQ38" i="32" s="1"/>
  <c r="N113" i="4"/>
  <c r="AP38" i="32" s="1"/>
  <c r="M113" i="4"/>
  <c r="AO38" i="32" s="1"/>
  <c r="L113" i="4"/>
  <c r="AN38" i="32" s="1"/>
  <c r="K113" i="4"/>
  <c r="AM38" i="32" s="1"/>
  <c r="J113" i="4"/>
  <c r="AL38" i="32" s="1"/>
  <c r="I113" i="4"/>
  <c r="AK38" i="32" s="1"/>
  <c r="H113" i="4"/>
  <c r="AJ38" i="32" s="1"/>
  <c r="G113" i="4"/>
  <c r="AY4" i="32" s="1"/>
  <c r="BB4" i="32" s="1"/>
  <c r="F113" i="4"/>
  <c r="AH38" i="32" s="1"/>
  <c r="AJ112" i="4"/>
  <c r="W33" i="32" s="1"/>
  <c r="AI112" i="4"/>
  <c r="W32" i="32" s="1"/>
  <c r="AH112" i="4"/>
  <c r="W31" i="32" s="1"/>
  <c r="AG112" i="4"/>
  <c r="W30" i="32" s="1"/>
  <c r="AF112" i="4"/>
  <c r="W29" i="32" s="1"/>
  <c r="AE112" i="4"/>
  <c r="W28" i="32" s="1"/>
  <c r="Z28" i="32" s="1"/>
  <c r="AD112" i="4"/>
  <c r="W27" i="32" s="1"/>
  <c r="AC27" i="32" s="1"/>
  <c r="AC112" i="4"/>
  <c r="W26" i="32" s="1"/>
  <c r="Y26" i="32" s="1"/>
  <c r="AB112" i="4"/>
  <c r="W25" i="32" s="1"/>
  <c r="AA112" i="4"/>
  <c r="W24" i="32" s="1"/>
  <c r="Z112" i="4"/>
  <c r="W23" i="32" s="1"/>
  <c r="Y112" i="4"/>
  <c r="W22" i="32" s="1"/>
  <c r="Z22" i="32" s="1"/>
  <c r="X112" i="4"/>
  <c r="W21" i="32" s="1"/>
  <c r="X21" i="32" s="1"/>
  <c r="W112" i="4"/>
  <c r="W20" i="32" s="1"/>
  <c r="AC20" i="32" s="1"/>
  <c r="V112" i="4"/>
  <c r="W19" i="32" s="1"/>
  <c r="AC19" i="32" s="1"/>
  <c r="U112" i="4"/>
  <c r="W18" i="32" s="1"/>
  <c r="T112" i="4"/>
  <c r="W17" i="32" s="1"/>
  <c r="S112" i="4"/>
  <c r="W16" i="32" s="1"/>
  <c r="R112" i="4"/>
  <c r="W15" i="32" s="1"/>
  <c r="Q112" i="4"/>
  <c r="W14" i="32" s="1"/>
  <c r="X14" i="32" s="1"/>
  <c r="P112" i="4"/>
  <c r="W13" i="32" s="1"/>
  <c r="AC13" i="32" s="1"/>
  <c r="O112" i="4"/>
  <c r="W12" i="32" s="1"/>
  <c r="X12" i="32" s="1"/>
  <c r="N112" i="4"/>
  <c r="W11" i="32" s="1"/>
  <c r="Y11" i="32" s="1"/>
  <c r="M112" i="4"/>
  <c r="W10" i="32" s="1"/>
  <c r="Z10" i="32" s="1"/>
  <c r="L112" i="4"/>
  <c r="W9" i="32" s="1"/>
  <c r="K112" i="4"/>
  <c r="W8" i="32" s="1"/>
  <c r="J112" i="4"/>
  <c r="W7" i="32" s="1"/>
  <c r="I112" i="4"/>
  <c r="W6" i="32" s="1"/>
  <c r="AC6" i="32" s="1"/>
  <c r="H112" i="4"/>
  <c r="W5" i="32" s="1"/>
  <c r="AB5" i="32" s="1"/>
  <c r="G112" i="4"/>
  <c r="W4" i="32" s="1"/>
  <c r="AB4" i="32" s="1"/>
  <c r="F112" i="4"/>
  <c r="W3" i="32" s="1"/>
  <c r="AC3" i="32" s="1"/>
  <c r="AJ111" i="4"/>
  <c r="CA33" i="32" s="1"/>
  <c r="AI111" i="4"/>
  <c r="AH111" i="4"/>
  <c r="CA31" i="32" s="1"/>
  <c r="CB31" i="32" s="1"/>
  <c r="CC31" i="32" s="1"/>
  <c r="CD31" i="32" s="1"/>
  <c r="CE31" i="32" s="1"/>
  <c r="CF31" i="32" s="1"/>
  <c r="CG31" i="32" s="1"/>
  <c r="AG111" i="4"/>
  <c r="AF111" i="4"/>
  <c r="AE111" i="4"/>
  <c r="CA28" i="32" s="1"/>
  <c r="AD111" i="4"/>
  <c r="AC111" i="4"/>
  <c r="CA26" i="32" s="1"/>
  <c r="CB26" i="32" s="1"/>
  <c r="CC26" i="32" s="1"/>
  <c r="CD26" i="32" s="1"/>
  <c r="CE26" i="32" s="1"/>
  <c r="CF26" i="32" s="1"/>
  <c r="CG26" i="32" s="1"/>
  <c r="AB111" i="4"/>
  <c r="CA25" i="32" s="1"/>
  <c r="CB25" i="32" s="1"/>
  <c r="CC25" i="32" s="1"/>
  <c r="CD25" i="32" s="1"/>
  <c r="CE25" i="32" s="1"/>
  <c r="CF25" i="32" s="1"/>
  <c r="CG25" i="32" s="1"/>
  <c r="AA111" i="4"/>
  <c r="Z111" i="4"/>
  <c r="CA23" i="32" s="1"/>
  <c r="CB23" i="32" s="1"/>
  <c r="CC23" i="32" s="1"/>
  <c r="CD23" i="32" s="1"/>
  <c r="CE23" i="32" s="1"/>
  <c r="CF23" i="32" s="1"/>
  <c r="CG23" i="32" s="1"/>
  <c r="Y111" i="4"/>
  <c r="CA22" i="32" s="1"/>
  <c r="CB22" i="32" s="1"/>
  <c r="CC22" i="32" s="1"/>
  <c r="CD22" i="32" s="1"/>
  <c r="CE22" i="32" s="1"/>
  <c r="CF22" i="32" s="1"/>
  <c r="CG22" i="32" s="1"/>
  <c r="X111" i="4"/>
  <c r="W111" i="4"/>
  <c r="CA20" i="32" s="1"/>
  <c r="CB20" i="32" s="1"/>
  <c r="CC20" i="32" s="1"/>
  <c r="CD20" i="32" s="1"/>
  <c r="CE20" i="32" s="1"/>
  <c r="CF20" i="32" s="1"/>
  <c r="CG20" i="32" s="1"/>
  <c r="V111" i="4"/>
  <c r="U111" i="4"/>
  <c r="T111" i="4"/>
  <c r="S111" i="4"/>
  <c r="R111" i="4"/>
  <c r="CA15" i="32" s="1"/>
  <c r="CB15" i="32" s="1"/>
  <c r="CC15" i="32" s="1"/>
  <c r="CD15" i="32" s="1"/>
  <c r="CE15" i="32" s="1"/>
  <c r="CF15" i="32" s="1"/>
  <c r="CG15" i="32" s="1"/>
  <c r="Q111" i="4"/>
  <c r="CA14" i="32" s="1"/>
  <c r="CB14" i="32" s="1"/>
  <c r="CC14" i="32" s="1"/>
  <c r="CD14" i="32" s="1"/>
  <c r="CE14" i="32" s="1"/>
  <c r="CF14" i="32" s="1"/>
  <c r="CG14" i="32" s="1"/>
  <c r="P111" i="4"/>
  <c r="CA13" i="32" s="1"/>
  <c r="CB13" i="32" s="1"/>
  <c r="CC13" i="32" s="1"/>
  <c r="CD13" i="32" s="1"/>
  <c r="CE13" i="32" s="1"/>
  <c r="CF13" i="32" s="1"/>
  <c r="CG13" i="32" s="1"/>
  <c r="O111" i="4"/>
  <c r="CA12" i="32" s="1"/>
  <c r="CB12" i="32" s="1"/>
  <c r="CC12" i="32" s="1"/>
  <c r="CD12" i="32" s="1"/>
  <c r="CE12" i="32" s="1"/>
  <c r="CF12" i="32" s="1"/>
  <c r="CG12" i="32" s="1"/>
  <c r="N111" i="4"/>
  <c r="CA11" i="32" s="1"/>
  <c r="CB11" i="32" s="1"/>
  <c r="CC11" i="32" s="1"/>
  <c r="CD11" i="32" s="1"/>
  <c r="CE11" i="32" s="1"/>
  <c r="CF11" i="32" s="1"/>
  <c r="CG11" i="32" s="1"/>
  <c r="M111" i="4"/>
  <c r="CA10" i="32" s="1"/>
  <c r="CB10" i="32" s="1"/>
  <c r="CC10" i="32" s="1"/>
  <c r="CD10" i="32" s="1"/>
  <c r="CE10" i="32" s="1"/>
  <c r="CF10" i="32" s="1"/>
  <c r="CG10" i="32" s="1"/>
  <c r="L111" i="4"/>
  <c r="CA9" i="32" s="1"/>
  <c r="CB9" i="32" s="1"/>
  <c r="CC9" i="32" s="1"/>
  <c r="CD9" i="32" s="1"/>
  <c r="CE9" i="32" s="1"/>
  <c r="CF9" i="32" s="1"/>
  <c r="CG9" i="32" s="1"/>
  <c r="K111" i="4"/>
  <c r="CA8" i="32" s="1"/>
  <c r="CB8" i="32" s="1"/>
  <c r="CC8" i="32" s="1"/>
  <c r="CD8" i="32" s="1"/>
  <c r="CE8" i="32" s="1"/>
  <c r="CF8" i="32" s="1"/>
  <c r="CG8" i="32" s="1"/>
  <c r="J111" i="4"/>
  <c r="CA7" i="32" s="1"/>
  <c r="CB7" i="32" s="1"/>
  <c r="CC7" i="32" s="1"/>
  <c r="CD7" i="32" s="1"/>
  <c r="CE7" i="32" s="1"/>
  <c r="CF7" i="32" s="1"/>
  <c r="CG7" i="32" s="1"/>
  <c r="I111" i="4"/>
  <c r="CA6" i="32" s="1"/>
  <c r="CB6" i="32" s="1"/>
  <c r="CC6" i="32" s="1"/>
  <c r="CD6" i="32" s="1"/>
  <c r="CE6" i="32" s="1"/>
  <c r="CF6" i="32" s="1"/>
  <c r="CG6" i="32" s="1"/>
  <c r="H111" i="4"/>
  <c r="CA5" i="32" s="1"/>
  <c r="CB5" i="32" s="1"/>
  <c r="CC5" i="32" s="1"/>
  <c r="CD5" i="32" s="1"/>
  <c r="CE5" i="32" s="1"/>
  <c r="CF5" i="32" s="1"/>
  <c r="CG5" i="32" s="1"/>
  <c r="G111" i="4"/>
  <c r="CA4" i="32" s="1"/>
  <c r="CB4" i="32" s="1"/>
  <c r="CC4" i="32" s="1"/>
  <c r="CD4" i="32" s="1"/>
  <c r="CE4" i="32" s="1"/>
  <c r="CF4" i="32" s="1"/>
  <c r="CG4" i="32" s="1"/>
  <c r="F111" i="4"/>
  <c r="CA3" i="32" s="1"/>
  <c r="CB3" i="32" s="1"/>
  <c r="AJ110" i="4"/>
  <c r="AI110" i="4"/>
  <c r="AH110" i="4"/>
  <c r="AG110" i="4"/>
  <c r="AD7" i="15" s="1"/>
  <c r="AF110" i="4"/>
  <c r="AE110" i="4"/>
  <c r="AD110" i="4"/>
  <c r="AC110" i="4"/>
  <c r="Z7" i="15" s="1"/>
  <c r="AB110" i="4"/>
  <c r="Y7" i="15" s="1"/>
  <c r="AA110" i="4"/>
  <c r="X7" i="15" s="1"/>
  <c r="Z110" i="4"/>
  <c r="Y110" i="4"/>
  <c r="V7" i="15" s="1"/>
  <c r="X110" i="4"/>
  <c r="U7" i="15" s="1"/>
  <c r="W110" i="4"/>
  <c r="V110" i="4"/>
  <c r="U110" i="4"/>
  <c r="T110" i="4"/>
  <c r="S110" i="4"/>
  <c r="R110" i="4"/>
  <c r="Q110" i="4"/>
  <c r="N7" i="15" s="1"/>
  <c r="P110" i="4"/>
  <c r="M7" i="15" s="1"/>
  <c r="O110" i="4"/>
  <c r="N110" i="4"/>
  <c r="M110" i="4"/>
  <c r="J7" i="15" s="1"/>
  <c r="L110" i="4"/>
  <c r="I7" i="15" s="1"/>
  <c r="K110" i="4"/>
  <c r="H7" i="15" s="1"/>
  <c r="J110" i="4"/>
  <c r="G7" i="15" s="1"/>
  <c r="I110" i="4"/>
  <c r="F7" i="15" s="1"/>
  <c r="H110" i="4"/>
  <c r="E7" i="15" s="1"/>
  <c r="G110" i="4"/>
  <c r="F110" i="4"/>
  <c r="C7" i="15" s="1"/>
  <c r="AM109" i="4"/>
  <c r="AL96" i="4"/>
  <c r="AK96" i="4"/>
  <c r="AL95" i="4"/>
  <c r="AK95" i="4"/>
  <c r="AL94" i="4"/>
  <c r="AK94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AL92" i="4"/>
  <c r="AK92" i="4"/>
  <c r="AL91" i="4"/>
  <c r="AK91" i="4"/>
  <c r="AL90" i="4"/>
  <c r="AK90" i="4"/>
  <c r="AJ89" i="4"/>
  <c r="AI89" i="4"/>
  <c r="AI107" i="4"/>
  <c r="AH89" i="4"/>
  <c r="AH107" i="4"/>
  <c r="AG89" i="4"/>
  <c r="AG107" i="4" s="1"/>
  <c r="AF89" i="4"/>
  <c r="AF107" i="4" s="1"/>
  <c r="AE89" i="4"/>
  <c r="AE107" i="4" s="1"/>
  <c r="AD89" i="4"/>
  <c r="AD107" i="4" s="1"/>
  <c r="AC89" i="4"/>
  <c r="AC107" i="4" s="1"/>
  <c r="AB89" i="4"/>
  <c r="AB107" i="4" s="1"/>
  <c r="AA89" i="4"/>
  <c r="AA107" i="4"/>
  <c r="Z89" i="4"/>
  <c r="Z107" i="4" s="1"/>
  <c r="Y89" i="4"/>
  <c r="Y107" i="4"/>
  <c r="X89" i="4"/>
  <c r="X107" i="4" s="1"/>
  <c r="W89" i="4"/>
  <c r="W107" i="4"/>
  <c r="V89" i="4"/>
  <c r="V107" i="4" s="1"/>
  <c r="U89" i="4"/>
  <c r="U107" i="4"/>
  <c r="T89" i="4"/>
  <c r="T107" i="4" s="1"/>
  <c r="S89" i="4"/>
  <c r="S107" i="4"/>
  <c r="R89" i="4"/>
  <c r="R107" i="4" s="1"/>
  <c r="Q89" i="4"/>
  <c r="Q107" i="4" s="1"/>
  <c r="P89" i="4"/>
  <c r="P107" i="4" s="1"/>
  <c r="O89" i="4"/>
  <c r="O107" i="4" s="1"/>
  <c r="N89" i="4"/>
  <c r="N107" i="4" s="1"/>
  <c r="M89" i="4"/>
  <c r="M107" i="4"/>
  <c r="L89" i="4"/>
  <c r="L107" i="4" s="1"/>
  <c r="K89" i="4"/>
  <c r="K107" i="4"/>
  <c r="J89" i="4"/>
  <c r="J107" i="4" s="1"/>
  <c r="I89" i="4"/>
  <c r="I107" i="4"/>
  <c r="H89" i="4"/>
  <c r="H107" i="4" s="1"/>
  <c r="G89" i="4"/>
  <c r="G107" i="4" s="1"/>
  <c r="F89" i="4"/>
  <c r="F107" i="4" s="1"/>
  <c r="AL88" i="4"/>
  <c r="AK88" i="4"/>
  <c r="AL87" i="4"/>
  <c r="AK87" i="4"/>
  <c r="AL86" i="4"/>
  <c r="AK86" i="4"/>
  <c r="AJ85" i="4"/>
  <c r="AJ103" i="4" s="1"/>
  <c r="AI85" i="4"/>
  <c r="AI103" i="4" s="1"/>
  <c r="AH85" i="4"/>
  <c r="AH103" i="4" s="1"/>
  <c r="AG85" i="4"/>
  <c r="AG103" i="4"/>
  <c r="AF85" i="4"/>
  <c r="AF103" i="4"/>
  <c r="AE85" i="4"/>
  <c r="AE103" i="4"/>
  <c r="AD85" i="4"/>
  <c r="AD103" i="4" s="1"/>
  <c r="AC85" i="4"/>
  <c r="AC103" i="4" s="1"/>
  <c r="AB85" i="4"/>
  <c r="AB103" i="4" s="1"/>
  <c r="AA85" i="4"/>
  <c r="AA103" i="4" s="1"/>
  <c r="Z85" i="4"/>
  <c r="Z103" i="4"/>
  <c r="Y85" i="4"/>
  <c r="Y103" i="4"/>
  <c r="X85" i="4"/>
  <c r="X103" i="4" s="1"/>
  <c r="W85" i="4"/>
  <c r="W103" i="4" s="1"/>
  <c r="V85" i="4"/>
  <c r="V103" i="4"/>
  <c r="U85" i="4"/>
  <c r="U103" i="4" s="1"/>
  <c r="T85" i="4"/>
  <c r="T103" i="4" s="1"/>
  <c r="S85" i="4"/>
  <c r="S103" i="4"/>
  <c r="R85" i="4"/>
  <c r="R103" i="4" s="1"/>
  <c r="Q85" i="4"/>
  <c r="Q103" i="4"/>
  <c r="P85" i="4"/>
  <c r="P103" i="4" s="1"/>
  <c r="O85" i="4"/>
  <c r="O103" i="4"/>
  <c r="N85" i="4"/>
  <c r="N103" i="4"/>
  <c r="M85" i="4"/>
  <c r="M103" i="4" s="1"/>
  <c r="L85" i="4"/>
  <c r="L103" i="4" s="1"/>
  <c r="K85" i="4"/>
  <c r="K103" i="4"/>
  <c r="J85" i="4"/>
  <c r="J103" i="4" s="1"/>
  <c r="I85" i="4"/>
  <c r="I103" i="4"/>
  <c r="H85" i="4"/>
  <c r="H103" i="4" s="1"/>
  <c r="G85" i="4"/>
  <c r="G103" i="4" s="1"/>
  <c r="F85" i="4"/>
  <c r="F103" i="4" s="1"/>
  <c r="AL84" i="4"/>
  <c r="AK84" i="4"/>
  <c r="AL83" i="4"/>
  <c r="AK83" i="4"/>
  <c r="AL82" i="4"/>
  <c r="AK82" i="4"/>
  <c r="AJ81" i="4"/>
  <c r="AJ99" i="4"/>
  <c r="AI81" i="4"/>
  <c r="AI99" i="4"/>
  <c r="AH81" i="4"/>
  <c r="AH99" i="4"/>
  <c r="AG81" i="4"/>
  <c r="AG99" i="4"/>
  <c r="AF81" i="4"/>
  <c r="AF99" i="4"/>
  <c r="AE81" i="4"/>
  <c r="AE99" i="4"/>
  <c r="AD81" i="4"/>
  <c r="AD99" i="4"/>
  <c r="AC81" i="4"/>
  <c r="AC99" i="4"/>
  <c r="AB81" i="4"/>
  <c r="AB99" i="4"/>
  <c r="AA81" i="4"/>
  <c r="AA99" i="4"/>
  <c r="Z81" i="4"/>
  <c r="Z99" i="4"/>
  <c r="Y81" i="4"/>
  <c r="Y99" i="4"/>
  <c r="X81" i="4"/>
  <c r="X99" i="4"/>
  <c r="W81" i="4"/>
  <c r="W99" i="4"/>
  <c r="V81" i="4"/>
  <c r="V99" i="4"/>
  <c r="U81" i="4"/>
  <c r="U99" i="4"/>
  <c r="T81" i="4"/>
  <c r="T99" i="4"/>
  <c r="S81" i="4"/>
  <c r="S99" i="4"/>
  <c r="R81" i="4"/>
  <c r="R99" i="4"/>
  <c r="Q81" i="4"/>
  <c r="Q99" i="4"/>
  <c r="P81" i="4"/>
  <c r="P99" i="4"/>
  <c r="O81" i="4"/>
  <c r="O99" i="4"/>
  <c r="N81" i="4"/>
  <c r="N99" i="4"/>
  <c r="M81" i="4"/>
  <c r="M99" i="4"/>
  <c r="L81" i="4"/>
  <c r="L99" i="4"/>
  <c r="K81" i="4"/>
  <c r="K99" i="4"/>
  <c r="J81" i="4"/>
  <c r="I81" i="4"/>
  <c r="I99" i="4"/>
  <c r="H81" i="4"/>
  <c r="H99" i="4"/>
  <c r="G81" i="4"/>
  <c r="G99" i="4"/>
  <c r="F81" i="4"/>
  <c r="F99" i="4"/>
  <c r="AL80" i="4"/>
  <c r="AK80" i="4"/>
  <c r="AL79" i="4"/>
  <c r="AK79" i="4"/>
  <c r="AL78" i="4"/>
  <c r="AK78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AL76" i="4"/>
  <c r="AK76" i="4"/>
  <c r="AL75" i="4"/>
  <c r="AK75" i="4"/>
  <c r="AL74" i="4"/>
  <c r="AK74" i="4"/>
  <c r="AJ73" i="4"/>
  <c r="AJ108" i="4"/>
  <c r="AI73" i="4"/>
  <c r="AI108" i="4"/>
  <c r="AH73" i="4"/>
  <c r="AH108" i="4"/>
  <c r="AG73" i="4"/>
  <c r="AG108" i="4"/>
  <c r="AF73" i="4"/>
  <c r="AF108" i="4"/>
  <c r="AE73" i="4"/>
  <c r="AE108" i="4"/>
  <c r="AD73" i="4"/>
  <c r="AD108" i="4"/>
  <c r="AC73" i="4"/>
  <c r="AC108" i="4"/>
  <c r="AB73" i="4"/>
  <c r="AB108" i="4"/>
  <c r="AA73" i="4"/>
  <c r="AA108" i="4"/>
  <c r="Z73" i="4"/>
  <c r="Z108" i="4"/>
  <c r="Y73" i="4"/>
  <c r="Y108" i="4"/>
  <c r="X73" i="4"/>
  <c r="X108" i="4"/>
  <c r="W73" i="4"/>
  <c r="W108" i="4"/>
  <c r="V73" i="4"/>
  <c r="V108" i="4"/>
  <c r="U73" i="4"/>
  <c r="U108" i="4"/>
  <c r="T73" i="4"/>
  <c r="T108" i="4"/>
  <c r="S73" i="4"/>
  <c r="S108" i="4"/>
  <c r="R73" i="4"/>
  <c r="R108" i="4"/>
  <c r="Q73" i="4"/>
  <c r="Q108" i="4"/>
  <c r="P73" i="4"/>
  <c r="P108" i="4"/>
  <c r="O73" i="4"/>
  <c r="O108" i="4"/>
  <c r="N73" i="4"/>
  <c r="N108" i="4"/>
  <c r="M73" i="4"/>
  <c r="M108" i="4"/>
  <c r="L73" i="4"/>
  <c r="L108" i="4"/>
  <c r="K73" i="4"/>
  <c r="K108" i="4"/>
  <c r="J73" i="4"/>
  <c r="I73" i="4"/>
  <c r="I108" i="4"/>
  <c r="H73" i="4"/>
  <c r="H108" i="4"/>
  <c r="G73" i="4"/>
  <c r="G108" i="4"/>
  <c r="F73" i="4"/>
  <c r="AL72" i="4"/>
  <c r="AK72" i="4"/>
  <c r="AL71" i="4"/>
  <c r="AK71" i="4"/>
  <c r="AL70" i="4"/>
  <c r="AK70" i="4"/>
  <c r="AJ69" i="4"/>
  <c r="AJ104" i="4"/>
  <c r="AI69" i="4"/>
  <c r="AI104" i="4"/>
  <c r="AH69" i="4"/>
  <c r="AH104" i="4"/>
  <c r="AG69" i="4"/>
  <c r="AG104" i="4"/>
  <c r="AF69" i="4"/>
  <c r="AF104" i="4"/>
  <c r="AE69" i="4"/>
  <c r="AE104" i="4"/>
  <c r="AD69" i="4"/>
  <c r="AD104" i="4"/>
  <c r="AC69" i="4"/>
  <c r="AC104" i="4"/>
  <c r="AB69" i="4"/>
  <c r="AB104" i="4"/>
  <c r="AA69" i="4"/>
  <c r="AA104" i="4"/>
  <c r="Z69" i="4"/>
  <c r="Z104" i="4"/>
  <c r="Y69" i="4"/>
  <c r="Y104" i="4"/>
  <c r="X69" i="4"/>
  <c r="X104" i="4"/>
  <c r="W69" i="4"/>
  <c r="W104" i="4"/>
  <c r="V69" i="4"/>
  <c r="V104" i="4"/>
  <c r="U69" i="4"/>
  <c r="U104" i="4"/>
  <c r="T69" i="4"/>
  <c r="T104" i="4"/>
  <c r="S69" i="4"/>
  <c r="S104" i="4"/>
  <c r="R69" i="4"/>
  <c r="R104" i="4"/>
  <c r="Q69" i="4"/>
  <c r="Q104" i="4"/>
  <c r="P69" i="4"/>
  <c r="P104" i="4"/>
  <c r="O69" i="4"/>
  <c r="O104" i="4"/>
  <c r="N69" i="4"/>
  <c r="N104" i="4"/>
  <c r="M69" i="4"/>
  <c r="M104" i="4"/>
  <c r="L69" i="4"/>
  <c r="L104" i="4"/>
  <c r="K69" i="4"/>
  <c r="K104" i="4"/>
  <c r="J69" i="4"/>
  <c r="I69" i="4"/>
  <c r="I104" i="4"/>
  <c r="H69" i="4"/>
  <c r="H104" i="4"/>
  <c r="G69" i="4"/>
  <c r="G104" i="4"/>
  <c r="F69" i="4"/>
  <c r="AL68" i="4"/>
  <c r="AK68" i="4"/>
  <c r="AL67" i="4"/>
  <c r="AK67" i="4"/>
  <c r="AL66" i="4"/>
  <c r="AK66" i="4"/>
  <c r="AJ65" i="4"/>
  <c r="AJ100" i="4"/>
  <c r="AI65" i="4"/>
  <c r="AI100" i="4"/>
  <c r="AH65" i="4"/>
  <c r="AH100" i="4"/>
  <c r="AG65" i="4"/>
  <c r="AG100" i="4"/>
  <c r="AF65" i="4"/>
  <c r="AF100" i="4"/>
  <c r="AE65" i="4"/>
  <c r="AE100" i="4"/>
  <c r="AD65" i="4"/>
  <c r="AD100" i="4"/>
  <c r="AD131" i="4" s="1"/>
  <c r="AC65" i="4"/>
  <c r="AC100" i="4"/>
  <c r="AB65" i="4"/>
  <c r="AB100" i="4"/>
  <c r="AA65" i="4"/>
  <c r="AA100" i="4"/>
  <c r="Z65" i="4"/>
  <c r="Z100" i="4"/>
  <c r="Y65" i="4"/>
  <c r="Y100" i="4"/>
  <c r="X65" i="4"/>
  <c r="X100" i="4"/>
  <c r="W65" i="4"/>
  <c r="W100" i="4"/>
  <c r="V65" i="4"/>
  <c r="V100" i="4"/>
  <c r="V131" i="4" s="1"/>
  <c r="U65" i="4"/>
  <c r="U100" i="4"/>
  <c r="T65" i="4"/>
  <c r="T100" i="4"/>
  <c r="S65" i="4"/>
  <c r="S100" i="4"/>
  <c r="R65" i="4"/>
  <c r="R100" i="4"/>
  <c r="Q65" i="4"/>
  <c r="Q100" i="4"/>
  <c r="P65" i="4"/>
  <c r="P100" i="4"/>
  <c r="O65" i="4"/>
  <c r="O100" i="4"/>
  <c r="N65" i="4"/>
  <c r="N100" i="4"/>
  <c r="M65" i="4"/>
  <c r="M100" i="4"/>
  <c r="L65" i="4"/>
  <c r="L100" i="4"/>
  <c r="K65" i="4"/>
  <c r="K100" i="4"/>
  <c r="J65" i="4"/>
  <c r="I65" i="4"/>
  <c r="I100" i="4"/>
  <c r="H65" i="4"/>
  <c r="H100" i="4"/>
  <c r="G65" i="4"/>
  <c r="G100" i="4"/>
  <c r="F65" i="4"/>
  <c r="AL64" i="4"/>
  <c r="AL63" i="4"/>
  <c r="AK63" i="4"/>
  <c r="AL62" i="4"/>
  <c r="AK62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AO60" i="4"/>
  <c r="AN60" i="4"/>
  <c r="AL60" i="4"/>
  <c r="AK60" i="4"/>
  <c r="AO59" i="4"/>
  <c r="AN59" i="4"/>
  <c r="AL59" i="4"/>
  <c r="AK59" i="4"/>
  <c r="AL58" i="4"/>
  <c r="AK58" i="4"/>
  <c r="AO57" i="4"/>
  <c r="AN57" i="4"/>
  <c r="AJ57" i="4"/>
  <c r="AI57" i="4"/>
  <c r="AI106" i="4" s="1"/>
  <c r="AI105" i="4" s="1"/>
  <c r="AH57" i="4"/>
  <c r="AH106" i="4" s="1"/>
  <c r="AG57" i="4"/>
  <c r="AG106" i="4" s="1"/>
  <c r="AF57" i="4"/>
  <c r="AF106" i="4" s="1"/>
  <c r="AE57" i="4"/>
  <c r="AE106" i="4" s="1"/>
  <c r="AD57" i="4"/>
  <c r="AD106" i="4" s="1"/>
  <c r="AC57" i="4"/>
  <c r="AC106" i="4" s="1"/>
  <c r="AB57" i="4"/>
  <c r="AB106" i="4" s="1"/>
  <c r="AA57" i="4"/>
  <c r="AA106" i="4" s="1"/>
  <c r="Z57" i="4"/>
  <c r="Z106" i="4" s="1"/>
  <c r="Y57" i="4"/>
  <c r="Y106" i="4" s="1"/>
  <c r="X57" i="4"/>
  <c r="X106" i="4" s="1"/>
  <c r="W57" i="4"/>
  <c r="W106" i="4" s="1"/>
  <c r="W105" i="4" s="1"/>
  <c r="V57" i="4"/>
  <c r="V106" i="4" s="1"/>
  <c r="U57" i="4"/>
  <c r="U106" i="4" s="1"/>
  <c r="T57" i="4"/>
  <c r="T106" i="4" s="1"/>
  <c r="S57" i="4"/>
  <c r="S106" i="4" s="1"/>
  <c r="S105" i="4" s="1"/>
  <c r="R57" i="4"/>
  <c r="R106" i="4" s="1"/>
  <c r="Q57" i="4"/>
  <c r="Q106" i="4" s="1"/>
  <c r="P57" i="4"/>
  <c r="P106" i="4" s="1"/>
  <c r="O57" i="4"/>
  <c r="O106" i="4" s="1"/>
  <c r="N57" i="4"/>
  <c r="N106" i="4" s="1"/>
  <c r="M57" i="4"/>
  <c r="M106" i="4" s="1"/>
  <c r="L57" i="4"/>
  <c r="L106" i="4" s="1"/>
  <c r="K57" i="4"/>
  <c r="K106" i="4" s="1"/>
  <c r="J57" i="4"/>
  <c r="J106" i="4" s="1"/>
  <c r="I57" i="4"/>
  <c r="H57" i="4"/>
  <c r="H106" i="4" s="1"/>
  <c r="G57" i="4"/>
  <c r="G106" i="4" s="1"/>
  <c r="F57" i="4"/>
  <c r="F106" i="4" s="1"/>
  <c r="AO56" i="4"/>
  <c r="AN56" i="4"/>
  <c r="AL56" i="4"/>
  <c r="AK56" i="4"/>
  <c r="AL55" i="4"/>
  <c r="AK55" i="4"/>
  <c r="AL54" i="4"/>
  <c r="AK54" i="4"/>
  <c r="AQ51" i="4" s="1"/>
  <c r="AJ53" i="4"/>
  <c r="AJ102" i="4" s="1"/>
  <c r="AI53" i="4"/>
  <c r="AI102" i="4" s="1"/>
  <c r="AH53" i="4"/>
  <c r="AH102" i="4" s="1"/>
  <c r="AG53" i="4"/>
  <c r="AG102" i="4" s="1"/>
  <c r="AF53" i="4"/>
  <c r="AF102" i="4" s="1"/>
  <c r="AE53" i="4"/>
  <c r="AE102" i="4" s="1"/>
  <c r="AD53" i="4"/>
  <c r="AD102" i="4" s="1"/>
  <c r="AC53" i="4"/>
  <c r="AC102" i="4"/>
  <c r="AB53" i="4"/>
  <c r="AB102" i="4" s="1"/>
  <c r="AA53" i="4"/>
  <c r="AA102" i="4" s="1"/>
  <c r="Z53" i="4"/>
  <c r="Z102" i="4" s="1"/>
  <c r="Y53" i="4"/>
  <c r="Y102" i="4" s="1"/>
  <c r="X53" i="4"/>
  <c r="X102" i="4" s="1"/>
  <c r="W53" i="4"/>
  <c r="W102" i="4" s="1"/>
  <c r="V53" i="4"/>
  <c r="V102" i="4" s="1"/>
  <c r="U53" i="4"/>
  <c r="U102" i="4"/>
  <c r="T53" i="4"/>
  <c r="T102" i="4" s="1"/>
  <c r="S53" i="4"/>
  <c r="S102" i="4" s="1"/>
  <c r="R53" i="4"/>
  <c r="R102" i="4" s="1"/>
  <c r="Q53" i="4"/>
  <c r="Q102" i="4" s="1"/>
  <c r="P53" i="4"/>
  <c r="P102" i="4" s="1"/>
  <c r="O53" i="4"/>
  <c r="O102" i="4" s="1"/>
  <c r="N53" i="4"/>
  <c r="N102" i="4" s="1"/>
  <c r="M53" i="4"/>
  <c r="M102" i="4" s="1"/>
  <c r="L53" i="4"/>
  <c r="L102" i="4" s="1"/>
  <c r="K53" i="4"/>
  <c r="K102" i="4" s="1"/>
  <c r="J53" i="4"/>
  <c r="J102" i="4" s="1"/>
  <c r="I53" i="4"/>
  <c r="I102" i="4" s="1"/>
  <c r="H53" i="4"/>
  <c r="H102" i="4" s="1"/>
  <c r="G53" i="4"/>
  <c r="F53" i="4"/>
  <c r="F102" i="4" s="1"/>
  <c r="AL52" i="4"/>
  <c r="AK52" i="4"/>
  <c r="AL51" i="4"/>
  <c r="AK51" i="4"/>
  <c r="AL50" i="4"/>
  <c r="AK50" i="4"/>
  <c r="AJ49" i="4"/>
  <c r="AJ98" i="4"/>
  <c r="AI49" i="4"/>
  <c r="AI98" i="4"/>
  <c r="AH49" i="4"/>
  <c r="AH98" i="4"/>
  <c r="AG49" i="4"/>
  <c r="AG98" i="4"/>
  <c r="AG97" i="4" s="1"/>
  <c r="AF49" i="4"/>
  <c r="AF98" i="4"/>
  <c r="AE49" i="4"/>
  <c r="AE98" i="4"/>
  <c r="AD49" i="4"/>
  <c r="AD98" i="4"/>
  <c r="AD97" i="4" s="1"/>
  <c r="AC49" i="4"/>
  <c r="AC98" i="4"/>
  <c r="AC97" i="4" s="1"/>
  <c r="AB49" i="4"/>
  <c r="AB98" i="4"/>
  <c r="AA49" i="4"/>
  <c r="AA98" i="4"/>
  <c r="Z49" i="4"/>
  <c r="Z98" i="4"/>
  <c r="Y49" i="4"/>
  <c r="Y98" i="4"/>
  <c r="Y97" i="4" s="1"/>
  <c r="X49" i="4"/>
  <c r="X98" i="4"/>
  <c r="W49" i="4"/>
  <c r="W98" i="4"/>
  <c r="V49" i="4"/>
  <c r="V98" i="4"/>
  <c r="U49" i="4"/>
  <c r="U98" i="4"/>
  <c r="U97" i="4" s="1"/>
  <c r="T49" i="4"/>
  <c r="T98" i="4"/>
  <c r="S49" i="4"/>
  <c r="S98" i="4"/>
  <c r="R49" i="4"/>
  <c r="R98" i="4"/>
  <c r="Q49" i="4"/>
  <c r="Q98" i="4"/>
  <c r="P49" i="4"/>
  <c r="P98" i="4"/>
  <c r="O49" i="4"/>
  <c r="O98" i="4"/>
  <c r="N49" i="4"/>
  <c r="N98" i="4"/>
  <c r="M49" i="4"/>
  <c r="M98" i="4"/>
  <c r="L49" i="4"/>
  <c r="L98" i="4"/>
  <c r="K49" i="4"/>
  <c r="K98" i="4"/>
  <c r="J49" i="4"/>
  <c r="I49" i="4"/>
  <c r="I98" i="4"/>
  <c r="H49" i="4"/>
  <c r="H98" i="4"/>
  <c r="G49" i="4"/>
  <c r="F49" i="4"/>
  <c r="F98" i="4"/>
  <c r="E48" i="4"/>
  <c r="C48" i="4"/>
  <c r="C47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AK44" i="4"/>
  <c r="AK43" i="4"/>
  <c r="AK42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AK40" i="4"/>
  <c r="AK39" i="4"/>
  <c r="AK38" i="4"/>
  <c r="E3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AK26" i="4"/>
  <c r="AK25" i="4"/>
  <c r="AK24" i="4"/>
  <c r="AK23" i="4"/>
  <c r="AK22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AK20" i="4"/>
  <c r="AK19" i="4"/>
  <c r="AK18" i="4"/>
  <c r="AK17" i="4"/>
  <c r="AK16" i="4"/>
  <c r="AJ15" i="4"/>
  <c r="AJ33" i="4" s="1"/>
  <c r="AI15" i="4"/>
  <c r="AI33" i="4" s="1"/>
  <c r="AH15" i="4"/>
  <c r="AH33" i="4" s="1"/>
  <c r="AG15" i="4"/>
  <c r="AG33" i="4" s="1"/>
  <c r="AF15" i="4"/>
  <c r="AF33" i="4" s="1"/>
  <c r="AE15" i="4"/>
  <c r="AE33" i="4" s="1"/>
  <c r="AD15" i="4"/>
  <c r="AD33" i="4" s="1"/>
  <c r="AC15" i="4"/>
  <c r="AC33" i="4" s="1"/>
  <c r="AB15" i="4"/>
  <c r="AB33" i="4" s="1"/>
  <c r="AA15" i="4"/>
  <c r="AA33" i="4" s="1"/>
  <c r="Z15" i="4"/>
  <c r="Z33" i="4" s="1"/>
  <c r="Y15" i="4"/>
  <c r="Y33" i="4" s="1"/>
  <c r="X15" i="4"/>
  <c r="X33" i="4" s="1"/>
  <c r="W15" i="4"/>
  <c r="W33" i="4" s="1"/>
  <c r="V15" i="4"/>
  <c r="V33" i="4"/>
  <c r="U15" i="4"/>
  <c r="U33" i="4"/>
  <c r="T15" i="4"/>
  <c r="T33" i="4"/>
  <c r="S15" i="4"/>
  <c r="S33" i="4" s="1"/>
  <c r="R15" i="4"/>
  <c r="R33" i="4" s="1"/>
  <c r="Q15" i="4"/>
  <c r="Q33" i="4" s="1"/>
  <c r="P15" i="4"/>
  <c r="P33" i="4" s="1"/>
  <c r="O15" i="4"/>
  <c r="O33" i="4"/>
  <c r="N15" i="4"/>
  <c r="N33" i="4"/>
  <c r="M15" i="4"/>
  <c r="M33" i="4"/>
  <c r="L15" i="4"/>
  <c r="L33" i="4"/>
  <c r="K15" i="4"/>
  <c r="K33" i="4" s="1"/>
  <c r="J15" i="4"/>
  <c r="J33" i="4" s="1"/>
  <c r="I15" i="4"/>
  <c r="I33" i="4" s="1"/>
  <c r="H15" i="4"/>
  <c r="H33" i="4" s="1"/>
  <c r="G15" i="4"/>
  <c r="G33" i="4"/>
  <c r="F15" i="4"/>
  <c r="F33" i="4" s="1"/>
  <c r="AL14" i="4"/>
  <c r="D7" i="1" s="1"/>
  <c r="E18" i="20" s="1"/>
  <c r="AK14" i="4"/>
  <c r="AL13" i="4"/>
  <c r="AK13" i="4"/>
  <c r="AL12" i="4"/>
  <c r="AK12" i="4"/>
  <c r="AL11" i="4"/>
  <c r="AK11" i="4"/>
  <c r="AL10" i="4"/>
  <c r="AK10" i="4"/>
  <c r="AJ8" i="4"/>
  <c r="AI8" i="4"/>
  <c r="AI32" i="4" s="1"/>
  <c r="AH8" i="4"/>
  <c r="AH32" i="4" s="1"/>
  <c r="AG8" i="4"/>
  <c r="AG32" i="4" s="1"/>
  <c r="AF8" i="4"/>
  <c r="AF32" i="4" s="1"/>
  <c r="AE8" i="4"/>
  <c r="AE32" i="4" s="1"/>
  <c r="AD8" i="4"/>
  <c r="AD32" i="4" s="1"/>
  <c r="AC8" i="4"/>
  <c r="AC32" i="4" s="1"/>
  <c r="AB8" i="4"/>
  <c r="AB32" i="4" s="1"/>
  <c r="AA8" i="4"/>
  <c r="AA32" i="4" s="1"/>
  <c r="Z8" i="4"/>
  <c r="Z32" i="4" s="1"/>
  <c r="Y8" i="4"/>
  <c r="Y32" i="4" s="1"/>
  <c r="X8" i="4"/>
  <c r="X32" i="4" s="1"/>
  <c r="W8" i="4"/>
  <c r="W32" i="4" s="1"/>
  <c r="V8" i="4"/>
  <c r="V32" i="4" s="1"/>
  <c r="U8" i="4"/>
  <c r="U32" i="4" s="1"/>
  <c r="T8" i="4"/>
  <c r="T32" i="4" s="1"/>
  <c r="S8" i="4"/>
  <c r="S32" i="4" s="1"/>
  <c r="R8" i="4"/>
  <c r="R32" i="4" s="1"/>
  <c r="Q8" i="4"/>
  <c r="Q32" i="4" s="1"/>
  <c r="P8" i="4"/>
  <c r="P32" i="4" s="1"/>
  <c r="O8" i="4"/>
  <c r="O32" i="4" s="1"/>
  <c r="N8" i="4"/>
  <c r="N32" i="4" s="1"/>
  <c r="M8" i="4"/>
  <c r="M32" i="4" s="1"/>
  <c r="L8" i="4"/>
  <c r="L32" i="4" s="1"/>
  <c r="K8" i="4"/>
  <c r="K32" i="4" s="1"/>
  <c r="J8" i="4"/>
  <c r="J32" i="4" s="1"/>
  <c r="I8" i="4"/>
  <c r="I32" i="4" s="1"/>
  <c r="H8" i="4"/>
  <c r="H32" i="4" s="1"/>
  <c r="G8" i="4"/>
  <c r="G32" i="4" s="1"/>
  <c r="F8" i="4"/>
  <c r="F32" i="4" s="1"/>
  <c r="AJ7" i="4"/>
  <c r="AJ31" i="4" s="1"/>
  <c r="AI7" i="4"/>
  <c r="AI31" i="4" s="1"/>
  <c r="AH7" i="4"/>
  <c r="AH31" i="4" s="1"/>
  <c r="AG7" i="4"/>
  <c r="AG31" i="4" s="1"/>
  <c r="AF7" i="4"/>
  <c r="AF31" i="4" s="1"/>
  <c r="AE7" i="4"/>
  <c r="AE31" i="4" s="1"/>
  <c r="AD7" i="4"/>
  <c r="AD31" i="4" s="1"/>
  <c r="AC7" i="4"/>
  <c r="AC31" i="4" s="1"/>
  <c r="AB7" i="4"/>
  <c r="AA7" i="4"/>
  <c r="AA31" i="4" s="1"/>
  <c r="Z7" i="4"/>
  <c r="Z31" i="4" s="1"/>
  <c r="Y7" i="4"/>
  <c r="Y31" i="4" s="1"/>
  <c r="X7" i="4"/>
  <c r="X31" i="4" s="1"/>
  <c r="W7" i="4"/>
  <c r="W31" i="4" s="1"/>
  <c r="V7" i="4"/>
  <c r="V31" i="4"/>
  <c r="U7" i="4"/>
  <c r="U31" i="4" s="1"/>
  <c r="T7" i="4"/>
  <c r="T31" i="4" s="1"/>
  <c r="S7" i="4"/>
  <c r="S31" i="4" s="1"/>
  <c r="R7" i="4"/>
  <c r="R31" i="4" s="1"/>
  <c r="Q7" i="4"/>
  <c r="Q31" i="4" s="1"/>
  <c r="P7" i="4"/>
  <c r="P31" i="4" s="1"/>
  <c r="O7" i="4"/>
  <c r="O31" i="4" s="1"/>
  <c r="N7" i="4"/>
  <c r="N31" i="4" s="1"/>
  <c r="M7" i="4"/>
  <c r="M31" i="4" s="1"/>
  <c r="L7" i="4"/>
  <c r="L31" i="4" s="1"/>
  <c r="K7" i="4"/>
  <c r="K31" i="4" s="1"/>
  <c r="J7" i="4"/>
  <c r="J31" i="4" s="1"/>
  <c r="I7" i="4"/>
  <c r="I31" i="4" s="1"/>
  <c r="H7" i="4"/>
  <c r="H31" i="4" s="1"/>
  <c r="G7" i="4"/>
  <c r="G31" i="4" s="1"/>
  <c r="F7" i="4"/>
  <c r="F31" i="4" s="1"/>
  <c r="AJ6" i="4"/>
  <c r="AJ30" i="4" s="1"/>
  <c r="AI6" i="4"/>
  <c r="AI30" i="4" s="1"/>
  <c r="AH6" i="4"/>
  <c r="AH30" i="4" s="1"/>
  <c r="AG6" i="4"/>
  <c r="AG30" i="4" s="1"/>
  <c r="AF6" i="4"/>
  <c r="AF30" i="4" s="1"/>
  <c r="AE6" i="4"/>
  <c r="AE30" i="4" s="1"/>
  <c r="AD6" i="4"/>
  <c r="AD30" i="4" s="1"/>
  <c r="AC6" i="4"/>
  <c r="AC30" i="4" s="1"/>
  <c r="AB6" i="4"/>
  <c r="AB30" i="4" s="1"/>
  <c r="AA6" i="4"/>
  <c r="AA30" i="4" s="1"/>
  <c r="Z6" i="4"/>
  <c r="Z30" i="4" s="1"/>
  <c r="Y6" i="4"/>
  <c r="Y30" i="4" s="1"/>
  <c r="X6" i="4"/>
  <c r="X30" i="4" s="1"/>
  <c r="W6" i="4"/>
  <c r="W30" i="4" s="1"/>
  <c r="V6" i="4"/>
  <c r="V30" i="4" s="1"/>
  <c r="U6" i="4"/>
  <c r="U30" i="4" s="1"/>
  <c r="T6" i="4"/>
  <c r="T30" i="4" s="1"/>
  <c r="S6" i="4"/>
  <c r="S30" i="4" s="1"/>
  <c r="R6" i="4"/>
  <c r="R30" i="4" s="1"/>
  <c r="Q6" i="4"/>
  <c r="Q30" i="4" s="1"/>
  <c r="P6" i="4"/>
  <c r="P30" i="4" s="1"/>
  <c r="O6" i="4"/>
  <c r="O30" i="4" s="1"/>
  <c r="N6" i="4"/>
  <c r="N30" i="4" s="1"/>
  <c r="M6" i="4"/>
  <c r="M30" i="4" s="1"/>
  <c r="L6" i="4"/>
  <c r="L30" i="4" s="1"/>
  <c r="K6" i="4"/>
  <c r="K30" i="4" s="1"/>
  <c r="J6" i="4"/>
  <c r="J30" i="4" s="1"/>
  <c r="I6" i="4"/>
  <c r="I30" i="4" s="1"/>
  <c r="H6" i="4"/>
  <c r="H30" i="4" s="1"/>
  <c r="G6" i="4"/>
  <c r="G30" i="4" s="1"/>
  <c r="F6" i="4"/>
  <c r="F30" i="4" s="1"/>
  <c r="AJ5" i="4"/>
  <c r="AJ29" i="4" s="1"/>
  <c r="AI5" i="4"/>
  <c r="AI29" i="4" s="1"/>
  <c r="AH5" i="4"/>
  <c r="AH29" i="4" s="1"/>
  <c r="AG5" i="4"/>
  <c r="AG29" i="4" s="1"/>
  <c r="AF5" i="4"/>
  <c r="AF29" i="4" s="1"/>
  <c r="AE5" i="4"/>
  <c r="AE29" i="4" s="1"/>
  <c r="AD5" i="4"/>
  <c r="AD29" i="4" s="1"/>
  <c r="AC5" i="4"/>
  <c r="AC29" i="4" s="1"/>
  <c r="AB5" i="4"/>
  <c r="AB29" i="4" s="1"/>
  <c r="AA5" i="4"/>
  <c r="AA29" i="4" s="1"/>
  <c r="Z5" i="4"/>
  <c r="Z29" i="4" s="1"/>
  <c r="Y5" i="4"/>
  <c r="Y29" i="4" s="1"/>
  <c r="X5" i="4"/>
  <c r="X29" i="4" s="1"/>
  <c r="W5" i="4"/>
  <c r="W29" i="4" s="1"/>
  <c r="V5" i="4"/>
  <c r="V29" i="4" s="1"/>
  <c r="U5" i="4"/>
  <c r="U29" i="4" s="1"/>
  <c r="T5" i="4"/>
  <c r="T29" i="4" s="1"/>
  <c r="S5" i="4"/>
  <c r="S29" i="4" s="1"/>
  <c r="R5" i="4"/>
  <c r="R29" i="4" s="1"/>
  <c r="Q5" i="4"/>
  <c r="Q29" i="4" s="1"/>
  <c r="P5" i="4"/>
  <c r="P29" i="4" s="1"/>
  <c r="O5" i="4"/>
  <c r="O29" i="4" s="1"/>
  <c r="N5" i="4"/>
  <c r="N29" i="4" s="1"/>
  <c r="M5" i="4"/>
  <c r="M29" i="4" s="1"/>
  <c r="L5" i="4"/>
  <c r="L29" i="4" s="1"/>
  <c r="K5" i="4"/>
  <c r="K29" i="4" s="1"/>
  <c r="J5" i="4"/>
  <c r="J29" i="4" s="1"/>
  <c r="I5" i="4"/>
  <c r="I29" i="4" s="1"/>
  <c r="H5" i="4"/>
  <c r="H29" i="4" s="1"/>
  <c r="G5" i="4"/>
  <c r="G29" i="4" s="1"/>
  <c r="F5" i="4"/>
  <c r="F29" i="4" s="1"/>
  <c r="AJ4" i="4"/>
  <c r="AJ28" i="4" s="1"/>
  <c r="AI4" i="4"/>
  <c r="AI28" i="4" s="1"/>
  <c r="AH4" i="4"/>
  <c r="AH28" i="4" s="1"/>
  <c r="AG4" i="4"/>
  <c r="AF4" i="4"/>
  <c r="AF28" i="4" s="1"/>
  <c r="AE4" i="4"/>
  <c r="AE28" i="4" s="1"/>
  <c r="AD4" i="4"/>
  <c r="AD28" i="4" s="1"/>
  <c r="AC4" i="4"/>
  <c r="AB4" i="4"/>
  <c r="AB28" i="4" s="1"/>
  <c r="AA4" i="4"/>
  <c r="AA28" i="4" s="1"/>
  <c r="Z4" i="4"/>
  <c r="Y4" i="4"/>
  <c r="Y28" i="4" s="1"/>
  <c r="X4" i="4"/>
  <c r="X28" i="4" s="1"/>
  <c r="W4" i="4"/>
  <c r="W28" i="4" s="1"/>
  <c r="V4" i="4"/>
  <c r="U4" i="4"/>
  <c r="T4" i="4"/>
  <c r="S4" i="4"/>
  <c r="R4" i="4"/>
  <c r="R28" i="4" s="1"/>
  <c r="Q4" i="4"/>
  <c r="Q28" i="4" s="1"/>
  <c r="P4" i="4"/>
  <c r="P28" i="4" s="1"/>
  <c r="O4" i="4"/>
  <c r="O28" i="4" s="1"/>
  <c r="N4" i="4"/>
  <c r="N28" i="4" s="1"/>
  <c r="M4" i="4"/>
  <c r="M28" i="4" s="1"/>
  <c r="L4" i="4"/>
  <c r="L28" i="4" s="1"/>
  <c r="K4" i="4"/>
  <c r="K28" i="4" s="1"/>
  <c r="J4" i="4"/>
  <c r="J28" i="4" s="1"/>
  <c r="I4" i="4"/>
  <c r="I28" i="4" s="1"/>
  <c r="H4" i="4"/>
  <c r="H28" i="4" s="1"/>
  <c r="G4" i="4"/>
  <c r="G28" i="4" s="1"/>
  <c r="F4" i="4"/>
  <c r="F28" i="4" s="1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R42" i="6"/>
  <c r="R41" i="6"/>
  <c r="R40" i="6"/>
  <c r="R39" i="6"/>
  <c r="R38" i="6"/>
  <c r="R37" i="6"/>
  <c r="R36" i="6"/>
  <c r="R35" i="6"/>
  <c r="R34" i="6"/>
  <c r="R33" i="6"/>
  <c r="R32" i="6"/>
  <c r="P27" i="6"/>
  <c r="M27" i="6"/>
  <c r="O10" i="1" s="1"/>
  <c r="G27" i="6"/>
  <c r="P26" i="6"/>
  <c r="M26" i="6"/>
  <c r="O9" i="1"/>
  <c r="AS33" i="20"/>
  <c r="G26" i="6"/>
  <c r="P25" i="6"/>
  <c r="M25" i="6"/>
  <c r="O17" i="1"/>
  <c r="J25" i="6"/>
  <c r="G25" i="6"/>
  <c r="P24" i="6"/>
  <c r="M24" i="6"/>
  <c r="O16" i="1"/>
  <c r="J24" i="6"/>
  <c r="G24" i="6"/>
  <c r="R23" i="6"/>
  <c r="P23" i="6"/>
  <c r="M23" i="6"/>
  <c r="O15" i="1"/>
  <c r="J23" i="6"/>
  <c r="G23" i="6"/>
  <c r="P22" i="6"/>
  <c r="M22" i="6"/>
  <c r="O14" i="1"/>
  <c r="J22" i="6"/>
  <c r="G22" i="6"/>
  <c r="P21" i="6"/>
  <c r="M21" i="6"/>
  <c r="O13" i="1"/>
  <c r="J21" i="6"/>
  <c r="G21" i="6"/>
  <c r="P20" i="6"/>
  <c r="M20" i="6"/>
  <c r="O5" i="1"/>
  <c r="AS26" i="20"/>
  <c r="G20" i="6"/>
  <c r="E20" i="6"/>
  <c r="S19" i="6"/>
  <c r="U19" i="6"/>
  <c r="P19" i="6"/>
  <c r="M19" i="6"/>
  <c r="O4" i="1"/>
  <c r="AS30" i="20"/>
  <c r="G19" i="6"/>
  <c r="S18" i="6"/>
  <c r="U18" i="6"/>
  <c r="Q17" i="6"/>
  <c r="W17" i="1"/>
  <c r="S16" i="6"/>
  <c r="S17" i="6"/>
  <c r="Q16" i="6"/>
  <c r="W16" i="1"/>
  <c r="S15" i="6"/>
  <c r="Q15" i="6"/>
  <c r="W15" i="1"/>
  <c r="Q11" i="6"/>
  <c r="W10" i="1"/>
  <c r="E10" i="6"/>
  <c r="F10" i="6"/>
  <c r="G10" i="6"/>
  <c r="H10" i="6"/>
  <c r="I10" i="6"/>
  <c r="J10" i="6"/>
  <c r="Q9" i="6"/>
  <c r="W9" i="1"/>
  <c r="Q8" i="6"/>
  <c r="Q7" i="6"/>
  <c r="W7" i="1"/>
  <c r="X7" i="1"/>
  <c r="P6" i="6"/>
  <c r="O6" i="6"/>
  <c r="N6" i="6"/>
  <c r="M6" i="6"/>
  <c r="L6" i="6"/>
  <c r="K6" i="6"/>
  <c r="J6" i="6"/>
  <c r="I6" i="6"/>
  <c r="H6" i="6"/>
  <c r="G6" i="6"/>
  <c r="F6" i="6"/>
  <c r="E6" i="6"/>
  <c r="Q5" i="6"/>
  <c r="Q14" i="6"/>
  <c r="W14" i="1"/>
  <c r="Q4" i="6"/>
  <c r="W4" i="1"/>
  <c r="D3" i="6"/>
  <c r="Q2" i="6"/>
  <c r="P2" i="6"/>
  <c r="O2" i="6"/>
  <c r="N2" i="6"/>
  <c r="M2" i="6"/>
  <c r="L2" i="6"/>
  <c r="K2" i="6"/>
  <c r="J2" i="6"/>
  <c r="I2" i="6"/>
  <c r="H2" i="6"/>
  <c r="G2" i="6"/>
  <c r="F2" i="6"/>
  <c r="E2" i="6"/>
  <c r="B2" i="6"/>
  <c r="D86" i="1"/>
  <c r="E86" i="1"/>
  <c r="F86" i="1"/>
  <c r="G86" i="1"/>
  <c r="H86" i="1"/>
  <c r="I86" i="1"/>
  <c r="J86" i="1"/>
  <c r="K86" i="1"/>
  <c r="L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D81" i="1"/>
  <c r="E81" i="1"/>
  <c r="F81" i="1"/>
  <c r="G81" i="1"/>
  <c r="H81" i="1"/>
  <c r="I81" i="1"/>
  <c r="J81" i="1"/>
  <c r="K81" i="1"/>
  <c r="L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L73" i="1"/>
  <c r="K73" i="1"/>
  <c r="J73" i="1"/>
  <c r="I73" i="1"/>
  <c r="H73" i="1"/>
  <c r="G73" i="1"/>
  <c r="F73" i="1"/>
  <c r="E73" i="1"/>
  <c r="D73" i="1"/>
  <c r="C73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L71" i="1"/>
  <c r="K71" i="1"/>
  <c r="J71" i="1"/>
  <c r="I71" i="1"/>
  <c r="H71" i="1"/>
  <c r="G71" i="1"/>
  <c r="F71" i="1"/>
  <c r="E71" i="1"/>
  <c r="D71" i="1"/>
  <c r="C71" i="1"/>
  <c r="W18" i="1"/>
  <c r="X18" i="1"/>
  <c r="V18" i="1"/>
  <c r="T18" i="1"/>
  <c r="U18" i="1" s="1"/>
  <c r="R18" i="1"/>
  <c r="K18" i="1"/>
  <c r="L18" i="1" s="1"/>
  <c r="J18" i="1"/>
  <c r="H18" i="1"/>
  <c r="I18" i="1" s="1"/>
  <c r="F18" i="1"/>
  <c r="K17" i="1"/>
  <c r="O40" i="20" s="1"/>
  <c r="J17" i="1"/>
  <c r="M40" i="20" s="1"/>
  <c r="H17" i="1"/>
  <c r="K16" i="1"/>
  <c r="O38" i="20" s="1"/>
  <c r="J16" i="1"/>
  <c r="H16" i="1"/>
  <c r="F16" i="1"/>
  <c r="R16" i="1" s="1"/>
  <c r="K15" i="1"/>
  <c r="O36" i="20" s="1"/>
  <c r="J15" i="1"/>
  <c r="L15" i="1" s="1"/>
  <c r="H15" i="1"/>
  <c r="F15" i="1"/>
  <c r="I36" i="20" s="1"/>
  <c r="S30" i="20"/>
  <c r="K14" i="1"/>
  <c r="O30" i="20" s="1"/>
  <c r="J14" i="1"/>
  <c r="H14" i="1"/>
  <c r="F14" i="1"/>
  <c r="I30" i="20" s="1"/>
  <c r="S28" i="20"/>
  <c r="K13" i="1"/>
  <c r="O28" i="20"/>
  <c r="J13" i="1"/>
  <c r="M28" i="20" s="1"/>
  <c r="H13" i="1"/>
  <c r="F13" i="1"/>
  <c r="I28" i="20" s="1"/>
  <c r="W12" i="1"/>
  <c r="X12" i="1"/>
  <c r="V12" i="1"/>
  <c r="T12" i="1"/>
  <c r="U12" i="1" s="1"/>
  <c r="R12" i="1"/>
  <c r="S12" i="1" s="1"/>
  <c r="K12" i="1"/>
  <c r="L12" i="1" s="1"/>
  <c r="J12" i="1"/>
  <c r="H12" i="1"/>
  <c r="F12" i="1"/>
  <c r="G12" i="1" s="1"/>
  <c r="R11" i="1"/>
  <c r="AS28" i="20"/>
  <c r="K10" i="1"/>
  <c r="O22" i="20"/>
  <c r="J10" i="1"/>
  <c r="M22" i="20" s="1"/>
  <c r="H10" i="1"/>
  <c r="K9" i="1"/>
  <c r="O20" i="20" s="1"/>
  <c r="J9" i="1"/>
  <c r="M20" i="20" s="1"/>
  <c r="H9" i="1"/>
  <c r="W8" i="1"/>
  <c r="T8" i="1"/>
  <c r="S24" i="20" s="1"/>
  <c r="K8" i="1"/>
  <c r="O24" i="20" s="1"/>
  <c r="H8" i="1"/>
  <c r="O7" i="1"/>
  <c r="P7" i="1"/>
  <c r="N7" i="1"/>
  <c r="K7" i="1"/>
  <c r="L7" i="1" s="1"/>
  <c r="J7" i="1"/>
  <c r="M18" i="20" s="1"/>
  <c r="H7" i="1"/>
  <c r="I7" i="1" s="1"/>
  <c r="F7" i="1"/>
  <c r="G7" i="1" s="1"/>
  <c r="E7" i="1"/>
  <c r="G18" i="20" s="1"/>
  <c r="K5" i="1"/>
  <c r="O14" i="20" s="1"/>
  <c r="J5" i="1"/>
  <c r="AW10" i="20" s="1"/>
  <c r="AV10" i="20" s="1"/>
  <c r="H5" i="1"/>
  <c r="T5" i="1" s="1"/>
  <c r="S14" i="20" s="1"/>
  <c r="K4" i="1"/>
  <c r="O12" i="20" s="1"/>
  <c r="J4" i="1"/>
  <c r="H4" i="1"/>
  <c r="W3" i="1"/>
  <c r="U3" i="1"/>
  <c r="T3" i="1"/>
  <c r="S3" i="1"/>
  <c r="I3" i="1"/>
  <c r="AV9" i="20"/>
  <c r="E9" i="20"/>
  <c r="D50" i="20" s="1"/>
  <c r="AW8" i="20"/>
  <c r="AV8" i="20"/>
  <c r="AV7" i="20"/>
  <c r="N59" i="30"/>
  <c r="M64" i="30"/>
  <c r="M49" i="30"/>
  <c r="AL80" i="29"/>
  <c r="V39" i="29"/>
  <c r="M54" i="30"/>
  <c r="M62" i="30"/>
  <c r="L72" i="1"/>
  <c r="C12" i="28"/>
  <c r="G13" i="24" s="1"/>
  <c r="J39" i="29"/>
  <c r="N57" i="30"/>
  <c r="AP68" i="25"/>
  <c r="AS68" i="25"/>
  <c r="M47" i="30"/>
  <c r="N53" i="30"/>
  <c r="AL81" i="29"/>
  <c r="N38" i="30"/>
  <c r="V72" i="1"/>
  <c r="M58" i="30"/>
  <c r="R34" i="5"/>
  <c r="M53" i="30"/>
  <c r="AN122" i="25"/>
  <c r="AN128" i="25"/>
  <c r="N63" i="30"/>
  <c r="N40" i="30"/>
  <c r="M50" i="30"/>
  <c r="M60" i="30"/>
  <c r="AO59" i="25"/>
  <c r="M38" i="30"/>
  <c r="AK124" i="4"/>
  <c r="AK123" i="4"/>
  <c r="CA19" i="32"/>
  <c r="CB19" i="32" s="1"/>
  <c r="CC19" i="32" s="1"/>
  <c r="CD19" i="32" s="1"/>
  <c r="CE19" i="32" s="1"/>
  <c r="CF19" i="32" s="1"/>
  <c r="CG19" i="32" s="1"/>
  <c r="AZ38" i="32"/>
  <c r="AY21" i="32"/>
  <c r="AZ21" i="32" s="1"/>
  <c r="BA38" i="32"/>
  <c r="AY22" i="32"/>
  <c r="BD22" i="32" s="1"/>
  <c r="CA21" i="32"/>
  <c r="CB21" i="32" s="1"/>
  <c r="CC21" i="32" s="1"/>
  <c r="CD21" i="32" s="1"/>
  <c r="CE21" i="32" s="1"/>
  <c r="CF21" i="32" s="1"/>
  <c r="CG21" i="32" s="1"/>
  <c r="AY23" i="32"/>
  <c r="BE23" i="32" s="1"/>
  <c r="BB38" i="32"/>
  <c r="CA24" i="32"/>
  <c r="CB24" i="32" s="1"/>
  <c r="CC24" i="32" s="1"/>
  <c r="CD24" i="32" s="1"/>
  <c r="CE24" i="32" s="1"/>
  <c r="CF24" i="32" s="1"/>
  <c r="CG24" i="32" s="1"/>
  <c r="AY12" i="32"/>
  <c r="BA12" i="32" s="1"/>
  <c r="BG38" i="32"/>
  <c r="AY28" i="32"/>
  <c r="AZ28" i="32" s="1"/>
  <c r="AY24" i="32"/>
  <c r="AZ24" i="32" s="1"/>
  <c r="CA27" i="32"/>
  <c r="CB27" i="32" s="1"/>
  <c r="CC27" i="32" s="1"/>
  <c r="CD27" i="32" s="1"/>
  <c r="CE27" i="32" s="1"/>
  <c r="CF27" i="32" s="1"/>
  <c r="CG27" i="32" s="1"/>
  <c r="AY29" i="32"/>
  <c r="AZ29" i="32" s="1"/>
  <c r="BH38" i="32"/>
  <c r="AK119" i="4"/>
  <c r="AK115" i="4"/>
  <c r="CB28" i="32"/>
  <c r="CC28" i="32" s="1"/>
  <c r="CD28" i="32" s="1"/>
  <c r="CE28" i="32" s="1"/>
  <c r="CF28" i="32" s="1"/>
  <c r="CG28" i="32" s="1"/>
  <c r="AY14" i="32"/>
  <c r="BB14" i="32" s="1"/>
  <c r="AS38" i="32"/>
  <c r="AY30" i="32"/>
  <c r="AZ30" i="32" s="1"/>
  <c r="BI38" i="32"/>
  <c r="CA29" i="32"/>
  <c r="CB29" i="32" s="1"/>
  <c r="CC29" i="32" s="1"/>
  <c r="CD29" i="32" s="1"/>
  <c r="CE29" i="32" s="1"/>
  <c r="CF29" i="32" s="1"/>
  <c r="CG29" i="32" s="1"/>
  <c r="AY31" i="32"/>
  <c r="BD31" i="32" s="1"/>
  <c r="CA30" i="32"/>
  <c r="CB30" i="32" s="1"/>
  <c r="CC30" i="32" s="1"/>
  <c r="CD30" i="32" s="1"/>
  <c r="CE30" i="32" s="1"/>
  <c r="CF30" i="32" s="1"/>
  <c r="CG30" i="32" s="1"/>
  <c r="AU38" i="32"/>
  <c r="BK38" i="32"/>
  <c r="AY32" i="32"/>
  <c r="AZ32" i="32" s="1"/>
  <c r="CA16" i="32"/>
  <c r="CB16" i="32" s="1"/>
  <c r="CC16" i="32" s="1"/>
  <c r="CD16" i="32" s="1"/>
  <c r="CE16" i="32" s="1"/>
  <c r="CF16" i="32" s="1"/>
  <c r="CG16" i="32" s="1"/>
  <c r="CA32" i="32"/>
  <c r="CB32" i="32" s="1"/>
  <c r="CC32" i="32" s="1"/>
  <c r="CD32" i="32" s="1"/>
  <c r="CE32" i="32" s="1"/>
  <c r="CF32" i="32" s="1"/>
  <c r="CG32" i="32" s="1"/>
  <c r="AY18" i="32"/>
  <c r="BE18" i="32" s="1"/>
  <c r="AW38" i="32"/>
  <c r="CA17" i="32"/>
  <c r="CB17" i="32" s="1"/>
  <c r="CC17" i="32" s="1"/>
  <c r="CD17" i="32" s="1"/>
  <c r="CE17" i="32" s="1"/>
  <c r="CF17" i="32" s="1"/>
  <c r="CG17" i="32" s="1"/>
  <c r="AY19" i="32"/>
  <c r="AZ19" i="32" s="1"/>
  <c r="AX38" i="32"/>
  <c r="CA18" i="32"/>
  <c r="CB18" i="32" s="1"/>
  <c r="CC18" i="32" s="1"/>
  <c r="CD18" i="32" s="1"/>
  <c r="CE18" i="32" s="1"/>
  <c r="CF18" i="32" s="1"/>
  <c r="CG18" i="32" s="1"/>
  <c r="AY20" i="32"/>
  <c r="AZ20" i="32" s="1"/>
  <c r="AY38" i="32"/>
  <c r="AD12" i="15"/>
  <c r="AG162" i="4"/>
  <c r="J32" i="23" s="1"/>
  <c r="P12" i="15"/>
  <c r="S162" i="4"/>
  <c r="J18" i="23" s="1"/>
  <c r="AF12" i="15"/>
  <c r="AI162" i="4"/>
  <c r="J34" i="23"/>
  <c r="Q12" i="15"/>
  <c r="T162" i="4"/>
  <c r="J19" i="23"/>
  <c r="AG12" i="15"/>
  <c r="AJ162" i="4"/>
  <c r="J35" i="23"/>
  <c r="R12" i="15"/>
  <c r="U162" i="4"/>
  <c r="J20" i="23"/>
  <c r="S12" i="15"/>
  <c r="V162" i="4"/>
  <c r="J21" i="23" s="1"/>
  <c r="AE12" i="15"/>
  <c r="AH162" i="4"/>
  <c r="J33" i="23"/>
  <c r="D12" i="15"/>
  <c r="G162" i="4"/>
  <c r="J6" i="23" s="1"/>
  <c r="T12" i="15"/>
  <c r="W162" i="4"/>
  <c r="J22" i="23"/>
  <c r="E12" i="15"/>
  <c r="H162" i="4"/>
  <c r="J7" i="23"/>
  <c r="U12" i="15"/>
  <c r="X162" i="4"/>
  <c r="X12" i="15"/>
  <c r="AA162" i="4"/>
  <c r="J26" i="23" s="1"/>
  <c r="I12" i="15"/>
  <c r="L162" i="4"/>
  <c r="J11" i="23" s="1"/>
  <c r="Y12" i="15"/>
  <c r="AB162" i="4"/>
  <c r="J27" i="23"/>
  <c r="O12" i="15"/>
  <c r="R162" i="4"/>
  <c r="J17" i="23"/>
  <c r="J12" i="15"/>
  <c r="M162" i="4"/>
  <c r="J12" i="23"/>
  <c r="Z12" i="15"/>
  <c r="AC162" i="4"/>
  <c r="J28" i="23"/>
  <c r="K12" i="15"/>
  <c r="N162" i="4"/>
  <c r="AA12" i="15"/>
  <c r="AD162" i="4"/>
  <c r="J29" i="23" s="1"/>
  <c r="L12" i="15"/>
  <c r="O162" i="4"/>
  <c r="J14" i="23"/>
  <c r="AB12" i="15"/>
  <c r="AE162" i="4"/>
  <c r="J30" i="23"/>
  <c r="N12" i="15"/>
  <c r="Q162" i="4"/>
  <c r="J16" i="23"/>
  <c r="M12" i="15"/>
  <c r="P162" i="4"/>
  <c r="J15" i="23" s="1"/>
  <c r="AC12" i="15"/>
  <c r="AF162" i="4"/>
  <c r="J31" i="23" s="1"/>
  <c r="P7" i="15"/>
  <c r="AF7" i="15"/>
  <c r="R7" i="15"/>
  <c r="T7" i="15"/>
  <c r="D10" i="15"/>
  <c r="S7" i="15"/>
  <c r="W7" i="15"/>
  <c r="YV10" i="15"/>
  <c r="K7" i="15"/>
  <c r="AA7" i="15"/>
  <c r="L7" i="15"/>
  <c r="AB7" i="15"/>
  <c r="AC7" i="15"/>
  <c r="O7" i="15"/>
  <c r="AE7" i="15"/>
  <c r="Q7" i="15"/>
  <c r="X19" i="32"/>
  <c r="AA19" i="32"/>
  <c r="Y19" i="32"/>
  <c r="X18" i="32"/>
  <c r="Y18" i="32"/>
  <c r="AA18" i="32"/>
  <c r="AB18" i="32"/>
  <c r="AC18" i="32"/>
  <c r="Z18" i="32"/>
  <c r="Z4" i="32"/>
  <c r="Z20" i="32"/>
  <c r="X20" i="32"/>
  <c r="Y20" i="32"/>
  <c r="AA20" i="32"/>
  <c r="Y21" i="32"/>
  <c r="AB6" i="32"/>
  <c r="AA6" i="32"/>
  <c r="Y6" i="32"/>
  <c r="AC22" i="32"/>
  <c r="X22" i="32"/>
  <c r="Y22" i="32"/>
  <c r="AB22" i="32"/>
  <c r="AA22" i="32"/>
  <c r="X11" i="32"/>
  <c r="Z11" i="32"/>
  <c r="AB11" i="32"/>
  <c r="X27" i="32"/>
  <c r="Y27" i="32"/>
  <c r="Z27" i="32"/>
  <c r="AB27" i="32"/>
  <c r="AC29" i="32"/>
  <c r="X29" i="32"/>
  <c r="AA29" i="32"/>
  <c r="AB29" i="32"/>
  <c r="Z29" i="32"/>
  <c r="Y29" i="32"/>
  <c r="Y14" i="32"/>
  <c r="AB14" i="32"/>
  <c r="Z14" i="32"/>
  <c r="Z30" i="32"/>
  <c r="AA30" i="32"/>
  <c r="AB30" i="32"/>
  <c r="AC30" i="32"/>
  <c r="Y30" i="32"/>
  <c r="X30" i="32"/>
  <c r="R4" i="32"/>
  <c r="S4" i="32"/>
  <c r="T4" i="32"/>
  <c r="Q4" i="32"/>
  <c r="U4" i="32"/>
  <c r="K10" i="6"/>
  <c r="N37" i="30"/>
  <c r="U47" i="17"/>
  <c r="M43" i="30"/>
  <c r="AMJ9" i="15"/>
  <c r="M51" i="30"/>
  <c r="M55" i="30"/>
  <c r="M63" i="30"/>
  <c r="AF7" i="14"/>
  <c r="AN95" i="25"/>
  <c r="AP131" i="25"/>
  <c r="AP134" i="25"/>
  <c r="AT86" i="29"/>
  <c r="AT122" i="29"/>
  <c r="AT125" i="29"/>
  <c r="M44" i="30"/>
  <c r="M7" i="14"/>
  <c r="N39" i="30"/>
  <c r="N42" i="30"/>
  <c r="M35" i="30"/>
  <c r="AZI9" i="15"/>
  <c r="M40" i="30"/>
  <c r="I7" i="14"/>
  <c r="N47" i="30"/>
  <c r="AP122" i="25"/>
  <c r="AP125" i="25"/>
  <c r="T16" i="1"/>
  <c r="S38" i="20" s="1"/>
  <c r="AP140" i="25"/>
  <c r="AP145" i="25"/>
  <c r="AL82" i="29"/>
  <c r="N35" i="30"/>
  <c r="AU59" i="29"/>
  <c r="AU66" i="29"/>
  <c r="AT104" i="29"/>
  <c r="AT110" i="29"/>
  <c r="AU86" i="29"/>
  <c r="M39" i="30"/>
  <c r="AZM9" i="15"/>
  <c r="AO86" i="25"/>
  <c r="AO88" i="25"/>
  <c r="AO104" i="25"/>
  <c r="AO107" i="25"/>
  <c r="M42" i="30"/>
  <c r="N44" i="30"/>
  <c r="AL84" i="29"/>
  <c r="M37" i="30"/>
  <c r="N52" i="30"/>
  <c r="N64" i="30"/>
  <c r="BAL6" i="15"/>
  <c r="AT77" i="29"/>
  <c r="AT82" i="29"/>
  <c r="AT95" i="29"/>
  <c r="AU77" i="29"/>
  <c r="AU84" i="29"/>
  <c r="AU95" i="29"/>
  <c r="AU100" i="29"/>
  <c r="M41" i="30"/>
  <c r="AZO9" i="15"/>
  <c r="W5" i="1"/>
  <c r="W6" i="1"/>
  <c r="R44" i="6"/>
  <c r="R16" i="5"/>
  <c r="R24" i="5"/>
  <c r="AL79" i="29"/>
  <c r="N41" i="30"/>
  <c r="M59" i="30"/>
  <c r="AB7" i="14"/>
  <c r="AH9" i="14"/>
  <c r="R6" i="30"/>
  <c r="F13" i="30"/>
  <c r="X47" i="17"/>
  <c r="W47" i="17"/>
  <c r="S47" i="17"/>
  <c r="V48" i="17"/>
  <c r="AH175" i="29"/>
  <c r="AH180" i="29"/>
  <c r="N36" i="30"/>
  <c r="N43" i="30"/>
  <c r="N45" i="30"/>
  <c r="N48" i="30"/>
  <c r="N50" i="30"/>
  <c r="N54" i="30"/>
  <c r="N56" i="30"/>
  <c r="N58" i="30"/>
  <c r="N60" i="30"/>
  <c r="N62" i="30"/>
  <c r="AL78" i="29"/>
  <c r="AU50" i="29"/>
  <c r="AU53" i="29"/>
  <c r="AV68" i="29"/>
  <c r="AV75" i="29"/>
  <c r="AU104" i="29"/>
  <c r="AV122" i="29"/>
  <c r="AV124" i="29"/>
  <c r="R43" i="6"/>
  <c r="AN77" i="25"/>
  <c r="AN84" i="25"/>
  <c r="AN131" i="25"/>
  <c r="AN138" i="25"/>
  <c r="CQ10" i="15"/>
  <c r="AO131" i="25"/>
  <c r="R18" i="5"/>
  <c r="AL83" i="29"/>
  <c r="X17" i="1"/>
  <c r="AH13" i="14"/>
  <c r="R45" i="6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CP8" i="15"/>
  <c r="R20" i="5"/>
  <c r="AN86" i="25"/>
  <c r="AN104" i="25"/>
  <c r="AV95" i="29"/>
  <c r="AV101" i="29"/>
  <c r="AO122" i="25"/>
  <c r="AN140" i="25"/>
  <c r="Q79" i="27"/>
  <c r="O6" i="1"/>
  <c r="M48" i="30"/>
  <c r="Q7" i="14"/>
  <c r="AP86" i="25"/>
  <c r="AP93" i="25"/>
  <c r="AP104" i="25"/>
  <c r="M36" i="30"/>
  <c r="YU9" i="15"/>
  <c r="M45" i="30"/>
  <c r="N7" i="14"/>
  <c r="Q78" i="27"/>
  <c r="S6" i="30"/>
  <c r="AC47" i="17"/>
  <c r="AD48" i="17"/>
  <c r="AL77" i="4"/>
  <c r="AK21" i="4"/>
  <c r="O47" i="17"/>
  <c r="W48" i="17"/>
  <c r="AC13" i="30"/>
  <c r="F72" i="1"/>
  <c r="AC131" i="4"/>
  <c r="AL93" i="4"/>
  <c r="AK93" i="4"/>
  <c r="Y6" i="30"/>
  <c r="L13" i="30"/>
  <c r="AB13" i="30"/>
  <c r="M47" i="17"/>
  <c r="R47" i="17"/>
  <c r="U48" i="17"/>
  <c r="AK77" i="4"/>
  <c r="AL61" i="4"/>
  <c r="E72" i="1"/>
  <c r="AL132" i="4"/>
  <c r="AE47" i="17"/>
  <c r="X6" i="30"/>
  <c r="AA13" i="30"/>
  <c r="AE131" i="4"/>
  <c r="AD13" i="30"/>
  <c r="AK61" i="4"/>
  <c r="AB6" i="30"/>
  <c r="AE13" i="30"/>
  <c r="AK41" i="4"/>
  <c r="D13" i="30"/>
  <c r="T13" i="30"/>
  <c r="Q48" i="17"/>
  <c r="S130" i="4"/>
  <c r="S136" i="4" s="1"/>
  <c r="N47" i="17"/>
  <c r="N48" i="17"/>
  <c r="R13" i="5"/>
  <c r="V11" i="1"/>
  <c r="H48" i="17"/>
  <c r="H47" i="17"/>
  <c r="Q6" i="30"/>
  <c r="AF13" i="30"/>
  <c r="Z6" i="30"/>
  <c r="M13" i="30"/>
  <c r="AG13" i="30"/>
  <c r="AA6" i="30"/>
  <c r="N13" i="30"/>
  <c r="I6" i="30"/>
  <c r="AC6" i="30"/>
  <c r="P13" i="30"/>
  <c r="AD6" i="30"/>
  <c r="Q13" i="30"/>
  <c r="K6" i="30"/>
  <c r="AE6" i="30"/>
  <c r="R13" i="30"/>
  <c r="L6" i="30"/>
  <c r="N6" i="30"/>
  <c r="U13" i="30"/>
  <c r="O6" i="30"/>
  <c r="V13" i="30"/>
  <c r="O12" i="1"/>
  <c r="P12" i="1" s="1"/>
  <c r="I12" i="1"/>
  <c r="X16" i="1"/>
  <c r="Q13" i="6"/>
  <c r="W13" i="1"/>
  <c r="Q6" i="6"/>
  <c r="S28" i="4"/>
  <c r="U28" i="4"/>
  <c r="V28" i="4"/>
  <c r="V9" i="4"/>
  <c r="V139" i="4" s="1"/>
  <c r="Z28" i="4"/>
  <c r="AC28" i="4"/>
  <c r="AG28" i="4"/>
  <c r="AK45" i="4"/>
  <c r="AL42" i="4"/>
  <c r="AK49" i="4"/>
  <c r="AS49" i="4"/>
  <c r="J98" i="4"/>
  <c r="AL49" i="4"/>
  <c r="AK111" i="4"/>
  <c r="AQ50" i="4"/>
  <c r="I106" i="4"/>
  <c r="F100" i="4"/>
  <c r="AK65" i="4"/>
  <c r="J100" i="4"/>
  <c r="AL65" i="4"/>
  <c r="F104" i="4"/>
  <c r="AK69" i="4"/>
  <c r="AS66" i="4"/>
  <c r="J104" i="4"/>
  <c r="AL69" i="4"/>
  <c r="F108" i="4"/>
  <c r="AK73" i="4"/>
  <c r="AS67" i="4"/>
  <c r="J108" i="4"/>
  <c r="AL73" i="4"/>
  <c r="J99" i="4"/>
  <c r="AL81" i="4"/>
  <c r="C10" i="28"/>
  <c r="G11" i="24" s="1"/>
  <c r="M151" i="4"/>
  <c r="M148" i="4"/>
  <c r="O151" i="4"/>
  <c r="O148" i="4"/>
  <c r="C13" i="28"/>
  <c r="G14" i="24" s="1"/>
  <c r="P151" i="4"/>
  <c r="AMK7" i="15" s="1"/>
  <c r="P148" i="4"/>
  <c r="C15" i="28"/>
  <c r="G16" i="24" s="1"/>
  <c r="R151" i="4"/>
  <c r="O6" i="14" s="1"/>
  <c r="R148" i="4"/>
  <c r="S151" i="4"/>
  <c r="P6" i="14" s="1"/>
  <c r="C17" i="28"/>
  <c r="G18" i="24" s="1"/>
  <c r="T151" i="4"/>
  <c r="T148" i="4"/>
  <c r="C18" i="28"/>
  <c r="G19" i="24" s="1"/>
  <c r="U151" i="4"/>
  <c r="U148" i="4"/>
  <c r="C19" i="28"/>
  <c r="G20" i="24" s="1"/>
  <c r="V151" i="4"/>
  <c r="S6" i="14" s="1"/>
  <c r="V148" i="4"/>
  <c r="C20" i="28"/>
  <c r="G21" i="24" s="1"/>
  <c r="W151" i="4"/>
  <c r="W148" i="4"/>
  <c r="C23" i="28"/>
  <c r="G24" i="24" s="1"/>
  <c r="Z151" i="4"/>
  <c r="Z148" i="4"/>
  <c r="C24" i="28"/>
  <c r="G25" i="24" s="1"/>
  <c r="AA151" i="4"/>
  <c r="AA82" i="1" s="1"/>
  <c r="AA87" i="1" s="1"/>
  <c r="AA148" i="4"/>
  <c r="C25" i="28"/>
  <c r="G26" i="24" s="1"/>
  <c r="AB151" i="4"/>
  <c r="Y6" i="14" s="1"/>
  <c r="AB148" i="4"/>
  <c r="C26" i="28"/>
  <c r="G27" i="24" s="1"/>
  <c r="AC151" i="4"/>
  <c r="AC148" i="4"/>
  <c r="C27" i="28"/>
  <c r="G28" i="24" s="1"/>
  <c r="AD151" i="4"/>
  <c r="AD148" i="4"/>
  <c r="C28" i="28"/>
  <c r="G29" i="24" s="1"/>
  <c r="AE151" i="4"/>
  <c r="AE148" i="4"/>
  <c r="AF148" i="4"/>
  <c r="C30" i="28"/>
  <c r="G31" i="24" s="1"/>
  <c r="AG151" i="4"/>
  <c r="AD6" i="14" s="1"/>
  <c r="AG148" i="4"/>
  <c r="AH151" i="4"/>
  <c r="ANC7" i="15" s="1"/>
  <c r="C32" i="28"/>
  <c r="G33" i="24" s="1"/>
  <c r="AI151" i="4"/>
  <c r="BAK7" i="15" s="1"/>
  <c r="AI148" i="4"/>
  <c r="AZH10" i="15"/>
  <c r="AMA10" i="15"/>
  <c r="YS10" i="15"/>
  <c r="C10" i="15"/>
  <c r="AZM10" i="15"/>
  <c r="AMF10" i="15"/>
  <c r="AZP10" i="15"/>
  <c r="AMI10" i="15"/>
  <c r="ZA10" i="15"/>
  <c r="K10" i="15"/>
  <c r="AZQ10" i="15"/>
  <c r="AMJ10" i="15"/>
  <c r="ZB10" i="15"/>
  <c r="L10" i="15"/>
  <c r="AZR10" i="15"/>
  <c r="AMK10" i="15"/>
  <c r="ZC10" i="15"/>
  <c r="AZU10" i="15"/>
  <c r="AMN10" i="15"/>
  <c r="ZF10" i="15"/>
  <c r="P10" i="15"/>
  <c r="AZW10" i="15"/>
  <c r="AMP10" i="15"/>
  <c r="ZH10" i="15"/>
  <c r="R10" i="15"/>
  <c r="AZX10" i="15"/>
  <c r="AMQ10" i="15"/>
  <c r="ZI10" i="15"/>
  <c r="S10" i="15"/>
  <c r="AZY10" i="15"/>
  <c r="AMR10" i="15"/>
  <c r="ZJ10" i="15"/>
  <c r="T10" i="15"/>
  <c r="BAA10" i="15"/>
  <c r="AMT10" i="15"/>
  <c r="ZL10" i="15"/>
  <c r="V10" i="15"/>
  <c r="BAC10" i="15"/>
  <c r="AMV10" i="15"/>
  <c r="ZN10" i="15"/>
  <c r="X10" i="15"/>
  <c r="BAD10" i="15"/>
  <c r="AMW10" i="15"/>
  <c r="ZO10" i="15"/>
  <c r="Y10" i="15"/>
  <c r="BAF10" i="15"/>
  <c r="AMY10" i="15"/>
  <c r="ZQ10" i="15"/>
  <c r="AA10" i="15"/>
  <c r="BAG10" i="15"/>
  <c r="AMZ10" i="15"/>
  <c r="ZR10" i="15"/>
  <c r="AB10" i="15"/>
  <c r="BAH10" i="15"/>
  <c r="ANA10" i="15"/>
  <c r="ZS10" i="15"/>
  <c r="AC10" i="15"/>
  <c r="BAI10" i="15"/>
  <c r="ANB10" i="15"/>
  <c r="ZT10" i="15"/>
  <c r="AD10" i="15"/>
  <c r="BAJ10" i="15"/>
  <c r="ANC10" i="15"/>
  <c r="ZU10" i="15"/>
  <c r="AE10" i="15"/>
  <c r="BAK10" i="15"/>
  <c r="AND10" i="15"/>
  <c r="ZV10" i="15"/>
  <c r="AF10" i="15"/>
  <c r="AML9" i="15"/>
  <c r="O7" i="14"/>
  <c r="AZT9" i="15"/>
  <c r="AMM9" i="15"/>
  <c r="ZE9" i="15"/>
  <c r="P7" i="14"/>
  <c r="AZU9" i="15"/>
  <c r="AMN9" i="15"/>
  <c r="ZF9" i="15"/>
  <c r="R7" i="14"/>
  <c r="AZW9" i="15"/>
  <c r="AMP9" i="15"/>
  <c r="ZH9" i="15"/>
  <c r="S7" i="14"/>
  <c r="AZX9" i="15"/>
  <c r="AMQ9" i="15"/>
  <c r="ZI9" i="15"/>
  <c r="U7" i="14"/>
  <c r="AZZ9" i="15"/>
  <c r="AMS9" i="15"/>
  <c r="ZK9" i="15"/>
  <c r="V7" i="14"/>
  <c r="BAA9" i="15"/>
  <c r="AMT9" i="15"/>
  <c r="ZL9" i="15"/>
  <c r="W7" i="14"/>
  <c r="BAB9" i="15"/>
  <c r="AMU9" i="15"/>
  <c r="ZM9" i="15"/>
  <c r="Y7" i="14"/>
  <c r="BAD9" i="15"/>
  <c r="AMW9" i="15"/>
  <c r="ZO9" i="15"/>
  <c r="Z7" i="14"/>
  <c r="BAE9" i="15"/>
  <c r="AMX9" i="15"/>
  <c r="ZP9" i="15"/>
  <c r="AA7" i="14"/>
  <c r="BAF9" i="15"/>
  <c r="AMY9" i="15"/>
  <c r="ZQ9" i="15"/>
  <c r="AC7" i="14"/>
  <c r="BAH9" i="15"/>
  <c r="ANA9" i="15"/>
  <c r="ZS9" i="15"/>
  <c r="AD7" i="14"/>
  <c r="BAI9" i="15"/>
  <c r="ANB9" i="15"/>
  <c r="ZT9" i="15"/>
  <c r="AE7" i="14"/>
  <c r="BAJ9" i="15"/>
  <c r="ANC9" i="15"/>
  <c r="ZU9" i="15"/>
  <c r="AG7" i="14"/>
  <c r="BAL9" i="15"/>
  <c r="ANE9" i="15"/>
  <c r="ZW9" i="15"/>
  <c r="D4" i="24"/>
  <c r="F4" i="24" s="1"/>
  <c r="H4" i="24" s="1"/>
  <c r="M197" i="4"/>
  <c r="I88" i="1" s="1"/>
  <c r="D12" i="24"/>
  <c r="N197" i="4"/>
  <c r="J88" i="1" s="1"/>
  <c r="D14" i="24"/>
  <c r="P197" i="4"/>
  <c r="L88" i="1" s="1"/>
  <c r="D17" i="24"/>
  <c r="W197" i="4"/>
  <c r="W88" i="1" s="1"/>
  <c r="D27" i="24"/>
  <c r="AC197" i="4"/>
  <c r="AC88" i="1" s="1"/>
  <c r="D28" i="24"/>
  <c r="AD197" i="4"/>
  <c r="AD88" i="1" s="1"/>
  <c r="D29" i="24"/>
  <c r="F29" i="24" s="1"/>
  <c r="H29" i="24" s="1"/>
  <c r="AE197" i="4"/>
  <c r="AE88" i="1" s="1"/>
  <c r="AF197" i="4"/>
  <c r="AF88" i="1" s="1"/>
  <c r="AG197" i="4"/>
  <c r="AG88" i="1"/>
  <c r="F221" i="4"/>
  <c r="AK220" i="4"/>
  <c r="D6" i="17"/>
  <c r="E6" i="17" s="1"/>
  <c r="F6" i="17" s="1"/>
  <c r="D9" i="17"/>
  <c r="E9" i="17" s="1"/>
  <c r="D12" i="17"/>
  <c r="E12" i="17" s="1"/>
  <c r="F12" i="17" s="1"/>
  <c r="E48" i="17"/>
  <c r="H41" i="5"/>
  <c r="R26" i="5"/>
  <c r="V13" i="1" s="1"/>
  <c r="X13" i="1" s="1"/>
  <c r="H38" i="5"/>
  <c r="H42" i="5"/>
  <c r="E56" i="13"/>
  <c r="E57" i="13"/>
  <c r="I20" i="19"/>
  <c r="H20" i="19"/>
  <c r="G20" i="19"/>
  <c r="F20" i="19"/>
  <c r="E20" i="19"/>
  <c r="D20" i="19"/>
  <c r="R20" i="19"/>
  <c r="Q20" i="19"/>
  <c r="P20" i="19"/>
  <c r="O20" i="19"/>
  <c r="N20" i="19"/>
  <c r="M20" i="19"/>
  <c r="AQ9" i="25"/>
  <c r="AQ14" i="25"/>
  <c r="AO57" i="25"/>
  <c r="AO56" i="25"/>
  <c r="AO55" i="25"/>
  <c r="AO54" i="25"/>
  <c r="AO53" i="25"/>
  <c r="AO52" i="25"/>
  <c r="AO51" i="25"/>
  <c r="AN57" i="25"/>
  <c r="AN56" i="25"/>
  <c r="AN55" i="25"/>
  <c r="AN54" i="25"/>
  <c r="AN53" i="25"/>
  <c r="AN52" i="25"/>
  <c r="AN51" i="25"/>
  <c r="AS50" i="25"/>
  <c r="AP57" i="25"/>
  <c r="AP56" i="25"/>
  <c r="AP55" i="25"/>
  <c r="AP54" i="25"/>
  <c r="AP53" i="25"/>
  <c r="AP52" i="25"/>
  <c r="AP51" i="25"/>
  <c r="AN66" i="25"/>
  <c r="AN65" i="25"/>
  <c r="AN64" i="25"/>
  <c r="AN63" i="25"/>
  <c r="AN62" i="25"/>
  <c r="AN61" i="25"/>
  <c r="AN60" i="25"/>
  <c r="AP66" i="25"/>
  <c r="AP65" i="25"/>
  <c r="AP64" i="25"/>
  <c r="AP63" i="25"/>
  <c r="AP62" i="25"/>
  <c r="AP61" i="25"/>
  <c r="AP60" i="25"/>
  <c r="AN75" i="25"/>
  <c r="AN74" i="25"/>
  <c r="AN73" i="25"/>
  <c r="AN72" i="25"/>
  <c r="AN71" i="25"/>
  <c r="AN70" i="25"/>
  <c r="AN69" i="25"/>
  <c r="AO75" i="25"/>
  <c r="AO74" i="25"/>
  <c r="AO73" i="25"/>
  <c r="AO72" i="25"/>
  <c r="AO71" i="25"/>
  <c r="AO70" i="25"/>
  <c r="AO69" i="25"/>
  <c r="AO84" i="25"/>
  <c r="AO83" i="25"/>
  <c r="AO82" i="25"/>
  <c r="AO81" i="25"/>
  <c r="AO80" i="25"/>
  <c r="AO79" i="25"/>
  <c r="AO78" i="25"/>
  <c r="AP84" i="25"/>
  <c r="AP83" i="25"/>
  <c r="AP82" i="25"/>
  <c r="AP81" i="25"/>
  <c r="AP80" i="25"/>
  <c r="AP79" i="25"/>
  <c r="AP78" i="25"/>
  <c r="AO102" i="25"/>
  <c r="AO101" i="25"/>
  <c r="AO100" i="25"/>
  <c r="AO99" i="25"/>
  <c r="AO98" i="25"/>
  <c r="AO97" i="25"/>
  <c r="AO96" i="25"/>
  <c r="AP102" i="25"/>
  <c r="AP101" i="25"/>
  <c r="AP100" i="25"/>
  <c r="AP99" i="25"/>
  <c r="AP98" i="25"/>
  <c r="AP97" i="25"/>
  <c r="AP96" i="25"/>
  <c r="AL105" i="25"/>
  <c r="AH105" i="25"/>
  <c r="AI105" i="25"/>
  <c r="AL106" i="25"/>
  <c r="AH106" i="25"/>
  <c r="AI106" i="25"/>
  <c r="AL107" i="25"/>
  <c r="AH107" i="25"/>
  <c r="AI107" i="25"/>
  <c r="AL108" i="25"/>
  <c r="AH108" i="25"/>
  <c r="AI108" i="25"/>
  <c r="AL109" i="25"/>
  <c r="AH109" i="25"/>
  <c r="AI109" i="25"/>
  <c r="AL110" i="25"/>
  <c r="AH110" i="25"/>
  <c r="AI110" i="25"/>
  <c r="AL111" i="25"/>
  <c r="AH111" i="25"/>
  <c r="AI111" i="25"/>
  <c r="AN120" i="25"/>
  <c r="AN119" i="25"/>
  <c r="AN118" i="25"/>
  <c r="AN117" i="25"/>
  <c r="AN116" i="25"/>
  <c r="AN115" i="25"/>
  <c r="AN114" i="25"/>
  <c r="AS113" i="25"/>
  <c r="AO120" i="25"/>
  <c r="AO119" i="25"/>
  <c r="AO118" i="25"/>
  <c r="AO117" i="25"/>
  <c r="AO116" i="25"/>
  <c r="AO115" i="25"/>
  <c r="AO114" i="25"/>
  <c r="AP120" i="25"/>
  <c r="AP119" i="25"/>
  <c r="AP118" i="25"/>
  <c r="AP117" i="25"/>
  <c r="AP116" i="25"/>
  <c r="AP115" i="25"/>
  <c r="AP114" i="25"/>
  <c r="AJ132" i="25"/>
  <c r="AJ133" i="25"/>
  <c r="AJ134" i="25"/>
  <c r="AJ135" i="25"/>
  <c r="AJ136" i="25"/>
  <c r="AJ137" i="25"/>
  <c r="AJ138" i="25"/>
  <c r="AK141" i="25"/>
  <c r="AO141" i="25"/>
  <c r="AK142" i="25"/>
  <c r="AO142" i="25"/>
  <c r="AK143" i="25"/>
  <c r="AO143" i="25"/>
  <c r="AK144" i="25"/>
  <c r="AO144" i="25"/>
  <c r="AK145" i="25"/>
  <c r="AO145" i="25"/>
  <c r="AK146" i="25"/>
  <c r="AO146" i="25"/>
  <c r="AK147" i="25"/>
  <c r="AO147" i="25"/>
  <c r="AW9" i="29"/>
  <c r="AW14" i="29"/>
  <c r="AT57" i="29"/>
  <c r="AT56" i="29"/>
  <c r="AT55" i="29"/>
  <c r="AT54" i="29"/>
  <c r="AT53" i="29"/>
  <c r="AT52" i="29"/>
  <c r="AT51" i="29"/>
  <c r="AV57" i="29"/>
  <c r="AV56" i="29"/>
  <c r="AV55" i="29"/>
  <c r="AV54" i="29"/>
  <c r="AV53" i="29"/>
  <c r="AV52" i="29"/>
  <c r="AV51" i="29"/>
  <c r="AT66" i="29"/>
  <c r="AT65" i="29"/>
  <c r="AT64" i="29"/>
  <c r="AT63" i="29"/>
  <c r="AT62" i="29"/>
  <c r="AT61" i="29"/>
  <c r="AT60" i="29"/>
  <c r="AY59" i="29"/>
  <c r="AU65" i="29"/>
  <c r="AU64" i="29"/>
  <c r="AU63" i="29"/>
  <c r="AU62" i="29"/>
  <c r="AU61" i="29"/>
  <c r="AV66" i="29"/>
  <c r="AV65" i="29"/>
  <c r="AV64" i="29"/>
  <c r="AV63" i="29"/>
  <c r="AV62" i="29"/>
  <c r="AV61" i="29"/>
  <c r="AV60" i="29"/>
  <c r="AT75" i="29"/>
  <c r="AT74" i="29"/>
  <c r="AT73" i="29"/>
  <c r="AT72" i="29"/>
  <c r="AT71" i="29"/>
  <c r="AT70" i="29"/>
  <c r="AT69" i="29"/>
  <c r="AU75" i="29"/>
  <c r="AU74" i="29"/>
  <c r="AU73" i="29"/>
  <c r="AU72" i="29"/>
  <c r="AU71" i="29"/>
  <c r="AU70" i="29"/>
  <c r="AU69" i="29"/>
  <c r="AT84" i="29"/>
  <c r="AT83" i="29"/>
  <c r="AT78" i="29"/>
  <c r="AV84" i="29"/>
  <c r="AV83" i="29"/>
  <c r="AV82" i="29"/>
  <c r="AV81" i="29"/>
  <c r="AV80" i="29"/>
  <c r="AV79" i="29"/>
  <c r="AV78" i="29"/>
  <c r="AV93" i="29"/>
  <c r="AV92" i="29"/>
  <c r="AV91" i="29"/>
  <c r="AV90" i="29"/>
  <c r="AV89" i="29"/>
  <c r="AV88" i="29"/>
  <c r="AV87" i="29"/>
  <c r="AV111" i="29"/>
  <c r="AV110" i="29"/>
  <c r="AV109" i="29"/>
  <c r="AV108" i="29"/>
  <c r="AV107" i="29"/>
  <c r="AV106" i="29"/>
  <c r="AV105" i="29"/>
  <c r="AT120" i="29"/>
  <c r="AT119" i="29"/>
  <c r="AT118" i="29"/>
  <c r="AT117" i="29"/>
  <c r="AT116" i="29"/>
  <c r="AT115" i="29"/>
  <c r="AT114" i="29"/>
  <c r="AY113" i="29"/>
  <c r="AU120" i="29"/>
  <c r="AU119" i="29"/>
  <c r="AU118" i="29"/>
  <c r="AU117" i="29"/>
  <c r="AU116" i="29"/>
  <c r="AU115" i="29"/>
  <c r="AU114" i="29"/>
  <c r="AV120" i="29"/>
  <c r="AV119" i="29"/>
  <c r="AV118" i="29"/>
  <c r="AV117" i="29"/>
  <c r="AV116" i="29"/>
  <c r="AV115" i="29"/>
  <c r="AV114" i="29"/>
  <c r="AU129" i="29"/>
  <c r="AU128" i="29"/>
  <c r="AU127" i="29"/>
  <c r="AU126" i="29"/>
  <c r="AU125" i="29"/>
  <c r="AU124" i="29"/>
  <c r="AU123" i="29"/>
  <c r="J138" i="29"/>
  <c r="AH138" i="29"/>
  <c r="J137" i="29"/>
  <c r="AH137" i="29"/>
  <c r="J136" i="29"/>
  <c r="AH136" i="29"/>
  <c r="J135" i="29"/>
  <c r="AH135" i="29"/>
  <c r="J134" i="29"/>
  <c r="AH134" i="29"/>
  <c r="B134" i="29"/>
  <c r="J133" i="29"/>
  <c r="AH133" i="29"/>
  <c r="J132" i="29"/>
  <c r="AH132" i="29"/>
  <c r="AH131" i="29"/>
  <c r="L138" i="29"/>
  <c r="AP138" i="29"/>
  <c r="L137" i="29"/>
  <c r="AP137" i="29"/>
  <c r="L136" i="29"/>
  <c r="AP136" i="29"/>
  <c r="L135" i="29"/>
  <c r="AP135" i="29"/>
  <c r="L134" i="29"/>
  <c r="AP134" i="29"/>
  <c r="L133" i="29"/>
  <c r="AP133" i="29"/>
  <c r="L132" i="29"/>
  <c r="AP132" i="29"/>
  <c r="AP131" i="29"/>
  <c r="O131" i="29"/>
  <c r="M138" i="29"/>
  <c r="M137" i="29"/>
  <c r="M136" i="29"/>
  <c r="M135" i="29"/>
  <c r="M134" i="29"/>
  <c r="M133" i="29"/>
  <c r="M132" i="29"/>
  <c r="P138" i="29"/>
  <c r="AI138" i="29"/>
  <c r="P137" i="29"/>
  <c r="AI137" i="29"/>
  <c r="P136" i="29"/>
  <c r="AI136" i="29"/>
  <c r="P135" i="29"/>
  <c r="AI135" i="29"/>
  <c r="P134" i="29"/>
  <c r="AI134" i="29"/>
  <c r="P133" i="29"/>
  <c r="AI133" i="29"/>
  <c r="P132" i="29"/>
  <c r="AI132" i="29"/>
  <c r="AI131" i="29"/>
  <c r="Q138" i="29"/>
  <c r="AL138" i="29"/>
  <c r="Q137" i="29"/>
  <c r="AL137" i="29"/>
  <c r="Q136" i="29"/>
  <c r="AL136" i="29"/>
  <c r="Q135" i="29"/>
  <c r="AL135" i="29"/>
  <c r="Q134" i="29"/>
  <c r="AL134" i="29"/>
  <c r="Q133" i="29"/>
  <c r="AL133" i="29"/>
  <c r="B133" i="29"/>
  <c r="Q132" i="29"/>
  <c r="AL132" i="29"/>
  <c r="AL131" i="29"/>
  <c r="S138" i="29"/>
  <c r="AJ138" i="29"/>
  <c r="S137" i="29"/>
  <c r="AJ137" i="29"/>
  <c r="S136" i="29"/>
  <c r="AJ136" i="29"/>
  <c r="S135" i="29"/>
  <c r="AJ135" i="29"/>
  <c r="S134" i="29"/>
  <c r="AJ134" i="29"/>
  <c r="S133" i="29"/>
  <c r="AJ133" i="29"/>
  <c r="S132" i="29"/>
  <c r="AJ132" i="29"/>
  <c r="AJ131" i="29"/>
  <c r="T138" i="29"/>
  <c r="AM138" i="29"/>
  <c r="T137" i="29"/>
  <c r="AM137" i="29"/>
  <c r="T136" i="29"/>
  <c r="AM136" i="29"/>
  <c r="T135" i="29"/>
  <c r="AM135" i="29"/>
  <c r="T134" i="29"/>
  <c r="AM134" i="29"/>
  <c r="T133" i="29"/>
  <c r="AM133" i="29"/>
  <c r="T132" i="29"/>
  <c r="AM132" i="29"/>
  <c r="AM131" i="29"/>
  <c r="V138" i="29"/>
  <c r="AK138" i="29"/>
  <c r="V137" i="29"/>
  <c r="AK137" i="29"/>
  <c r="V136" i="29"/>
  <c r="AK136" i="29"/>
  <c r="V135" i="29"/>
  <c r="AK135" i="29"/>
  <c r="V134" i="29"/>
  <c r="AK134" i="29"/>
  <c r="V133" i="29"/>
  <c r="AK133" i="29"/>
  <c r="V132" i="29"/>
  <c r="AK132" i="29"/>
  <c r="AK131" i="29"/>
  <c r="W138" i="29"/>
  <c r="AN138" i="29"/>
  <c r="W137" i="29"/>
  <c r="AN137" i="29"/>
  <c r="W136" i="29"/>
  <c r="AN136" i="29"/>
  <c r="W135" i="29"/>
  <c r="AN135" i="29"/>
  <c r="W134" i="29"/>
  <c r="AN134" i="29"/>
  <c r="W133" i="29"/>
  <c r="AN133" i="29"/>
  <c r="W132" i="29"/>
  <c r="AN132" i="29"/>
  <c r="AN131" i="29"/>
  <c r="U147" i="29"/>
  <c r="AQ147" i="29"/>
  <c r="U146" i="29"/>
  <c r="AQ146" i="29"/>
  <c r="U145" i="29"/>
  <c r="AQ145" i="29"/>
  <c r="U144" i="29"/>
  <c r="AQ144" i="29"/>
  <c r="U143" i="29"/>
  <c r="AQ143" i="29"/>
  <c r="U142" i="29"/>
  <c r="AQ142" i="29"/>
  <c r="U141" i="29"/>
  <c r="AQ141" i="29"/>
  <c r="AQ140" i="29"/>
  <c r="V147" i="29"/>
  <c r="AH147" i="29"/>
  <c r="V146" i="29"/>
  <c r="AH146" i="29"/>
  <c r="V145" i="29"/>
  <c r="AH145" i="29"/>
  <c r="V144" i="29"/>
  <c r="AH144" i="29"/>
  <c r="V143" i="29"/>
  <c r="AH143" i="29"/>
  <c r="V142" i="29"/>
  <c r="AH142" i="29"/>
  <c r="V141" i="29"/>
  <c r="AH141" i="29"/>
  <c r="AH140" i="29"/>
  <c r="W147" i="29"/>
  <c r="AL147" i="29"/>
  <c r="W146" i="29"/>
  <c r="AL146" i="29"/>
  <c r="W145" i="29"/>
  <c r="AL145" i="29"/>
  <c r="W144" i="29"/>
  <c r="AL144" i="29"/>
  <c r="W143" i="29"/>
  <c r="AL143" i="29"/>
  <c r="W142" i="29"/>
  <c r="AL142" i="29"/>
  <c r="W141" i="29"/>
  <c r="AL141" i="29"/>
  <c r="AL140" i="29"/>
  <c r="Z147" i="29"/>
  <c r="AM147" i="29"/>
  <c r="Z146" i="29"/>
  <c r="AM146" i="29"/>
  <c r="Z145" i="29"/>
  <c r="AM145" i="29"/>
  <c r="Z144" i="29"/>
  <c r="AM144" i="29"/>
  <c r="Z143" i="29"/>
  <c r="AM143" i="29"/>
  <c r="Z142" i="29"/>
  <c r="AM142" i="29"/>
  <c r="Z141" i="29"/>
  <c r="AM141" i="29"/>
  <c r="AM140" i="29"/>
  <c r="C91" i="27"/>
  <c r="Q77" i="27"/>
  <c r="Q88" i="27"/>
  <c r="C110" i="27"/>
  <c r="C6" i="30"/>
  <c r="AH3" i="30"/>
  <c r="C18" i="30"/>
  <c r="J96" i="30"/>
  <c r="N34" i="30"/>
  <c r="K31" i="18"/>
  <c r="L7" i="18"/>
  <c r="N6" i="18"/>
  <c r="G47" i="17"/>
  <c r="G48" i="17"/>
  <c r="G7" i="14"/>
  <c r="AME9" i="15"/>
  <c r="AZL9" i="15"/>
  <c r="YW9" i="15"/>
  <c r="F96" i="30"/>
  <c r="AK81" i="4"/>
  <c r="AS81" i="4"/>
  <c r="I148" i="4"/>
  <c r="I151" i="4"/>
  <c r="AZK7" i="15" s="1"/>
  <c r="F10" i="15"/>
  <c r="AMD10" i="15"/>
  <c r="AZK10" i="15"/>
  <c r="K6" i="1"/>
  <c r="H197" i="4"/>
  <c r="D88" i="1" s="1"/>
  <c r="E6" i="24"/>
  <c r="E47" i="17"/>
  <c r="D6" i="24"/>
  <c r="H151" i="4"/>
  <c r="AZJ7" i="15" s="1"/>
  <c r="H148" i="4"/>
  <c r="J11" i="1"/>
  <c r="I8" i="5"/>
  <c r="D20" i="17"/>
  <c r="G9" i="4"/>
  <c r="G139" i="4" s="1"/>
  <c r="D7" i="15"/>
  <c r="AH10" i="30"/>
  <c r="AMB10" i="15"/>
  <c r="G98" i="4"/>
  <c r="YT10" i="15"/>
  <c r="AZI10" i="15"/>
  <c r="G102" i="4"/>
  <c r="C21" i="17"/>
  <c r="C47" i="17"/>
  <c r="M34" i="30"/>
  <c r="AO66" i="25"/>
  <c r="AO64" i="25"/>
  <c r="AO61" i="25"/>
  <c r="AS59" i="25"/>
  <c r="AO65" i="25"/>
  <c r="AO63" i="25"/>
  <c r="AO62" i="25"/>
  <c r="AO60" i="25"/>
  <c r="AT87" i="29"/>
  <c r="AT93" i="29"/>
  <c r="AT92" i="29"/>
  <c r="AT91" i="29"/>
  <c r="AT90" i="29"/>
  <c r="AT89" i="29"/>
  <c r="AT88" i="29"/>
  <c r="AY86" i="29"/>
  <c r="AU91" i="29"/>
  <c r="AU90" i="29"/>
  <c r="AU89" i="29"/>
  <c r="AU88" i="29"/>
  <c r="AT96" i="29"/>
  <c r="AT98" i="29"/>
  <c r="AO128" i="25"/>
  <c r="AO129" i="25"/>
  <c r="AN147" i="25"/>
  <c r="AN146" i="25"/>
  <c r="AN145" i="25"/>
  <c r="AN144" i="25"/>
  <c r="AN143" i="25"/>
  <c r="AN142" i="25"/>
  <c r="AN141" i="25"/>
  <c r="AP74" i="25"/>
  <c r="AP75" i="25"/>
  <c r="AY104" i="29"/>
  <c r="AP73" i="25"/>
  <c r="AP72" i="25"/>
  <c r="AP71" i="25"/>
  <c r="AP70" i="25"/>
  <c r="AP69" i="25"/>
  <c r="L10" i="6"/>
  <c r="M10" i="6"/>
  <c r="T11" i="1"/>
  <c r="S26" i="20" s="1"/>
  <c r="AN102" i="25"/>
  <c r="AN98" i="25"/>
  <c r="AN92" i="25"/>
  <c r="AN93" i="25"/>
  <c r="AN91" i="25"/>
  <c r="AN88" i="25"/>
  <c r="J23" i="23"/>
  <c r="AN80" i="25"/>
  <c r="AS77" i="25"/>
  <c r="AO93" i="25"/>
  <c r="AO91" i="25"/>
  <c r="AN82" i="25"/>
  <c r="AN78" i="25"/>
  <c r="AO92" i="25"/>
  <c r="AO89" i="25"/>
  <c r="AN81" i="25"/>
  <c r="AN79" i="25"/>
  <c r="AO90" i="25"/>
  <c r="AO110" i="25"/>
  <c r="AU56" i="29"/>
  <c r="AP107" i="25"/>
  <c r="AP108" i="25"/>
  <c r="AP110" i="25"/>
  <c r="AN126" i="25"/>
  <c r="AN125" i="25"/>
  <c r="AN124" i="25"/>
  <c r="AN123" i="25"/>
  <c r="AS122" i="25"/>
  <c r="AP124" i="25"/>
  <c r="AN132" i="25"/>
  <c r="AS131" i="25"/>
  <c r="AP138" i="25"/>
  <c r="AP137" i="25"/>
  <c r="AP136" i="25"/>
  <c r="AP135" i="25"/>
  <c r="AO132" i="25"/>
  <c r="AO133" i="25"/>
  <c r="AO134" i="25"/>
  <c r="AO135" i="25"/>
  <c r="AO136" i="25"/>
  <c r="AO137" i="25"/>
  <c r="AO138" i="25"/>
  <c r="AT97" i="29"/>
  <c r="AV102" i="29"/>
  <c r="AV97" i="29"/>
  <c r="AV96" i="29"/>
  <c r="AT111" i="29"/>
  <c r="AT105" i="29"/>
  <c r="AT129" i="29"/>
  <c r="AT128" i="29"/>
  <c r="AT127" i="29"/>
  <c r="AT126" i="29"/>
  <c r="AT123" i="29"/>
  <c r="J13" i="23"/>
  <c r="AP147" i="25"/>
  <c r="AS140" i="25"/>
  <c r="AN127" i="25"/>
  <c r="AT106" i="29"/>
  <c r="AN134" i="25"/>
  <c r="AN83" i="25"/>
  <c r="AT107" i="29"/>
  <c r="AN135" i="25"/>
  <c r="AN133" i="25"/>
  <c r="AT108" i="29"/>
  <c r="AU52" i="29"/>
  <c r="AT124" i="29"/>
  <c r="AT109" i="29"/>
  <c r="AU54" i="29"/>
  <c r="AN137" i="25"/>
  <c r="AO108" i="25"/>
  <c r="AN96" i="25"/>
  <c r="AP146" i="25"/>
  <c r="AU105" i="29"/>
  <c r="AN129" i="25"/>
  <c r="AN136" i="25"/>
  <c r="AS95" i="25"/>
  <c r="AS98" i="25"/>
  <c r="AU87" i="29"/>
  <c r="AU55" i="29"/>
  <c r="AO109" i="25"/>
  <c r="AN97" i="25"/>
  <c r="AU101" i="29"/>
  <c r="AV125" i="29"/>
  <c r="AU102" i="29"/>
  <c r="AY77" i="29"/>
  <c r="AY78" i="29"/>
  <c r="AU57" i="29"/>
  <c r="AO123" i="25"/>
  <c r="AO111" i="25"/>
  <c r="AN99" i="25"/>
  <c r="AO124" i="25"/>
  <c r="AS104" i="25"/>
  <c r="AN100" i="25"/>
  <c r="AV98" i="29"/>
  <c r="AT79" i="29"/>
  <c r="AO125" i="25"/>
  <c r="AN101" i="25"/>
  <c r="AV99" i="29"/>
  <c r="AU92" i="29"/>
  <c r="AT80" i="29"/>
  <c r="AO126" i="25"/>
  <c r="AV100" i="29"/>
  <c r="AU93" i="29"/>
  <c r="AT81" i="29"/>
  <c r="AO127" i="25"/>
  <c r="AP109" i="25"/>
  <c r="AO87" i="25"/>
  <c r="BD21" i="32"/>
  <c r="BD18" i="32"/>
  <c r="AV69" i="29"/>
  <c r="AU60" i="29"/>
  <c r="AP123" i="25"/>
  <c r="BC21" i="32"/>
  <c r="AV73" i="29"/>
  <c r="AU96" i="29"/>
  <c r="AU80" i="29"/>
  <c r="AP141" i="25"/>
  <c r="AP126" i="25"/>
  <c r="BB21" i="32"/>
  <c r="AU97" i="29"/>
  <c r="AU81" i="29"/>
  <c r="AP142" i="25"/>
  <c r="AP127" i="25"/>
  <c r="AP105" i="25"/>
  <c r="AU98" i="29"/>
  <c r="AP143" i="25"/>
  <c r="AP132" i="25"/>
  <c r="AP128" i="25"/>
  <c r="AO105" i="25"/>
  <c r="BE21" i="32"/>
  <c r="AU99" i="29"/>
  <c r="AU83" i="29"/>
  <c r="AP144" i="25"/>
  <c r="AP133" i="25"/>
  <c r="AP129" i="25"/>
  <c r="AP111" i="25"/>
  <c r="AO106" i="25"/>
  <c r="AU78" i="29"/>
  <c r="AP106" i="25"/>
  <c r="AU79" i="29"/>
  <c r="AU82" i="29"/>
  <c r="AY68" i="29"/>
  <c r="AY75" i="29"/>
  <c r="AZ18" i="32"/>
  <c r="BA18" i="32"/>
  <c r="BB18" i="32"/>
  <c r="K5" i="14"/>
  <c r="Q5" i="32"/>
  <c r="R5" i="32"/>
  <c r="S5" i="32"/>
  <c r="T5" i="32"/>
  <c r="U5" i="32"/>
  <c r="AZQ9" i="15"/>
  <c r="L7" i="14"/>
  <c r="AZP9" i="15"/>
  <c r="K7" i="14"/>
  <c r="AMH9" i="15"/>
  <c r="AMF9" i="15"/>
  <c r="YV9" i="15"/>
  <c r="YX9" i="15"/>
  <c r="ZD9" i="15"/>
  <c r="H7" i="14"/>
  <c r="AZS9" i="15"/>
  <c r="YZ9" i="15"/>
  <c r="ZR9" i="15"/>
  <c r="ZJ9" i="15"/>
  <c r="AMR9" i="15"/>
  <c r="AZY9" i="15"/>
  <c r="T7" i="14"/>
  <c r="ZN9" i="15"/>
  <c r="AMV9" i="15"/>
  <c r="BAC9" i="15"/>
  <c r="X7" i="14"/>
  <c r="ZV9" i="15"/>
  <c r="AND9" i="15"/>
  <c r="BAK9" i="15"/>
  <c r="L32" i="19"/>
  <c r="R8" i="5"/>
  <c r="V8" i="1" s="1"/>
  <c r="X8" i="1" s="1"/>
  <c r="J8" i="1"/>
  <c r="M24" i="20" s="1"/>
  <c r="ZA9" i="15"/>
  <c r="AMI9" i="15"/>
  <c r="AMD9" i="15"/>
  <c r="AZR9" i="15"/>
  <c r="J7" i="14"/>
  <c r="AZV9" i="15"/>
  <c r="ZC9" i="15"/>
  <c r="YY9" i="15"/>
  <c r="AZK9" i="15"/>
  <c r="AMK9" i="15"/>
  <c r="F7" i="14"/>
  <c r="AMB9" i="15"/>
  <c r="ZB9" i="15"/>
  <c r="AMG9" i="15"/>
  <c r="D7" i="14"/>
  <c r="YT9" i="15"/>
  <c r="AZN9" i="15"/>
  <c r="AZJ9" i="15"/>
  <c r="AV70" i="29"/>
  <c r="AV71" i="29"/>
  <c r="AMC9" i="15"/>
  <c r="AV72" i="29"/>
  <c r="AN87" i="25"/>
  <c r="E7" i="14"/>
  <c r="AV74" i="29"/>
  <c r="AN89" i="25"/>
  <c r="AN90" i="25"/>
  <c r="AV126" i="29"/>
  <c r="AV127" i="29"/>
  <c r="AU106" i="29"/>
  <c r="AT99" i="29"/>
  <c r="AV129" i="29"/>
  <c r="AU108" i="29"/>
  <c r="AT101" i="29"/>
  <c r="AH176" i="29"/>
  <c r="AT100" i="29"/>
  <c r="AU109" i="29"/>
  <c r="AT102" i="29"/>
  <c r="AY50" i="29"/>
  <c r="AY57" i="29"/>
  <c r="AH177" i="29"/>
  <c r="AV128" i="29"/>
  <c r="AU107" i="29"/>
  <c r="AU110" i="29"/>
  <c r="AH178" i="29"/>
  <c r="AS86" i="25"/>
  <c r="AS89" i="25"/>
  <c r="AU111" i="29"/>
  <c r="AH179" i="29"/>
  <c r="AH181" i="29"/>
  <c r="AP88" i="25"/>
  <c r="AP87" i="25"/>
  <c r="AH182" i="29"/>
  <c r="AP89" i="25"/>
  <c r="AP90" i="25"/>
  <c r="AY122" i="29"/>
  <c r="AP91" i="25"/>
  <c r="ZG9" i="15"/>
  <c r="AU51" i="29"/>
  <c r="AP92" i="25"/>
  <c r="AMO9" i="15"/>
  <c r="AY95" i="29"/>
  <c r="AY101" i="29"/>
  <c r="AV123" i="29"/>
  <c r="AG6" i="15"/>
  <c r="BAG9" i="15"/>
  <c r="AMZ9" i="15"/>
  <c r="ANE6" i="15"/>
  <c r="Q80" i="27"/>
  <c r="AMI6" i="15"/>
  <c r="ZA6" i="15"/>
  <c r="K6" i="15"/>
  <c r="AZP6" i="15"/>
  <c r="AN49" i="4"/>
  <c r="L8" i="18"/>
  <c r="N7" i="18"/>
  <c r="K32" i="18"/>
  <c r="D5" i="28"/>
  <c r="D6" i="28" s="1"/>
  <c r="I110" i="27"/>
  <c r="H110" i="27"/>
  <c r="G110" i="27"/>
  <c r="F110" i="27"/>
  <c r="E110" i="27"/>
  <c r="D110" i="27"/>
  <c r="W88" i="27"/>
  <c r="V88" i="27"/>
  <c r="U88" i="27"/>
  <c r="T88" i="27"/>
  <c r="S88" i="27"/>
  <c r="R88" i="27"/>
  <c r="I91" i="27"/>
  <c r="H91" i="27"/>
  <c r="G91" i="27"/>
  <c r="F91" i="27"/>
  <c r="E91" i="27"/>
  <c r="D91" i="27"/>
  <c r="AU140" i="29"/>
  <c r="AU131" i="29"/>
  <c r="O138" i="29"/>
  <c r="AQ138" i="29"/>
  <c r="O137" i="29"/>
  <c r="AQ137" i="29"/>
  <c r="O136" i="29"/>
  <c r="AQ136" i="29"/>
  <c r="O135" i="29"/>
  <c r="AQ135" i="29"/>
  <c r="O134" i="29"/>
  <c r="AQ134" i="29"/>
  <c r="O133" i="29"/>
  <c r="AQ133" i="29"/>
  <c r="O132" i="29"/>
  <c r="AQ132" i="29"/>
  <c r="AQ131" i="29"/>
  <c r="O39" i="29"/>
  <c r="R131" i="29"/>
  <c r="B135" i="29"/>
  <c r="AT131" i="29"/>
  <c r="AY120" i="29"/>
  <c r="AY119" i="29"/>
  <c r="AY118" i="29"/>
  <c r="AY117" i="29"/>
  <c r="AY116" i="29"/>
  <c r="AY115" i="29"/>
  <c r="AY114" i="29"/>
  <c r="AY93" i="29"/>
  <c r="AY92" i="29"/>
  <c r="AY91" i="29"/>
  <c r="AY90" i="29"/>
  <c r="AY89" i="29"/>
  <c r="AY88" i="29"/>
  <c r="AY87" i="29"/>
  <c r="AY66" i="29"/>
  <c r="AY65" i="29"/>
  <c r="AY64" i="29"/>
  <c r="AY63" i="29"/>
  <c r="AY62" i="29"/>
  <c r="AY61" i="29"/>
  <c r="AY60" i="29"/>
  <c r="AS120" i="25"/>
  <c r="AS119" i="25"/>
  <c r="AS118" i="25"/>
  <c r="AS117" i="25"/>
  <c r="AS116" i="25"/>
  <c r="AS115" i="25"/>
  <c r="AS114" i="25"/>
  <c r="AS75" i="25"/>
  <c r="AS74" i="25"/>
  <c r="AS73" i="25"/>
  <c r="AS72" i="25"/>
  <c r="AS71" i="25"/>
  <c r="AS70" i="25"/>
  <c r="AS69" i="25"/>
  <c r="AS66" i="25"/>
  <c r="AS65" i="25"/>
  <c r="AS64" i="25"/>
  <c r="AS63" i="25"/>
  <c r="AS62" i="25"/>
  <c r="AS61" i="25"/>
  <c r="AS60" i="25"/>
  <c r="AS57" i="25"/>
  <c r="AS56" i="25"/>
  <c r="AS55" i="25"/>
  <c r="AS54" i="25"/>
  <c r="AS53" i="25"/>
  <c r="AS52" i="25"/>
  <c r="AS51" i="25"/>
  <c r="F57" i="13"/>
  <c r="G57" i="13"/>
  <c r="H57" i="13"/>
  <c r="I57" i="13"/>
  <c r="J57" i="13"/>
  <c r="K57" i="13"/>
  <c r="F56" i="13"/>
  <c r="G56" i="13"/>
  <c r="H56" i="13"/>
  <c r="I56" i="13"/>
  <c r="J56" i="13"/>
  <c r="K56" i="13"/>
  <c r="AF6" i="14"/>
  <c r="ANB7" i="15"/>
  <c r="ZT7" i="15"/>
  <c r="AG82" i="1"/>
  <c r="AG87" i="1" s="1"/>
  <c r="AB6" i="14"/>
  <c r="BAG7" i="15"/>
  <c r="AMZ7" i="15"/>
  <c r="ZR7" i="15"/>
  <c r="AE82" i="1"/>
  <c r="AE87" i="1" s="1"/>
  <c r="AA6" i="14"/>
  <c r="BAF7" i="15"/>
  <c r="AMY7" i="15"/>
  <c r="ZQ7" i="15"/>
  <c r="AD82" i="1"/>
  <c r="AD87" i="1" s="1"/>
  <c r="Z6" i="14"/>
  <c r="BAE7" i="15"/>
  <c r="AMX7" i="15"/>
  <c r="ZP7" i="15"/>
  <c r="AC82" i="1"/>
  <c r="AC87" i="1"/>
  <c r="X6" i="14"/>
  <c r="BAC7" i="15"/>
  <c r="AMV7" i="15"/>
  <c r="ZN7" i="15"/>
  <c r="W6" i="14"/>
  <c r="BAB7" i="15"/>
  <c r="AMU7" i="15"/>
  <c r="ZM7" i="15"/>
  <c r="Z82" i="1"/>
  <c r="Z87" i="1" s="1"/>
  <c r="T6" i="14"/>
  <c r="AZY7" i="15"/>
  <c r="AMR7" i="15"/>
  <c r="ZJ7" i="15"/>
  <c r="W82" i="1"/>
  <c r="W87" i="1"/>
  <c r="R6" i="14"/>
  <c r="AZW7" i="15"/>
  <c r="AMP7" i="15"/>
  <c r="ZH7" i="15"/>
  <c r="U82" i="1"/>
  <c r="U87" i="1" s="1"/>
  <c r="Q6" i="14"/>
  <c r="AZV7" i="15"/>
  <c r="AMO7" i="15"/>
  <c r="ZG7" i="15"/>
  <c r="T82" i="1"/>
  <c r="T87" i="1" s="1"/>
  <c r="S82" i="1"/>
  <c r="S87" i="1" s="1"/>
  <c r="AMM7" i="15"/>
  <c r="M6" i="14"/>
  <c r="AZR7" i="15"/>
  <c r="ZC7" i="15"/>
  <c r="L6" i="14"/>
  <c r="AZQ7" i="15"/>
  <c r="AMJ7" i="15"/>
  <c r="ZB7" i="15"/>
  <c r="K82" i="1"/>
  <c r="K87" i="1" s="1"/>
  <c r="J6" i="14"/>
  <c r="AZO7" i="15"/>
  <c r="AMH7" i="15"/>
  <c r="YZ7" i="15"/>
  <c r="I82" i="1"/>
  <c r="I87" i="1"/>
  <c r="AS65" i="4"/>
  <c r="AM65" i="4"/>
  <c r="AMD7" i="15"/>
  <c r="F6" i="14"/>
  <c r="YV7" i="15"/>
  <c r="E82" i="1"/>
  <c r="E87" i="1"/>
  <c r="C26" i="30"/>
  <c r="C7" i="14"/>
  <c r="AL165" i="4"/>
  <c r="AMA9" i="15"/>
  <c r="AZH9" i="15"/>
  <c r="YS9" i="15"/>
  <c r="C25" i="19"/>
  <c r="AS132" i="25"/>
  <c r="O11" i="1"/>
  <c r="N10" i="6"/>
  <c r="O10" i="6"/>
  <c r="P10" i="6"/>
  <c r="AS134" i="25"/>
  <c r="AS123" i="25"/>
  <c r="AY111" i="29"/>
  <c r="AY110" i="29"/>
  <c r="AY109" i="29"/>
  <c r="AY108" i="29"/>
  <c r="AY107" i="29"/>
  <c r="AY106" i="29"/>
  <c r="AY105" i="29"/>
  <c r="AS84" i="25"/>
  <c r="AS83" i="25"/>
  <c r="AS82" i="25"/>
  <c r="AS81" i="25"/>
  <c r="AS80" i="25"/>
  <c r="AS79" i="25"/>
  <c r="AS78" i="25"/>
  <c r="AY126" i="29"/>
  <c r="AY125" i="29"/>
  <c r="AY124" i="29"/>
  <c r="AS124" i="25"/>
  <c r="AS125" i="25"/>
  <c r="AS143" i="25"/>
  <c r="AS144" i="25"/>
  <c r="AS133" i="25"/>
  <c r="AY56" i="29"/>
  <c r="AY55" i="29"/>
  <c r="AY52" i="29"/>
  <c r="AS147" i="25"/>
  <c r="AS146" i="25"/>
  <c r="AS145" i="25"/>
  <c r="AS142" i="25"/>
  <c r="AS141" i="25"/>
  <c r="AS138" i="25"/>
  <c r="AS137" i="25"/>
  <c r="AS136" i="25"/>
  <c r="AS135" i="25"/>
  <c r="AS128" i="25"/>
  <c r="AS126" i="25"/>
  <c r="AS102" i="25"/>
  <c r="AS101" i="25"/>
  <c r="AS100" i="25"/>
  <c r="AS99" i="25"/>
  <c r="AS96" i="25"/>
  <c r="V4" i="32"/>
  <c r="AS127" i="25"/>
  <c r="AS129" i="25"/>
  <c r="R8" i="1"/>
  <c r="AY79" i="29"/>
  <c r="AY82" i="29"/>
  <c r="AY83" i="29"/>
  <c r="AY51" i="29"/>
  <c r="AY84" i="29"/>
  <c r="AY80" i="29"/>
  <c r="AY81" i="29"/>
  <c r="AY53" i="29"/>
  <c r="AY54" i="29"/>
  <c r="AY123" i="29"/>
  <c r="AS90" i="25"/>
  <c r="AY127" i="29"/>
  <c r="AY102" i="29"/>
  <c r="AY128" i="29"/>
  <c r="AS97" i="25"/>
  <c r="AY129" i="29"/>
  <c r="AS91" i="25"/>
  <c r="AS92" i="25"/>
  <c r="AS93" i="25"/>
  <c r="AY69" i="29"/>
  <c r="AY70" i="29"/>
  <c r="AY96" i="29"/>
  <c r="AY71" i="29"/>
  <c r="AY97" i="29"/>
  <c r="AY72" i="29"/>
  <c r="AY98" i="29"/>
  <c r="AS87" i="25"/>
  <c r="AY73" i="29"/>
  <c r="AY99" i="29"/>
  <c r="AS88" i="25"/>
  <c r="AY74" i="29"/>
  <c r="AY100" i="29"/>
  <c r="ZX9" i="15"/>
  <c r="AH7" i="14"/>
  <c r="BAM9" i="15"/>
  <c r="ANF9" i="15"/>
  <c r="J59" i="13"/>
  <c r="J60" i="13"/>
  <c r="Q32" i="19"/>
  <c r="P32" i="19"/>
  <c r="O32" i="19"/>
  <c r="R32" i="19"/>
  <c r="N32" i="19"/>
  <c r="M32" i="19"/>
  <c r="AQ65" i="4"/>
  <c r="AO65" i="4"/>
  <c r="AN65" i="4"/>
  <c r="L56" i="13"/>
  <c r="L57" i="13"/>
  <c r="AT138" i="29"/>
  <c r="AT137" i="29"/>
  <c r="AT136" i="29"/>
  <c r="AT135" i="29"/>
  <c r="AT134" i="29"/>
  <c r="AT133" i="29"/>
  <c r="AT132" i="29"/>
  <c r="R140" i="29"/>
  <c r="R39" i="29"/>
  <c r="R138" i="29"/>
  <c r="AR138" i="29"/>
  <c r="R137" i="29"/>
  <c r="AR137" i="29"/>
  <c r="R136" i="29"/>
  <c r="AR136" i="29"/>
  <c r="R135" i="29"/>
  <c r="AR135" i="29"/>
  <c r="R134" i="29"/>
  <c r="AR134" i="29"/>
  <c r="R133" i="29"/>
  <c r="AR133" i="29"/>
  <c r="R132" i="29"/>
  <c r="AR132" i="29"/>
  <c r="AR131" i="29"/>
  <c r="AV131" i="29"/>
  <c r="AW131" i="29"/>
  <c r="AU138" i="29"/>
  <c r="AU137" i="29"/>
  <c r="AU136" i="29"/>
  <c r="AU135" i="29"/>
  <c r="AU134" i="29"/>
  <c r="AU133" i="29"/>
  <c r="AU132" i="29"/>
  <c r="AU147" i="29"/>
  <c r="AU146" i="29"/>
  <c r="AU145" i="29"/>
  <c r="AU144" i="29"/>
  <c r="AU143" i="29"/>
  <c r="AU142" i="29"/>
  <c r="AU141" i="29"/>
  <c r="C27" i="19"/>
  <c r="AM170" i="4"/>
  <c r="K33" i="18"/>
  <c r="L9" i="18"/>
  <c r="N8" i="18"/>
  <c r="Q10" i="6"/>
  <c r="W11" i="1"/>
  <c r="AL169" i="4"/>
  <c r="L10" i="18"/>
  <c r="N9" i="18"/>
  <c r="K34" i="18"/>
  <c r="AV138" i="29"/>
  <c r="AV137" i="29"/>
  <c r="AV136" i="29"/>
  <c r="AV135" i="29"/>
  <c r="AV134" i="29"/>
  <c r="AV133" i="29"/>
  <c r="AV132" i="29"/>
  <c r="AY131" i="29"/>
  <c r="R147" i="29"/>
  <c r="AP147" i="29"/>
  <c r="R146" i="29"/>
  <c r="AP146" i="29"/>
  <c r="R145" i="29"/>
  <c r="AP145" i="29"/>
  <c r="R144" i="29"/>
  <c r="AP144" i="29"/>
  <c r="R143" i="29"/>
  <c r="AP143" i="29"/>
  <c r="R142" i="29"/>
  <c r="AP142" i="29"/>
  <c r="R141" i="29"/>
  <c r="AP141" i="29"/>
  <c r="AP140" i="29"/>
  <c r="AV140" i="29"/>
  <c r="Y140" i="29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C32" i="19"/>
  <c r="F32" i="19" s="1"/>
  <c r="V5" i="32"/>
  <c r="X60" i="13"/>
  <c r="E4" i="19"/>
  <c r="H4" i="19"/>
  <c r="I4" i="19"/>
  <c r="AI56" i="13"/>
  <c r="AE59" i="13"/>
  <c r="Q59" i="13"/>
  <c r="X59" i="13"/>
  <c r="AE60" i="13"/>
  <c r="AI57" i="13"/>
  <c r="Q60" i="13"/>
  <c r="Y147" i="29"/>
  <c r="AI147" i="29"/>
  <c r="Y146" i="29"/>
  <c r="AI146" i="29"/>
  <c r="Y145" i="29"/>
  <c r="AI145" i="29"/>
  <c r="Y144" i="29"/>
  <c r="AI144" i="29"/>
  <c r="Y143" i="29"/>
  <c r="AI143" i="29"/>
  <c r="Y142" i="29"/>
  <c r="AI142" i="29"/>
  <c r="Y141" i="29"/>
  <c r="AI141" i="29"/>
  <c r="AI140" i="29"/>
  <c r="AT140" i="29"/>
  <c r="Y39" i="29"/>
  <c r="U155" i="29"/>
  <c r="AH155" i="29"/>
  <c r="AW140" i="29"/>
  <c r="AV147" i="29"/>
  <c r="AV146" i="29"/>
  <c r="AV145" i="29"/>
  <c r="AV144" i="29"/>
  <c r="AV143" i="29"/>
  <c r="AV142" i="29"/>
  <c r="AV141" i="29"/>
  <c r="AY138" i="29"/>
  <c r="AY137" i="29"/>
  <c r="AY136" i="29"/>
  <c r="AY135" i="29"/>
  <c r="AY134" i="29"/>
  <c r="AY133" i="29"/>
  <c r="AY132" i="29"/>
  <c r="K35" i="18"/>
  <c r="L11" i="18"/>
  <c r="N10" i="18"/>
  <c r="R8" i="32"/>
  <c r="S8" i="32"/>
  <c r="T8" i="32"/>
  <c r="V8" i="32"/>
  <c r="U8" i="32"/>
  <c r="Q8" i="32"/>
  <c r="G4" i="19"/>
  <c r="D4" i="19"/>
  <c r="F4" i="19"/>
  <c r="L12" i="18"/>
  <c r="N11" i="18"/>
  <c r="K36" i="18"/>
  <c r="AH162" i="29"/>
  <c r="AH161" i="29"/>
  <c r="AH160" i="29"/>
  <c r="AH159" i="29"/>
  <c r="AH158" i="29"/>
  <c r="AH157" i="29"/>
  <c r="AH156" i="29"/>
  <c r="AT147" i="29"/>
  <c r="AT146" i="29"/>
  <c r="AT145" i="29"/>
  <c r="AT144" i="29"/>
  <c r="AT143" i="29"/>
  <c r="AT142" i="29"/>
  <c r="AT141" i="29"/>
  <c r="AY140" i="29"/>
  <c r="Q9" i="32"/>
  <c r="U9" i="32"/>
  <c r="T9" i="32"/>
  <c r="R9" i="32"/>
  <c r="AY147" i="29"/>
  <c r="AY146" i="29"/>
  <c r="AY145" i="29"/>
  <c r="AY144" i="29"/>
  <c r="AY143" i="29"/>
  <c r="AY142" i="29"/>
  <c r="AY141" i="29"/>
  <c r="L13" i="18"/>
  <c r="N12" i="18"/>
  <c r="V9" i="32"/>
  <c r="S9" i="32"/>
  <c r="R10" i="32"/>
  <c r="T10" i="32"/>
  <c r="U10" i="32"/>
  <c r="Q10" i="32"/>
  <c r="L14" i="18"/>
  <c r="N13" i="18"/>
  <c r="V10" i="32"/>
  <c r="S10" i="32"/>
  <c r="Q11" i="32"/>
  <c r="U11" i="32"/>
  <c r="V11" i="32"/>
  <c r="T11" i="32"/>
  <c r="R11" i="32"/>
  <c r="AL164" i="4"/>
  <c r="M12" i="1" s="1"/>
  <c r="L15" i="18"/>
  <c r="N14" i="18"/>
  <c r="S11" i="32"/>
  <c r="R12" i="32"/>
  <c r="T12" i="32"/>
  <c r="V12" i="32"/>
  <c r="U12" i="32"/>
  <c r="Q12" i="32"/>
  <c r="L16" i="18"/>
  <c r="N15" i="18"/>
  <c r="S12" i="32"/>
  <c r="Q13" i="32"/>
  <c r="R13" i="32"/>
  <c r="T13" i="32"/>
  <c r="V13" i="32"/>
  <c r="U13" i="32"/>
  <c r="L17" i="18"/>
  <c r="N16" i="18"/>
  <c r="S13" i="32"/>
  <c r="R14" i="32"/>
  <c r="Q14" i="32"/>
  <c r="S15" i="32"/>
  <c r="T14" i="32"/>
  <c r="V14" i="32"/>
  <c r="U14" i="32"/>
  <c r="L18" i="18"/>
  <c r="N17" i="18"/>
  <c r="S14" i="32"/>
  <c r="R15" i="32"/>
  <c r="Q15" i="32"/>
  <c r="S16" i="32"/>
  <c r="T15" i="32"/>
  <c r="V15" i="32"/>
  <c r="U15" i="32"/>
  <c r="L19" i="18"/>
  <c r="N18" i="18"/>
  <c r="S17" i="32"/>
  <c r="Q16" i="32"/>
  <c r="R16" i="32"/>
  <c r="T16" i="32"/>
  <c r="V16" i="32"/>
  <c r="U16" i="32"/>
  <c r="L20" i="18"/>
  <c r="N19" i="18"/>
  <c r="S18" i="32"/>
  <c r="U17" i="32"/>
  <c r="V17" i="32"/>
  <c r="T17" i="32"/>
  <c r="R17" i="32"/>
  <c r="Q17" i="32"/>
  <c r="L21" i="18"/>
  <c r="N20" i="18"/>
  <c r="Q18" i="32"/>
  <c r="U18" i="32"/>
  <c r="R18" i="32"/>
  <c r="T18" i="32"/>
  <c r="V18" i="32"/>
  <c r="S19" i="32"/>
  <c r="L22" i="18"/>
  <c r="N21" i="18"/>
  <c r="V19" i="32"/>
  <c r="T19" i="32"/>
  <c r="R19" i="32"/>
  <c r="U19" i="32"/>
  <c r="Q19" i="32"/>
  <c r="L23" i="18"/>
  <c r="N22" i="18"/>
  <c r="S21" i="32"/>
  <c r="L24" i="18"/>
  <c r="N23" i="18"/>
  <c r="S22" i="32"/>
  <c r="V21" i="32"/>
  <c r="U21" i="32"/>
  <c r="T21" i="32"/>
  <c r="Q21" i="32"/>
  <c r="R21" i="32"/>
  <c r="L25" i="18"/>
  <c r="N24" i="18"/>
  <c r="Q22" i="32"/>
  <c r="R22" i="32"/>
  <c r="T22" i="32"/>
  <c r="U22" i="32"/>
  <c r="V22" i="32"/>
  <c r="S23" i="32"/>
  <c r="L26" i="18"/>
  <c r="N25" i="18"/>
  <c r="S24" i="32"/>
  <c r="V23" i="32"/>
  <c r="U23" i="32"/>
  <c r="T23" i="32"/>
  <c r="R23" i="32"/>
  <c r="Q23" i="32"/>
  <c r="L27" i="18"/>
  <c r="N26" i="18"/>
  <c r="S25" i="32"/>
  <c r="S26" i="32"/>
  <c r="T24" i="32"/>
  <c r="U24" i="32"/>
  <c r="V24" i="32"/>
  <c r="Q24" i="32"/>
  <c r="R24" i="32"/>
  <c r="L28" i="18"/>
  <c r="N27" i="18"/>
  <c r="V25" i="32"/>
  <c r="Q25" i="32"/>
  <c r="U25" i="32"/>
  <c r="T25" i="32"/>
  <c r="R25" i="32"/>
  <c r="V26" i="32"/>
  <c r="Q26" i="32"/>
  <c r="S27" i="32"/>
  <c r="R33" i="32"/>
  <c r="U33" i="32"/>
  <c r="T33" i="32"/>
  <c r="Q33" i="32"/>
  <c r="V33" i="32"/>
  <c r="L29" i="18"/>
  <c r="N28" i="18"/>
  <c r="T26" i="32"/>
  <c r="R26" i="32"/>
  <c r="U26" i="32"/>
  <c r="R27" i="32"/>
  <c r="Q27" i="32"/>
  <c r="T27" i="32"/>
  <c r="U27" i="32"/>
  <c r="V27" i="32"/>
  <c r="S33" i="32"/>
  <c r="L30" i="18"/>
  <c r="N29" i="18"/>
  <c r="S29" i="32"/>
  <c r="L31" i="18"/>
  <c r="N30" i="18"/>
  <c r="U29" i="32"/>
  <c r="R29" i="32"/>
  <c r="T29" i="32"/>
  <c r="Q29" i="32"/>
  <c r="V29" i="32"/>
  <c r="S30" i="32"/>
  <c r="L32" i="18"/>
  <c r="N31" i="18"/>
  <c r="T30" i="32"/>
  <c r="R30" i="32"/>
  <c r="S31" i="32"/>
  <c r="V30" i="32"/>
  <c r="Q30" i="32"/>
  <c r="U30" i="32"/>
  <c r="L33" i="18"/>
  <c r="N32" i="18"/>
  <c r="V31" i="32"/>
  <c r="U31" i="32"/>
  <c r="R31" i="32"/>
  <c r="Q31" i="32"/>
  <c r="S32" i="32"/>
  <c r="T31" i="32"/>
  <c r="L34" i="18"/>
  <c r="N33" i="18"/>
  <c r="U32" i="32"/>
  <c r="T32" i="32"/>
  <c r="Q32" i="32"/>
  <c r="R32" i="32"/>
  <c r="V32" i="32"/>
  <c r="L35" i="18"/>
  <c r="N34" i="18"/>
  <c r="L36" i="18"/>
  <c r="N36" i="18"/>
  <c r="N35" i="18"/>
  <c r="W80" i="27"/>
  <c r="V80" i="27"/>
  <c r="U80" i="27"/>
  <c r="T80" i="27"/>
  <c r="S80" i="27"/>
  <c r="R80" i="27"/>
  <c r="AW147" i="29"/>
  <c r="AW146" i="29"/>
  <c r="AW145" i="29"/>
  <c r="AW144" i="29"/>
  <c r="AW143" i="29"/>
  <c r="AW142" i="29"/>
  <c r="AW141" i="29"/>
  <c r="AW138" i="29"/>
  <c r="AW137" i="29"/>
  <c r="AW136" i="29"/>
  <c r="AW135" i="29"/>
  <c r="AW134" i="29"/>
  <c r="AW133" i="29"/>
  <c r="AW132" i="29"/>
  <c r="AW129" i="29"/>
  <c r="AW128" i="29"/>
  <c r="AW127" i="29"/>
  <c r="AW126" i="29"/>
  <c r="AW125" i="29"/>
  <c r="AW124" i="29"/>
  <c r="AW123" i="29"/>
  <c r="AW120" i="29"/>
  <c r="AW119" i="29"/>
  <c r="AW118" i="29"/>
  <c r="AW117" i="29"/>
  <c r="AW116" i="29"/>
  <c r="AW115" i="29"/>
  <c r="AW114" i="29"/>
  <c r="AW111" i="29"/>
  <c r="AW110" i="29"/>
  <c r="AW109" i="29"/>
  <c r="AW108" i="29"/>
  <c r="AW107" i="29"/>
  <c r="AW106" i="29"/>
  <c r="AW105" i="29"/>
  <c r="AW102" i="29"/>
  <c r="AW101" i="29"/>
  <c r="AW100" i="29"/>
  <c r="AW99" i="29"/>
  <c r="AW98" i="29"/>
  <c r="AW97" i="29"/>
  <c r="AW96" i="29"/>
  <c r="AW93" i="29"/>
  <c r="AW92" i="29"/>
  <c r="AW91" i="29"/>
  <c r="AW90" i="29"/>
  <c r="AW89" i="29"/>
  <c r="AW88" i="29"/>
  <c r="AW87" i="29"/>
  <c r="AW84" i="29"/>
  <c r="AW83" i="29"/>
  <c r="AW82" i="29"/>
  <c r="AW81" i="29"/>
  <c r="AW80" i="29"/>
  <c r="AW79" i="29"/>
  <c r="AW78" i="29"/>
  <c r="AW75" i="29"/>
  <c r="AW74" i="29"/>
  <c r="AW73" i="29"/>
  <c r="AW72" i="29"/>
  <c r="AW71" i="29"/>
  <c r="AW70" i="29"/>
  <c r="AW69" i="29"/>
  <c r="AW66" i="29"/>
  <c r="AW65" i="29"/>
  <c r="AW64" i="29"/>
  <c r="AW63" i="29"/>
  <c r="AW62" i="29"/>
  <c r="AW61" i="29"/>
  <c r="AW60" i="29"/>
  <c r="AW57" i="29"/>
  <c r="AW56" i="29"/>
  <c r="AW55" i="29"/>
  <c r="AW54" i="29"/>
  <c r="AW53" i="29"/>
  <c r="AW52" i="29"/>
  <c r="AW51" i="29"/>
  <c r="AW48" i="29"/>
  <c r="AW47" i="29"/>
  <c r="AW46" i="29"/>
  <c r="AW45" i="29"/>
  <c r="AW44" i="29"/>
  <c r="AW43" i="29"/>
  <c r="AW42" i="29"/>
  <c r="AQ147" i="25"/>
  <c r="AQ146" i="25"/>
  <c r="AQ145" i="25"/>
  <c r="AQ144" i="25"/>
  <c r="AQ143" i="25"/>
  <c r="AQ142" i="25"/>
  <c r="AQ141" i="25"/>
  <c r="AQ138" i="25"/>
  <c r="AQ137" i="25"/>
  <c r="AQ136" i="25"/>
  <c r="AQ135" i="25"/>
  <c r="AQ134" i="25"/>
  <c r="AQ133" i="25"/>
  <c r="AQ132" i="25"/>
  <c r="AQ129" i="25"/>
  <c r="AQ128" i="25"/>
  <c r="AQ127" i="25"/>
  <c r="AQ126" i="25"/>
  <c r="AQ125" i="25"/>
  <c r="AQ124" i="25"/>
  <c r="AQ123" i="25"/>
  <c r="AT120" i="25"/>
  <c r="AQ120" i="25"/>
  <c r="AT119" i="25"/>
  <c r="AQ119" i="25"/>
  <c r="AT118" i="25"/>
  <c r="AQ118" i="25"/>
  <c r="AT117" i="25"/>
  <c r="AQ117" i="25"/>
  <c r="AT116" i="25"/>
  <c r="AQ116" i="25"/>
  <c r="AT115" i="25"/>
  <c r="AQ115" i="25"/>
  <c r="AT114" i="25"/>
  <c r="AQ114" i="25"/>
  <c r="AN111" i="25"/>
  <c r="AS111" i="25"/>
  <c r="AQ111" i="25"/>
  <c r="AN110" i="25"/>
  <c r="AT110" i="25"/>
  <c r="AQ110" i="25"/>
  <c r="AN109" i="25"/>
  <c r="AS109" i="25"/>
  <c r="AT109" i="25"/>
  <c r="AQ109" i="25"/>
  <c r="AN108" i="25"/>
  <c r="AT108" i="25"/>
  <c r="AQ108" i="25"/>
  <c r="AN107" i="25"/>
  <c r="AS107" i="25"/>
  <c r="AQ107" i="25"/>
  <c r="AN106" i="25"/>
  <c r="AT106" i="25"/>
  <c r="AQ106" i="25"/>
  <c r="AN105" i="25"/>
  <c r="AT105" i="25"/>
  <c r="AQ105" i="25"/>
  <c r="AQ102" i="25"/>
  <c r="AQ101" i="25"/>
  <c r="AQ100" i="25"/>
  <c r="AQ99" i="25"/>
  <c r="AQ98" i="25"/>
  <c r="AQ97" i="25"/>
  <c r="AQ96" i="25"/>
  <c r="AQ93" i="25"/>
  <c r="AQ92" i="25"/>
  <c r="AQ91" i="25"/>
  <c r="AQ90" i="25"/>
  <c r="AQ89" i="25"/>
  <c r="AQ88" i="25"/>
  <c r="AQ87" i="25"/>
  <c r="AQ84" i="25"/>
  <c r="AQ83" i="25"/>
  <c r="AQ82" i="25"/>
  <c r="AQ81" i="25"/>
  <c r="AQ80" i="25"/>
  <c r="AQ79" i="25"/>
  <c r="AQ78" i="25"/>
  <c r="AQ75" i="25"/>
  <c r="AQ74" i="25"/>
  <c r="AQ73" i="25"/>
  <c r="AQ72" i="25"/>
  <c r="AQ71" i="25"/>
  <c r="AQ70" i="25"/>
  <c r="AQ69" i="25"/>
  <c r="AQ66" i="25"/>
  <c r="AQ65" i="25"/>
  <c r="AQ64" i="25"/>
  <c r="AQ63" i="25"/>
  <c r="AQ62" i="25"/>
  <c r="AQ61" i="25"/>
  <c r="AQ60" i="25"/>
  <c r="AQ57" i="25"/>
  <c r="AQ56" i="25"/>
  <c r="AQ55" i="25"/>
  <c r="AQ54" i="25"/>
  <c r="AQ53" i="25"/>
  <c r="AQ52" i="25"/>
  <c r="AQ51" i="25"/>
  <c r="AQ48" i="25"/>
  <c r="AQ47" i="25"/>
  <c r="AQ46" i="25"/>
  <c r="AQ45" i="25"/>
  <c r="AQ44" i="25"/>
  <c r="AQ43" i="25"/>
  <c r="AQ42" i="25"/>
  <c r="AS110" i="25"/>
  <c r="AT111" i="25"/>
  <c r="AS105" i="25"/>
  <c r="AS108" i="25"/>
  <c r="AS106" i="25"/>
  <c r="AT107" i="25"/>
  <c r="H11" i="1" l="1"/>
  <c r="K11" i="1"/>
  <c r="O26" i="20" s="1"/>
  <c r="L11" i="1"/>
  <c r="X11" i="1"/>
  <c r="T15" i="1"/>
  <c r="S36" i="20" s="1"/>
  <c r="X131" i="4"/>
  <c r="AF131" i="4"/>
  <c r="AH130" i="4"/>
  <c r="AH136" i="4" s="1"/>
  <c r="AK185" i="4"/>
  <c r="D16" i="1" s="1"/>
  <c r="E38" i="20" s="1"/>
  <c r="B5" i="21" s="1"/>
  <c r="AK192" i="4"/>
  <c r="D17" i="1" s="1"/>
  <c r="E40" i="20" s="1"/>
  <c r="D48" i="17"/>
  <c r="M48" i="17"/>
  <c r="AC48" i="17"/>
  <c r="ZX12" i="15"/>
  <c r="ANF12" i="15"/>
  <c r="BAM12" i="15"/>
  <c r="ANF16" i="15"/>
  <c r="BAM16" i="15"/>
  <c r="BAM18" i="15"/>
  <c r="ANF20" i="15"/>
  <c r="BAM20" i="15"/>
  <c r="X5" i="1"/>
  <c r="X15" i="1"/>
  <c r="H6" i="30"/>
  <c r="M6" i="30"/>
  <c r="U6" i="30"/>
  <c r="P6" i="30"/>
  <c r="V6" i="30"/>
  <c r="AF6" i="30"/>
  <c r="X13" i="30"/>
  <c r="C13" i="30"/>
  <c r="E13" i="30"/>
  <c r="S13" i="30"/>
  <c r="AG9" i="15"/>
  <c r="Y159" i="4"/>
  <c r="J9" i="15"/>
  <c r="F100" i="31"/>
  <c r="AR3" i="32"/>
  <c r="AR5" i="32"/>
  <c r="AW5" i="32" s="1"/>
  <c r="AR6" i="32"/>
  <c r="AR30" i="32"/>
  <c r="AS30" i="32" s="1"/>
  <c r="Q65" i="31"/>
  <c r="AG161" i="4" s="1"/>
  <c r="AR29" i="32"/>
  <c r="Q56" i="31"/>
  <c r="X161" i="4" s="1"/>
  <c r="W69" i="32"/>
  <c r="Y42" i="32"/>
  <c r="Y44" i="32"/>
  <c r="Y45" i="32"/>
  <c r="Y46" i="32"/>
  <c r="Y48" i="32"/>
  <c r="Y49" i="32"/>
  <c r="Y52" i="32"/>
  <c r="Y53" i="32"/>
  <c r="Y54" i="32"/>
  <c r="Y55" i="32"/>
  <c r="Y57" i="32"/>
  <c r="Y59" i="32"/>
  <c r="Y60" i="32"/>
  <c r="Y62" i="32"/>
  <c r="Y63" i="32"/>
  <c r="Y64" i="32"/>
  <c r="Y65" i="32"/>
  <c r="Y66" i="32"/>
  <c r="Y67" i="32"/>
  <c r="T68" i="32"/>
  <c r="T65" i="32"/>
  <c r="T64" i="32"/>
  <c r="T61" i="32"/>
  <c r="T60" i="32"/>
  <c r="T59" i="32"/>
  <c r="T58" i="32"/>
  <c r="T57" i="32"/>
  <c r="T53" i="32"/>
  <c r="T52" i="32"/>
  <c r="T44" i="32"/>
  <c r="T42" i="32"/>
  <c r="F168" i="4"/>
  <c r="AH26" i="15"/>
  <c r="AH197" i="4"/>
  <c r="AH88" i="1" s="1"/>
  <c r="AK15" i="4"/>
  <c r="AF37" i="9"/>
  <c r="T17" i="1"/>
  <c r="S40" i="20" s="1"/>
  <c r="T10" i="1"/>
  <c r="S22" i="20" s="1"/>
  <c r="T9" i="1"/>
  <c r="S20" i="20" s="1"/>
  <c r="T40" i="32"/>
  <c r="T38" i="32"/>
  <c r="Y40" i="32"/>
  <c r="U6" i="32"/>
  <c r="T6" i="32"/>
  <c r="V6" i="32"/>
  <c r="S6" i="32"/>
  <c r="R6" i="32"/>
  <c r="Q6" i="32"/>
  <c r="AG37" i="9"/>
  <c r="L16" i="1"/>
  <c r="V150" i="4"/>
  <c r="V152" i="4" s="1"/>
  <c r="V147" i="4"/>
  <c r="V149" i="4" s="1"/>
  <c r="V143" i="4"/>
  <c r="W70" i="1"/>
  <c r="AD9" i="4"/>
  <c r="AD139" i="4" s="1"/>
  <c r="H9" i="4"/>
  <c r="H139" i="4" s="1"/>
  <c r="K13" i="30"/>
  <c r="AA4" i="32"/>
  <c r="N130" i="4"/>
  <c r="N136" i="4" s="1"/>
  <c r="G131" i="4"/>
  <c r="AB12" i="32"/>
  <c r="AI130" i="4"/>
  <c r="AI136" i="4" s="1"/>
  <c r="G6" i="30"/>
  <c r="W6" i="30"/>
  <c r="J13" i="30"/>
  <c r="Z13" i="30"/>
  <c r="J6" i="30"/>
  <c r="AH97" i="4"/>
  <c r="R156" i="4"/>
  <c r="AI18" i="9" s="1"/>
  <c r="AH156" i="4"/>
  <c r="AI34" i="9" s="1"/>
  <c r="AY8" i="32"/>
  <c r="AZ8" i="32" s="1"/>
  <c r="BC19" i="32"/>
  <c r="Q131" i="4"/>
  <c r="Z130" i="4"/>
  <c r="Z136" i="4" s="1"/>
  <c r="O13" i="30"/>
  <c r="T118" i="4"/>
  <c r="AZJ10" i="15"/>
  <c r="BB24" i="32"/>
  <c r="BC31" i="32"/>
  <c r="BA20" i="32"/>
  <c r="YU10" i="15"/>
  <c r="BC20" i="32"/>
  <c r="BA31" i="32"/>
  <c r="AMC10" i="15"/>
  <c r="U10" i="15"/>
  <c r="ZK10" i="15"/>
  <c r="AMS10" i="15"/>
  <c r="AY25" i="32"/>
  <c r="BE30" i="32"/>
  <c r="Y13" i="30"/>
  <c r="AZ31" i="32"/>
  <c r="AL160" i="4"/>
  <c r="AZ22" i="32"/>
  <c r="BA32" i="32"/>
  <c r="AD105" i="4"/>
  <c r="X122" i="4"/>
  <c r="BD32" i="32"/>
  <c r="BE22" i="32"/>
  <c r="AE156" i="4"/>
  <c r="AI31" i="9" s="1"/>
  <c r="BD20" i="32"/>
  <c r="BB20" i="32"/>
  <c r="K130" i="4"/>
  <c r="K137" i="4" s="1"/>
  <c r="N156" i="4"/>
  <c r="AI14" i="9" s="1"/>
  <c r="AD156" i="4"/>
  <c r="AI30" i="9" s="1"/>
  <c r="BE31" i="32"/>
  <c r="BE32" i="32"/>
  <c r="M131" i="4"/>
  <c r="U131" i="4"/>
  <c r="X97" i="4"/>
  <c r="F6" i="30"/>
  <c r="J122" i="4"/>
  <c r="BD24" i="32"/>
  <c r="BC18" i="32"/>
  <c r="BB22" i="32"/>
  <c r="BC32" i="32"/>
  <c r="BE20" i="32"/>
  <c r="AME10" i="15"/>
  <c r="AZ74" i="4"/>
  <c r="DQ28" i="31" s="1"/>
  <c r="DR28" i="31" s="1"/>
  <c r="DS28" i="31" s="1"/>
  <c r="DT28" i="31" s="1"/>
  <c r="DU28" i="31" s="1"/>
  <c r="DV28" i="31" s="1"/>
  <c r="DW28" i="31" s="1"/>
  <c r="BA22" i="32"/>
  <c r="W10" i="15"/>
  <c r="AA130" i="4"/>
  <c r="AA136" i="4" s="1"/>
  <c r="YW10" i="15"/>
  <c r="BB31" i="32"/>
  <c r="BC22" i="32"/>
  <c r="G10" i="15"/>
  <c r="ZM10" i="15"/>
  <c r="AV38" i="32"/>
  <c r="AMU10" i="15"/>
  <c r="BB32" i="32"/>
  <c r="D82" i="1"/>
  <c r="D87" i="1" s="1"/>
  <c r="BAJ7" i="15"/>
  <c r="C33" i="28"/>
  <c r="G34" i="24" s="1"/>
  <c r="Y151" i="4"/>
  <c r="L151" i="4"/>
  <c r="YU7" i="15"/>
  <c r="AE6" i="14"/>
  <c r="C22" i="28"/>
  <c r="G23" i="24" s="1"/>
  <c r="S148" i="4"/>
  <c r="C9" i="28"/>
  <c r="G10" i="24" s="1"/>
  <c r="T72" i="1"/>
  <c r="AI82" i="1"/>
  <c r="AI87" i="1" s="1"/>
  <c r="X148" i="4"/>
  <c r="K148" i="4"/>
  <c r="AND7" i="15"/>
  <c r="X151" i="4"/>
  <c r="K151" i="4"/>
  <c r="L82" i="1"/>
  <c r="L87" i="1" s="1"/>
  <c r="AH148" i="4"/>
  <c r="C21" i="28"/>
  <c r="G22" i="24" s="1"/>
  <c r="C31" i="28"/>
  <c r="G32" i="24" s="1"/>
  <c r="Z72" i="1"/>
  <c r="ZF7" i="15"/>
  <c r="V82" i="1"/>
  <c r="V87" i="1" s="1"/>
  <c r="AB82" i="1"/>
  <c r="AB87" i="1" s="1"/>
  <c r="BAI7" i="15"/>
  <c r="AF151" i="4"/>
  <c r="E6" i="14"/>
  <c r="AMN7" i="15"/>
  <c r="ZI7" i="15"/>
  <c r="ZO7" i="15"/>
  <c r="C29" i="28"/>
  <c r="G30" i="24" s="1"/>
  <c r="AMC7" i="15"/>
  <c r="AZU7" i="15"/>
  <c r="AMQ7" i="15"/>
  <c r="AMW7" i="15"/>
  <c r="AH82" i="1"/>
  <c r="AH87" i="1" s="1"/>
  <c r="AZX7" i="15"/>
  <c r="BAD7" i="15"/>
  <c r="ZU7" i="15"/>
  <c r="AJ151" i="4"/>
  <c r="AG6" i="14" s="1"/>
  <c r="L148" i="4"/>
  <c r="AB20" i="17"/>
  <c r="AI34" i="4"/>
  <c r="AI9" i="4"/>
  <c r="AI139" i="4" s="1"/>
  <c r="AI150" i="4" s="1"/>
  <c r="AI152" i="4" s="1"/>
  <c r="AH9" i="4"/>
  <c r="AH139" i="4" s="1"/>
  <c r="AI70" i="1" s="1"/>
  <c r="AH150" i="4"/>
  <c r="AH152" i="4" s="1"/>
  <c r="AH147" i="4"/>
  <c r="AH149" i="4" s="1"/>
  <c r="AH143" i="4"/>
  <c r="AG34" i="4"/>
  <c r="AF34" i="4"/>
  <c r="AF9" i="4"/>
  <c r="AF139" i="4" s="1"/>
  <c r="AB19" i="17"/>
  <c r="Q7" i="1"/>
  <c r="Q18" i="20" s="1"/>
  <c r="AK178" i="4"/>
  <c r="D15" i="1" s="1"/>
  <c r="E36" i="20" s="1"/>
  <c r="AK177" i="4"/>
  <c r="E15" i="1" s="1"/>
  <c r="M15" i="1" s="1"/>
  <c r="P15" i="1" s="1"/>
  <c r="AL177" i="4"/>
  <c r="AD143" i="4"/>
  <c r="AE70" i="1"/>
  <c r="AD150" i="4"/>
  <c r="AD152" i="4" s="1"/>
  <c r="AD147" i="4"/>
  <c r="AD149" i="4" s="1"/>
  <c r="M7" i="1"/>
  <c r="AB9" i="4"/>
  <c r="AB139" i="4" s="1"/>
  <c r="AB150" i="4" s="1"/>
  <c r="AB152" i="4" s="1"/>
  <c r="AB31" i="4"/>
  <c r="AB34" i="4" s="1"/>
  <c r="AA9" i="4"/>
  <c r="AA139" i="4" s="1"/>
  <c r="AA34" i="4"/>
  <c r="Z9" i="4"/>
  <c r="Z139" i="4" s="1"/>
  <c r="AA70" i="1"/>
  <c r="Z150" i="4"/>
  <c r="Z152" i="4" s="1"/>
  <c r="Z147" i="4"/>
  <c r="Z149" i="4" s="1"/>
  <c r="Z143" i="4"/>
  <c r="Z34" i="4"/>
  <c r="AK33" i="4"/>
  <c r="Y34" i="4"/>
  <c r="X9" i="4"/>
  <c r="X139" i="4" s="1"/>
  <c r="X143" i="4" s="1"/>
  <c r="W34" i="4"/>
  <c r="U34" i="4"/>
  <c r="S9" i="4"/>
  <c r="S139" i="4" s="1"/>
  <c r="S150" i="4" s="1"/>
  <c r="S152" i="4" s="1"/>
  <c r="S34" i="4"/>
  <c r="AH37" i="9"/>
  <c r="AZT7" i="15"/>
  <c r="R82" i="1"/>
  <c r="R87" i="1" s="1"/>
  <c r="ZE7" i="15"/>
  <c r="AZ15" i="32"/>
  <c r="BC15" i="32"/>
  <c r="BD15" i="32"/>
  <c r="BA15" i="32"/>
  <c r="BB15" i="32"/>
  <c r="BE15" i="32"/>
  <c r="O10" i="15"/>
  <c r="ZE10" i="15"/>
  <c r="AZT10" i="15"/>
  <c r="AT38" i="32"/>
  <c r="AZ61" i="4"/>
  <c r="DQ15" i="31" s="1"/>
  <c r="DR15" i="31" s="1"/>
  <c r="DS15" i="31" s="1"/>
  <c r="DT15" i="31" s="1"/>
  <c r="DU15" i="31" s="1"/>
  <c r="DV15" i="31" s="1"/>
  <c r="DW15" i="31" s="1"/>
  <c r="Q34" i="4"/>
  <c r="Q148" i="4"/>
  <c r="Q151" i="4"/>
  <c r="C14" i="28"/>
  <c r="G15" i="24" s="1"/>
  <c r="N10" i="15"/>
  <c r="AML10" i="15"/>
  <c r="AZS10" i="15"/>
  <c r="AA14" i="32"/>
  <c r="AC14" i="32"/>
  <c r="AZ60" i="4"/>
  <c r="DQ14" i="31" s="1"/>
  <c r="DR14" i="31" s="1"/>
  <c r="DS14" i="31" s="1"/>
  <c r="DT14" i="31" s="1"/>
  <c r="DU14" i="31" s="1"/>
  <c r="DV14" i="31" s="1"/>
  <c r="DW14" i="31" s="1"/>
  <c r="AL5" i="4"/>
  <c r="AL29" i="4" s="1"/>
  <c r="P9" i="4"/>
  <c r="P139" i="4" s="1"/>
  <c r="Q70" i="1" s="1"/>
  <c r="R34" i="4"/>
  <c r="R9" i="4"/>
  <c r="R139" i="4" s="1"/>
  <c r="L9" i="4"/>
  <c r="L139" i="4" s="1"/>
  <c r="L150" i="4" s="1"/>
  <c r="L152" i="4" s="1"/>
  <c r="AB13" i="32"/>
  <c r="BC13" i="32"/>
  <c r="BD13" i="32"/>
  <c r="AZ13" i="32"/>
  <c r="BB13" i="32"/>
  <c r="BE13" i="32"/>
  <c r="BA13" i="32"/>
  <c r="AR38" i="32"/>
  <c r="Y13" i="32"/>
  <c r="X13" i="32"/>
  <c r="P97" i="4"/>
  <c r="AZ59" i="4"/>
  <c r="DQ13" i="31" s="1"/>
  <c r="DR13" i="31" s="1"/>
  <c r="DS13" i="31" s="1"/>
  <c r="DT13" i="31" s="1"/>
  <c r="DU13" i="31" s="1"/>
  <c r="DV13" i="31" s="1"/>
  <c r="DW13" i="31" s="1"/>
  <c r="AA13" i="32"/>
  <c r="Z13" i="32"/>
  <c r="N148" i="4"/>
  <c r="N151" i="4"/>
  <c r="C11" i="28"/>
  <c r="G12" i="24" s="1"/>
  <c r="AZ12" i="32"/>
  <c r="BD12" i="32"/>
  <c r="O131" i="4"/>
  <c r="AC12" i="32"/>
  <c r="AA12" i="32"/>
  <c r="Y12" i="32"/>
  <c r="Z12" i="32"/>
  <c r="BE12" i="32"/>
  <c r="BC12" i="32"/>
  <c r="BB12" i="32"/>
  <c r="N9" i="4"/>
  <c r="N139" i="4" s="1"/>
  <c r="N143" i="4" s="1"/>
  <c r="AL57" i="4"/>
  <c r="N131" i="4"/>
  <c r="N105" i="4"/>
  <c r="BB33" i="4"/>
  <c r="M97" i="4"/>
  <c r="BA33" i="4"/>
  <c r="M122" i="4"/>
  <c r="AY10" i="32"/>
  <c r="BD10" i="32" s="1"/>
  <c r="L34" i="4"/>
  <c r="AY9" i="32"/>
  <c r="BD9" i="32" s="1"/>
  <c r="AL166" i="4"/>
  <c r="AZ9" i="32"/>
  <c r="I10" i="15"/>
  <c r="AMG10" i="15"/>
  <c r="AZN10" i="15"/>
  <c r="AZ33" i="4"/>
  <c r="L118" i="4"/>
  <c r="K9" i="4"/>
  <c r="K139" i="4" s="1"/>
  <c r="K143" i="4" s="1"/>
  <c r="AK125" i="4"/>
  <c r="H13" i="30"/>
  <c r="K122" i="4"/>
  <c r="AY54" i="4"/>
  <c r="CA8" i="31" s="1"/>
  <c r="CB8" i="31" s="1"/>
  <c r="CC8" i="31" s="1"/>
  <c r="CD8" i="31" s="1"/>
  <c r="CE8" i="31" s="1"/>
  <c r="CF8" i="31" s="1"/>
  <c r="CG8" i="31" s="1"/>
  <c r="AY33" i="4"/>
  <c r="K105" i="4"/>
  <c r="H10" i="15"/>
  <c r="K131" i="4"/>
  <c r="DR4" i="31"/>
  <c r="DS4" i="31" s="1"/>
  <c r="DT4" i="31" s="1"/>
  <c r="DU4" i="31" s="1"/>
  <c r="DV4" i="31" s="1"/>
  <c r="DW4" i="31" s="1"/>
  <c r="J9" i="4"/>
  <c r="J139" i="4" s="1"/>
  <c r="J143" i="4" s="1"/>
  <c r="AT7" i="32"/>
  <c r="AV7" i="32"/>
  <c r="AX7" i="32"/>
  <c r="AS7" i="32"/>
  <c r="L100" i="31"/>
  <c r="AW7" i="32"/>
  <c r="Q42" i="31"/>
  <c r="J161" i="4" s="1"/>
  <c r="J159" i="4" s="1"/>
  <c r="G72" i="1"/>
  <c r="J151" i="4"/>
  <c r="J148" i="4"/>
  <c r="AY7" i="32"/>
  <c r="BE7" i="32" s="1"/>
  <c r="J118" i="4"/>
  <c r="AX33" i="4"/>
  <c r="I34" i="4"/>
  <c r="X6" i="32"/>
  <c r="I101" i="4"/>
  <c r="Z6" i="32"/>
  <c r="AY6" i="32"/>
  <c r="BE6" i="32" s="1"/>
  <c r="E6" i="30"/>
  <c r="AY5" i="32"/>
  <c r="BD5" i="32" s="1"/>
  <c r="AK113" i="4"/>
  <c r="C30" i="19" s="1"/>
  <c r="H6" i="1"/>
  <c r="AH3" i="15"/>
  <c r="BAN3" i="15" s="1"/>
  <c r="G34" i="4"/>
  <c r="V9" i="1"/>
  <c r="X9" i="1" s="1"/>
  <c r="V4" i="1"/>
  <c r="X4" i="1" s="1"/>
  <c r="I18" i="20"/>
  <c r="K18" i="20" s="1"/>
  <c r="D72" i="1"/>
  <c r="C4" i="28"/>
  <c r="G5" i="24" s="1"/>
  <c r="G151" i="4"/>
  <c r="R7" i="1"/>
  <c r="R11" i="5"/>
  <c r="AI38" i="32"/>
  <c r="AL89" i="4"/>
  <c r="AH12" i="30"/>
  <c r="C28" i="30" s="1"/>
  <c r="G130" i="4"/>
  <c r="G137" i="4" s="1"/>
  <c r="AQ52" i="4"/>
  <c r="G118" i="4"/>
  <c r="AU50" i="4"/>
  <c r="AK4" i="31" s="1"/>
  <c r="L9" i="1"/>
  <c r="I50" i="20"/>
  <c r="E50" i="20"/>
  <c r="E11" i="15"/>
  <c r="F15" i="17"/>
  <c r="F11" i="15" s="1"/>
  <c r="D16" i="17"/>
  <c r="E16" i="17" s="1"/>
  <c r="D11" i="15"/>
  <c r="F9" i="4"/>
  <c r="F139" i="4" s="1"/>
  <c r="F143" i="4" s="1"/>
  <c r="AL6" i="4"/>
  <c r="AL30" i="4" s="1"/>
  <c r="AL7" i="4"/>
  <c r="AL31" i="4" s="1"/>
  <c r="AK4" i="4"/>
  <c r="F34" i="4"/>
  <c r="AM34" i="4"/>
  <c r="AK142" i="4"/>
  <c r="C8" i="17"/>
  <c r="C10" i="17" s="1"/>
  <c r="C3" i="28"/>
  <c r="G4" i="24" s="1"/>
  <c r="C72" i="1"/>
  <c r="AM142" i="4"/>
  <c r="AB3" i="32"/>
  <c r="AY3" i="32"/>
  <c r="BB3" i="32" s="1"/>
  <c r="X3" i="32"/>
  <c r="C3" i="32" s="1"/>
  <c r="J4" i="32" s="1"/>
  <c r="Y3" i="32"/>
  <c r="Z3" i="32"/>
  <c r="AA3" i="32"/>
  <c r="AZ49" i="4"/>
  <c r="DQ3" i="31" s="1"/>
  <c r="DC3" i="31" s="1"/>
  <c r="DJ4" i="31" s="1"/>
  <c r="CI3" i="31"/>
  <c r="CP4" i="31" s="1"/>
  <c r="F130" i="4"/>
  <c r="F137" i="4" s="1"/>
  <c r="J5" i="23"/>
  <c r="C12" i="15"/>
  <c r="O100" i="32"/>
  <c r="D7" i="23"/>
  <c r="O16" i="20"/>
  <c r="T4" i="1"/>
  <c r="S12" i="20" s="1"/>
  <c r="S16" i="20" s="1"/>
  <c r="F17" i="1"/>
  <c r="L14" i="1"/>
  <c r="O18" i="20"/>
  <c r="L10" i="1"/>
  <c r="M38" i="20"/>
  <c r="I38" i="20"/>
  <c r="L13" i="1"/>
  <c r="G12" i="17"/>
  <c r="H12" i="17" s="1"/>
  <c r="I12" i="17" s="1"/>
  <c r="J12" i="17" s="1"/>
  <c r="K12" i="17" s="1"/>
  <c r="L12" i="17" s="1"/>
  <c r="M12" i="17" s="1"/>
  <c r="N12" i="17" s="1"/>
  <c r="O12" i="17" s="1"/>
  <c r="P12" i="17" s="1"/>
  <c r="Q12" i="17" s="1"/>
  <c r="R12" i="17" s="1"/>
  <c r="S12" i="17" s="1"/>
  <c r="T12" i="17" s="1"/>
  <c r="U12" i="17" s="1"/>
  <c r="V12" i="17" s="1"/>
  <c r="W12" i="17" s="1"/>
  <c r="X12" i="17" s="1"/>
  <c r="Y12" i="17" s="1"/>
  <c r="Z12" i="17" s="1"/>
  <c r="AA12" i="17" s="1"/>
  <c r="AB12" i="17" s="1"/>
  <c r="AC12" i="17" s="1"/>
  <c r="AD12" i="17" s="1"/>
  <c r="AE12" i="17" s="1"/>
  <c r="AF12" i="17" s="1"/>
  <c r="AG12" i="17" s="1"/>
  <c r="AI12" i="17"/>
  <c r="F9" i="1" s="1"/>
  <c r="D11" i="17"/>
  <c r="E11" i="17" s="1"/>
  <c r="N12" i="1"/>
  <c r="L8" i="1"/>
  <c r="L17" i="1"/>
  <c r="M26" i="20"/>
  <c r="L5" i="1"/>
  <c r="M14" i="20"/>
  <c r="J6" i="1"/>
  <c r="L6" i="1" s="1"/>
  <c r="F9" i="17"/>
  <c r="L4" i="1"/>
  <c r="M30" i="20"/>
  <c r="I12" i="20"/>
  <c r="R27" i="5"/>
  <c r="V14" i="1" s="1"/>
  <c r="X14" i="1" s="1"/>
  <c r="M12" i="20"/>
  <c r="R6" i="5"/>
  <c r="N6" i="1"/>
  <c r="G6" i="17"/>
  <c r="H6" i="17" s="1"/>
  <c r="I6" i="17" s="1"/>
  <c r="J6" i="17" s="1"/>
  <c r="K6" i="17" s="1"/>
  <c r="M36" i="20"/>
  <c r="D7" i="28"/>
  <c r="D8" i="28" s="1"/>
  <c r="D9" i="28" s="1"/>
  <c r="D10" i="28" s="1"/>
  <c r="D11" i="28" s="1"/>
  <c r="D12" i="28" s="1"/>
  <c r="D13" i="28" s="1"/>
  <c r="D14" i="28" s="1"/>
  <c r="D15" i="28" s="1"/>
  <c r="D16" i="28" s="1"/>
  <c r="D17" i="28" s="1"/>
  <c r="D18" i="28" s="1"/>
  <c r="D19" i="28" s="1"/>
  <c r="D20" i="28" s="1"/>
  <c r="D21" i="28" s="1"/>
  <c r="D22" i="28" s="1"/>
  <c r="D23" i="28" s="1"/>
  <c r="D24" i="28" s="1"/>
  <c r="D25" i="28" s="1"/>
  <c r="D26" i="28" s="1"/>
  <c r="D27" i="28" s="1"/>
  <c r="D28" i="28" s="1"/>
  <c r="D29" i="28" s="1"/>
  <c r="D30" i="28" s="1"/>
  <c r="D31" i="28" s="1"/>
  <c r="D32" i="28" s="1"/>
  <c r="D33" i="28" s="1"/>
  <c r="B52" i="9"/>
  <c r="B51" i="9"/>
  <c r="B46" i="9"/>
  <c r="Y70" i="1"/>
  <c r="X150" i="4"/>
  <c r="X147" i="4"/>
  <c r="H34" i="4"/>
  <c r="V34" i="4"/>
  <c r="AG70" i="1"/>
  <c r="AF150" i="4"/>
  <c r="AF152" i="4" s="1"/>
  <c r="AF147" i="4"/>
  <c r="AF149" i="4" s="1"/>
  <c r="AF143" i="4"/>
  <c r="X34" i="4"/>
  <c r="AH34" i="4"/>
  <c r="M34" i="4"/>
  <c r="AC34" i="4"/>
  <c r="S143" i="4"/>
  <c r="T70" i="1"/>
  <c r="K34" i="4"/>
  <c r="N34" i="4"/>
  <c r="O34" i="4"/>
  <c r="H150" i="4"/>
  <c r="H152" i="4" s="1"/>
  <c r="H143" i="4"/>
  <c r="H147" i="4"/>
  <c r="H149" i="4" s="1"/>
  <c r="E70" i="1"/>
  <c r="P34" i="4"/>
  <c r="AA150" i="4"/>
  <c r="AA152" i="4" s="1"/>
  <c r="AA147" i="4"/>
  <c r="AA149" i="4" s="1"/>
  <c r="AA143" i="4"/>
  <c r="AB70" i="1"/>
  <c r="AD34" i="4"/>
  <c r="J34" i="4"/>
  <c r="G143" i="4"/>
  <c r="G147" i="4"/>
  <c r="G149" i="4" s="1"/>
  <c r="D70" i="1"/>
  <c r="G150" i="4"/>
  <c r="G152" i="4" s="1"/>
  <c r="AI147" i="4"/>
  <c r="AI149" i="4" s="1"/>
  <c r="AI143" i="4"/>
  <c r="AJ70" i="1"/>
  <c r="AE34" i="4"/>
  <c r="AK27" i="4"/>
  <c r="T9" i="4"/>
  <c r="T139" i="4" s="1"/>
  <c r="AJ32" i="4"/>
  <c r="AK32" i="4" s="1"/>
  <c r="AK6" i="4"/>
  <c r="T28" i="4"/>
  <c r="T34" i="4" s="1"/>
  <c r="AK5" i="4"/>
  <c r="I9" i="4"/>
  <c r="I139" i="4" s="1"/>
  <c r="AE9" i="4"/>
  <c r="AE139" i="4" s="1"/>
  <c r="W9" i="4"/>
  <c r="W139" i="4" s="1"/>
  <c r="O9" i="4"/>
  <c r="O139" i="4" s="1"/>
  <c r="AK30" i="4"/>
  <c r="AG9" i="4"/>
  <c r="AG139" i="4" s="1"/>
  <c r="AC9" i="4"/>
  <c r="AC139" i="4" s="1"/>
  <c r="Y9" i="4"/>
  <c r="Y139" i="4" s="1"/>
  <c r="U9" i="4"/>
  <c r="U139" i="4" s="1"/>
  <c r="Q9" i="4"/>
  <c r="Q139" i="4" s="1"/>
  <c r="M9" i="4"/>
  <c r="M139" i="4" s="1"/>
  <c r="AK112" i="4"/>
  <c r="C29" i="19" s="1"/>
  <c r="L131" i="4"/>
  <c r="T131" i="4"/>
  <c r="AB131" i="4"/>
  <c r="S131" i="4"/>
  <c r="AI101" i="4"/>
  <c r="R131" i="4"/>
  <c r="Z131" i="4"/>
  <c r="AH131" i="4"/>
  <c r="V97" i="4"/>
  <c r="W130" i="4"/>
  <c r="W136" i="4" s="1"/>
  <c r="R130" i="4"/>
  <c r="R136" i="4" s="1"/>
  <c r="U122" i="4"/>
  <c r="U156" i="4"/>
  <c r="AI21" i="9" s="1"/>
  <c r="Q129" i="4"/>
  <c r="J97" i="4"/>
  <c r="R105" i="4"/>
  <c r="AH105" i="4"/>
  <c r="AZ64" i="4"/>
  <c r="DQ18" i="31" s="1"/>
  <c r="DR18" i="31" s="1"/>
  <c r="DS18" i="31" s="1"/>
  <c r="DT18" i="31" s="1"/>
  <c r="DU18" i="31" s="1"/>
  <c r="DV18" i="31" s="1"/>
  <c r="DW18" i="31" s="1"/>
  <c r="AE122" i="4"/>
  <c r="BE19" i="32"/>
  <c r="BC4" i="32"/>
  <c r="T129" i="4"/>
  <c r="AA118" i="4"/>
  <c r="BD19" i="32"/>
  <c r="AZ4" i="32"/>
  <c r="I105" i="4"/>
  <c r="AZ75" i="4"/>
  <c r="DQ29" i="31" s="1"/>
  <c r="DR29" i="31" s="1"/>
  <c r="DS29" i="31" s="1"/>
  <c r="DT29" i="31" s="1"/>
  <c r="DU29" i="31" s="1"/>
  <c r="DV29" i="31" s="1"/>
  <c r="DW29" i="31" s="1"/>
  <c r="V122" i="4"/>
  <c r="K156" i="4"/>
  <c r="AI11" i="9" s="1"/>
  <c r="AA156" i="4"/>
  <c r="AI27" i="9" s="1"/>
  <c r="X118" i="4"/>
  <c r="BE4" i="32"/>
  <c r="BA4" i="32"/>
  <c r="BC10" i="32"/>
  <c r="V105" i="4"/>
  <c r="AE118" i="4"/>
  <c r="X10" i="32"/>
  <c r="BE10" i="32"/>
  <c r="X26" i="32"/>
  <c r="Z105" i="4"/>
  <c r="AF156" i="4"/>
  <c r="AI32" i="9" s="1"/>
  <c r="AA105" i="4"/>
  <c r="BC30" i="32"/>
  <c r="AZ17" i="32"/>
  <c r="L105" i="4"/>
  <c r="AB105" i="4"/>
  <c r="AU33" i="4"/>
  <c r="L130" i="4"/>
  <c r="L137" i="4" s="1"/>
  <c r="Q130" i="4"/>
  <c r="Q136" i="4" s="1"/>
  <c r="BB27" i="32"/>
  <c r="BE27" i="32"/>
  <c r="AF105" i="4"/>
  <c r="AF129" i="4"/>
  <c r="U129" i="4"/>
  <c r="U105" i="4"/>
  <c r="H105" i="4"/>
  <c r="H129" i="4"/>
  <c r="Y105" i="4"/>
  <c r="Y129" i="4"/>
  <c r="D3" i="31"/>
  <c r="K4" i="31" s="1"/>
  <c r="E3" i="31"/>
  <c r="L4" i="31" s="1"/>
  <c r="F3" i="31"/>
  <c r="M4" i="31" s="1"/>
  <c r="C3" i="31"/>
  <c r="J4" i="31" s="1"/>
  <c r="G3" i="31"/>
  <c r="N4" i="31" s="1"/>
  <c r="H3" i="31"/>
  <c r="O4" i="31" s="1"/>
  <c r="B3" i="31"/>
  <c r="I4" i="31" s="1"/>
  <c r="CB3" i="31"/>
  <c r="CC3" i="31" s="1"/>
  <c r="BM3" i="31"/>
  <c r="BT4" i="31" s="1"/>
  <c r="BM4" i="31" s="1"/>
  <c r="BT5" i="31" s="1"/>
  <c r="BM5" i="31" s="1"/>
  <c r="BT6" i="31" s="1"/>
  <c r="AA8" i="32"/>
  <c r="Y8" i="32"/>
  <c r="AB8" i="32"/>
  <c r="AC8" i="32"/>
  <c r="Z8" i="32"/>
  <c r="M105" i="4"/>
  <c r="M129" i="4"/>
  <c r="AC105" i="4"/>
  <c r="AC129" i="4"/>
  <c r="BB19" i="32"/>
  <c r="Y10" i="32"/>
  <c r="AC26" i="32"/>
  <c r="P156" i="4"/>
  <c r="AI16" i="9" s="1"/>
  <c r="AC10" i="32"/>
  <c r="X130" i="4"/>
  <c r="X136" i="4" s="1"/>
  <c r="S118" i="4"/>
  <c r="I122" i="4"/>
  <c r="Q122" i="4"/>
  <c r="O156" i="4"/>
  <c r="AI15" i="9" s="1"/>
  <c r="Q156" i="4"/>
  <c r="AI17" i="9" s="1"/>
  <c r="BA19" i="32"/>
  <c r="AA10" i="32"/>
  <c r="AZ77" i="4"/>
  <c r="DQ31" i="31" s="1"/>
  <c r="DR31" i="31" s="1"/>
  <c r="DS31" i="31" s="1"/>
  <c r="DT31" i="31" s="1"/>
  <c r="DU31" i="31" s="1"/>
  <c r="DV31" i="31" s="1"/>
  <c r="DW31" i="31" s="1"/>
  <c r="AC122" i="4"/>
  <c r="AV70" i="4"/>
  <c r="P24" i="31" s="1"/>
  <c r="P122" i="4"/>
  <c r="I13" i="30"/>
  <c r="V130" i="4"/>
  <c r="V136" i="4" s="1"/>
  <c r="AB10" i="32"/>
  <c r="P130" i="4"/>
  <c r="P136" i="4" s="1"/>
  <c r="BD30" i="32"/>
  <c r="BA23" i="32"/>
  <c r="BF38" i="32"/>
  <c r="AK57" i="4"/>
  <c r="AS51" i="4" s="1"/>
  <c r="AG118" i="4"/>
  <c r="G122" i="4"/>
  <c r="V118" i="4"/>
  <c r="BD23" i="32"/>
  <c r="AO58" i="4"/>
  <c r="S101" i="4"/>
  <c r="H101" i="4"/>
  <c r="AW33" i="4"/>
  <c r="S156" i="4"/>
  <c r="AI19" i="9" s="1"/>
  <c r="M118" i="4"/>
  <c r="BB30" i="32"/>
  <c r="BB23" i="32"/>
  <c r="F129" i="4"/>
  <c r="O97" i="4"/>
  <c r="W97" i="4"/>
  <c r="AE97" i="4"/>
  <c r="N129" i="4"/>
  <c r="V101" i="4"/>
  <c r="AD101" i="4"/>
  <c r="I97" i="4"/>
  <c r="T156" i="4"/>
  <c r="AI20" i="9" s="1"/>
  <c r="I118" i="4"/>
  <c r="J10" i="15"/>
  <c r="P129" i="4"/>
  <c r="X129" i="4"/>
  <c r="AF97" i="4"/>
  <c r="BL33" i="4"/>
  <c r="F122" i="4"/>
  <c r="BC23" i="32"/>
  <c r="YZ10" i="15"/>
  <c r="AK117" i="4"/>
  <c r="Y131" i="4"/>
  <c r="AG131" i="4"/>
  <c r="AB130" i="4"/>
  <c r="AB136" i="4" s="1"/>
  <c r="BQ33" i="4"/>
  <c r="BC33" i="4"/>
  <c r="AB122" i="4"/>
  <c r="I156" i="4"/>
  <c r="AI9" i="9" s="1"/>
  <c r="Y156" i="4"/>
  <c r="AI25" i="9" s="1"/>
  <c r="AZ23" i="32"/>
  <c r="AMH10" i="15"/>
  <c r="N97" i="4"/>
  <c r="AU67" i="4"/>
  <c r="AK21" i="31" s="1"/>
  <c r="O122" i="4"/>
  <c r="AH122" i="4"/>
  <c r="H156" i="4"/>
  <c r="AI8" i="9" s="1"/>
  <c r="X156" i="4"/>
  <c r="AI24" i="9" s="1"/>
  <c r="BG33" i="4"/>
  <c r="BD8" i="32"/>
  <c r="BE8" i="32"/>
  <c r="Z10" i="15"/>
  <c r="AA26" i="32"/>
  <c r="AI122" i="4"/>
  <c r="ZP10" i="15"/>
  <c r="Z26" i="32"/>
  <c r="R129" i="4"/>
  <c r="Z129" i="4"/>
  <c r="Q101" i="4"/>
  <c r="Y101" i="4"/>
  <c r="AG101" i="4"/>
  <c r="AMX10" i="15"/>
  <c r="AB26" i="32"/>
  <c r="P118" i="4"/>
  <c r="AY74" i="4"/>
  <c r="CA28" i="31" s="1"/>
  <c r="CB28" i="31" s="1"/>
  <c r="CC28" i="31" s="1"/>
  <c r="CD28" i="31" s="1"/>
  <c r="CE28" i="31" s="1"/>
  <c r="CF28" i="31" s="1"/>
  <c r="CG28" i="31" s="1"/>
  <c r="BA30" i="32"/>
  <c r="K129" i="4"/>
  <c r="S129" i="4"/>
  <c r="AA129" i="4"/>
  <c r="AI129" i="4"/>
  <c r="R101" i="4"/>
  <c r="Z101" i="4"/>
  <c r="AH101" i="4"/>
  <c r="AF101" i="4"/>
  <c r="D6" i="30"/>
  <c r="T6" i="30"/>
  <c r="G13" i="30"/>
  <c r="W13" i="30"/>
  <c r="AF118" i="4"/>
  <c r="L156" i="4"/>
  <c r="AI12" i="9" s="1"/>
  <c r="AB156" i="4"/>
  <c r="AI28" i="9" s="1"/>
  <c r="X15" i="32"/>
  <c r="Y15" i="32"/>
  <c r="Z15" i="32"/>
  <c r="AA15" i="32"/>
  <c r="AB15" i="32"/>
  <c r="AC15" i="32"/>
  <c r="X31" i="32"/>
  <c r="Y31" i="32"/>
  <c r="AA31" i="32"/>
  <c r="AB31" i="32"/>
  <c r="Z31" i="32"/>
  <c r="AC31" i="32"/>
  <c r="BB16" i="32"/>
  <c r="BE16" i="32"/>
  <c r="BA16" i="32"/>
  <c r="AZ16" i="32"/>
  <c r="BD16" i="32"/>
  <c r="BC16" i="32"/>
  <c r="AA16" i="32"/>
  <c r="Z16" i="32"/>
  <c r="Y16" i="32"/>
  <c r="AB16" i="32"/>
  <c r="AC32" i="32"/>
  <c r="Y32" i="32"/>
  <c r="X32" i="32"/>
  <c r="AB32" i="32"/>
  <c r="AA32" i="32"/>
  <c r="Z32" i="32"/>
  <c r="AA17" i="32"/>
  <c r="X17" i="32"/>
  <c r="AB17" i="32"/>
  <c r="Z17" i="32"/>
  <c r="AC17" i="32"/>
  <c r="Y17" i="32"/>
  <c r="BG3" i="32"/>
  <c r="BN4" i="32" s="1"/>
  <c r="CC3" i="32"/>
  <c r="BH3" i="32" s="1"/>
  <c r="BO4" i="32" s="1"/>
  <c r="AC101" i="4"/>
  <c r="AC130" i="4"/>
  <c r="AC136" i="4" s="1"/>
  <c r="T101" i="4"/>
  <c r="T130" i="4"/>
  <c r="T136" i="4" s="1"/>
  <c r="AC7" i="32"/>
  <c r="Z7" i="32"/>
  <c r="AB7" i="32"/>
  <c r="Y7" i="32"/>
  <c r="AA7" i="32"/>
  <c r="X7" i="32"/>
  <c r="U130" i="4"/>
  <c r="U136" i="4" s="1"/>
  <c r="U101" i="4"/>
  <c r="AB23" i="32"/>
  <c r="Y23" i="32"/>
  <c r="X23" i="32"/>
  <c r="AA23" i="32"/>
  <c r="Z23" i="32"/>
  <c r="AC23" i="32"/>
  <c r="Y24" i="32"/>
  <c r="AA24" i="32"/>
  <c r="X24" i="32"/>
  <c r="AC24" i="32"/>
  <c r="AB24" i="32"/>
  <c r="Z24" i="32"/>
  <c r="M101" i="4"/>
  <c r="M130" i="4"/>
  <c r="M136" i="4" s="1"/>
  <c r="AA9" i="32"/>
  <c r="AB9" i="32"/>
  <c r="Z9" i="32"/>
  <c r="Y9" i="32"/>
  <c r="AC9" i="32"/>
  <c r="X9" i="32"/>
  <c r="AB25" i="32"/>
  <c r="AA25" i="32"/>
  <c r="AC25" i="32"/>
  <c r="X25" i="32"/>
  <c r="Y25" i="32"/>
  <c r="Z25" i="32"/>
  <c r="AZV10" i="15"/>
  <c r="AK160" i="4"/>
  <c r="AN160" i="4" s="1"/>
  <c r="AK166" i="4"/>
  <c r="AZ14" i="32"/>
  <c r="N101" i="4"/>
  <c r="X101" i="4"/>
  <c r="AY11" i="32"/>
  <c r="F101" i="4"/>
  <c r="O129" i="4"/>
  <c r="W129" i="4"/>
  <c r="AE129" i="4"/>
  <c r="H131" i="4"/>
  <c r="I130" i="4"/>
  <c r="I137" i="4" s="1"/>
  <c r="Y130" i="4"/>
  <c r="Y136" i="4" s="1"/>
  <c r="AG130" i="4"/>
  <c r="AG136" i="4" s="1"/>
  <c r="AB118" i="4"/>
  <c r="AD129" i="4"/>
  <c r="AF130" i="4"/>
  <c r="AF136" i="4" s="1"/>
  <c r="BA21" i="32"/>
  <c r="Q97" i="4"/>
  <c r="P101" i="4"/>
  <c r="W131" i="4"/>
  <c r="J131" i="4"/>
  <c r="K118" i="4"/>
  <c r="N118" i="4"/>
  <c r="BA14" i="32"/>
  <c r="AD130" i="4"/>
  <c r="AD136" i="4" s="1"/>
  <c r="G168" i="4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AG168" i="4" s="1"/>
  <c r="AH168" i="4" s="1"/>
  <c r="AI168" i="4" s="1"/>
  <c r="AJ168" i="4" s="1"/>
  <c r="AF159" i="4"/>
  <c r="BC14" i="32"/>
  <c r="BD3" i="32"/>
  <c r="F131" i="4"/>
  <c r="AB129" i="4"/>
  <c r="AH11" i="30"/>
  <c r="C27" i="30" s="1"/>
  <c r="T105" i="4"/>
  <c r="AU56" i="4"/>
  <c r="AK10" i="31" s="1"/>
  <c r="AH7" i="15"/>
  <c r="L129" i="4"/>
  <c r="P159" i="4"/>
  <c r="M156" i="4"/>
  <c r="AI13" i="9" s="1"/>
  <c r="AC156" i="4"/>
  <c r="AI29" i="9" s="1"/>
  <c r="AI118" i="4"/>
  <c r="O118" i="4"/>
  <c r="AK99" i="4"/>
  <c r="J101" i="4"/>
  <c r="G129" i="4"/>
  <c r="P105" i="4"/>
  <c r="X105" i="4"/>
  <c r="AG129" i="4"/>
  <c r="I131" i="4"/>
  <c r="BD14" i="32"/>
  <c r="BE14" i="32"/>
  <c r="AB28" i="32"/>
  <c r="AB97" i="4"/>
  <c r="K101" i="4"/>
  <c r="AA101" i="4"/>
  <c r="AI131" i="4"/>
  <c r="AK85" i="4"/>
  <c r="AG122" i="4"/>
  <c r="W118" i="4"/>
  <c r="AK110" i="4"/>
  <c r="Q105" i="4"/>
  <c r="Y28" i="32"/>
  <c r="AW52" i="4"/>
  <c r="BF6" i="31" s="1"/>
  <c r="J105" i="4"/>
  <c r="AC28" i="32"/>
  <c r="Q118" i="4"/>
  <c r="H130" i="4"/>
  <c r="H137" i="4" s="1"/>
  <c r="V129" i="4"/>
  <c r="AY26" i="32"/>
  <c r="Q159" i="4"/>
  <c r="F156" i="4"/>
  <c r="AI6" i="9" s="1"/>
  <c r="G97" i="4"/>
  <c r="F105" i="4"/>
  <c r="AH4" i="30"/>
  <c r="AK4" i="30" s="1"/>
  <c r="Y118" i="4"/>
  <c r="H118" i="4"/>
  <c r="AG156" i="4"/>
  <c r="AI33" i="9" s="1"/>
  <c r="S122" i="4"/>
  <c r="Q10" i="15"/>
  <c r="O130" i="4"/>
  <c r="O136" i="4" s="1"/>
  <c r="F118" i="4"/>
  <c r="R122" i="4"/>
  <c r="ZG10" i="15"/>
  <c r="O105" i="4"/>
  <c r="AE105" i="4"/>
  <c r="AE130" i="4"/>
  <c r="AE136" i="4" s="1"/>
  <c r="BE28" i="32"/>
  <c r="Z21" i="32"/>
  <c r="AK100" i="4"/>
  <c r="J129" i="4"/>
  <c r="BC24" i="32"/>
  <c r="BC17" i="32"/>
  <c r="T97" i="4"/>
  <c r="L97" i="4"/>
  <c r="AG105" i="4"/>
  <c r="AA27" i="32"/>
  <c r="AA5" i="32"/>
  <c r="X4" i="32"/>
  <c r="AK98" i="4"/>
  <c r="H97" i="4"/>
  <c r="W101" i="4"/>
  <c r="AE101" i="4"/>
  <c r="X5" i="32"/>
  <c r="AC4" i="32"/>
  <c r="BB17" i="32"/>
  <c r="AZ27" i="32"/>
  <c r="AZ10" i="32"/>
  <c r="BC28" i="32"/>
  <c r="AA97" i="4"/>
  <c r="S97" i="4"/>
  <c r="K97" i="4"/>
  <c r="L101" i="4"/>
  <c r="AA131" i="4"/>
  <c r="AB101" i="4"/>
  <c r="AC11" i="32"/>
  <c r="Z5" i="32"/>
  <c r="Y4" i="32"/>
  <c r="AB19" i="32"/>
  <c r="I129" i="4"/>
  <c r="BE24" i="32"/>
  <c r="BD17" i="32"/>
  <c r="AC5" i="32"/>
  <c r="AK103" i="4"/>
  <c r="BA27" i="32"/>
  <c r="BA25" i="32"/>
  <c r="BE29" i="32"/>
  <c r="BB28" i="32"/>
  <c r="AI97" i="4"/>
  <c r="Z97" i="4"/>
  <c r="R97" i="4"/>
  <c r="P131" i="4"/>
  <c r="AA11" i="32"/>
  <c r="Y5" i="32"/>
  <c r="Z19" i="32"/>
  <c r="BD4" i="32"/>
  <c r="G105" i="4"/>
  <c r="BA29" i="32"/>
  <c r="AC16" i="32"/>
  <c r="X28" i="32"/>
  <c r="BE17" i="32"/>
  <c r="G101" i="4"/>
  <c r="J130" i="4"/>
  <c r="J137" i="4" s="1"/>
  <c r="BC29" i="32"/>
  <c r="AH129" i="4"/>
  <c r="O101" i="4"/>
  <c r="BD28" i="32"/>
  <c r="BA24" i="32"/>
  <c r="BA28" i="32"/>
  <c r="X16" i="32"/>
  <c r="AA28" i="32"/>
  <c r="X8" i="32"/>
  <c r="AA21" i="32"/>
  <c r="AB20" i="32"/>
  <c r="BB29" i="32"/>
  <c r="BD29" i="32"/>
  <c r="F97" i="4"/>
  <c r="BC27" i="32"/>
  <c r="AB21" i="32"/>
  <c r="AN58" i="4"/>
  <c r="AC21" i="32"/>
  <c r="BD27" i="32"/>
  <c r="AK114" i="4"/>
  <c r="AC3" i="31"/>
  <c r="AJ4" i="31" s="1"/>
  <c r="AB3" i="31"/>
  <c r="AI4" i="31" s="1"/>
  <c r="Z3" i="31"/>
  <c r="AG4" i="31" s="1"/>
  <c r="AA3" i="31"/>
  <c r="AH4" i="31" s="1"/>
  <c r="X3" i="31"/>
  <c r="AE4" i="31" s="1"/>
  <c r="Y3" i="31"/>
  <c r="AF4" i="31" s="1"/>
  <c r="CL3" i="31"/>
  <c r="CS4" i="31" s="1"/>
  <c r="CH3" i="31"/>
  <c r="CO4" i="31" s="1"/>
  <c r="CJ3" i="31"/>
  <c r="CQ4" i="31" s="1"/>
  <c r="AK104" i="4"/>
  <c r="AZ51" i="4"/>
  <c r="DQ5" i="31" s="1"/>
  <c r="DR5" i="31" s="1"/>
  <c r="DS5" i="31" s="1"/>
  <c r="DT5" i="31" s="1"/>
  <c r="DU5" i="31" s="1"/>
  <c r="DV5" i="31" s="1"/>
  <c r="DW5" i="31" s="1"/>
  <c r="AV33" i="4"/>
  <c r="AK108" i="4"/>
  <c r="AH5" i="30"/>
  <c r="AK5" i="30" s="1"/>
  <c r="CM3" i="31"/>
  <c r="CT4" i="31" s="1"/>
  <c r="CN3" i="31"/>
  <c r="CU4" i="31" s="1"/>
  <c r="Y122" i="4"/>
  <c r="AY68" i="4"/>
  <c r="CA22" i="31" s="1"/>
  <c r="CB22" i="31" s="1"/>
  <c r="CC22" i="31" s="1"/>
  <c r="CD22" i="31" s="1"/>
  <c r="CE22" i="31" s="1"/>
  <c r="CF22" i="31" s="1"/>
  <c r="CG22" i="31" s="1"/>
  <c r="AU64" i="4"/>
  <c r="AK18" i="31" s="1"/>
  <c r="U118" i="4"/>
  <c r="BN33" i="4"/>
  <c r="Z122" i="4"/>
  <c r="AZ69" i="4"/>
  <c r="DQ23" i="31" s="1"/>
  <c r="DR23" i="31" s="1"/>
  <c r="DS23" i="31" s="1"/>
  <c r="DT23" i="31" s="1"/>
  <c r="DU23" i="31" s="1"/>
  <c r="DV23" i="31" s="1"/>
  <c r="DW23" i="31" s="1"/>
  <c r="AY57" i="4"/>
  <c r="CA11" i="31" s="1"/>
  <c r="CB11" i="31" s="1"/>
  <c r="CC11" i="31" s="1"/>
  <c r="CD11" i="31" s="1"/>
  <c r="CE11" i="31" s="1"/>
  <c r="CF11" i="31" s="1"/>
  <c r="CG11" i="31" s="1"/>
  <c r="N122" i="4"/>
  <c r="AV77" i="4"/>
  <c r="P31" i="31" s="1"/>
  <c r="AH118" i="4"/>
  <c r="AV61" i="4"/>
  <c r="P15" i="31" s="1"/>
  <c r="R118" i="4"/>
  <c r="AD118" i="4"/>
  <c r="AU73" i="4"/>
  <c r="AK27" i="31" s="1"/>
  <c r="V156" i="4"/>
  <c r="AI22" i="9" s="1"/>
  <c r="AX55" i="4"/>
  <c r="CV9" i="31" s="1"/>
  <c r="CW9" i="31" s="1"/>
  <c r="CX9" i="31" s="1"/>
  <c r="CY9" i="31" s="1"/>
  <c r="CZ9" i="31" s="1"/>
  <c r="DA9" i="31" s="1"/>
  <c r="DB9" i="31" s="1"/>
  <c r="L122" i="4"/>
  <c r="G156" i="4"/>
  <c r="W156" i="4"/>
  <c r="AI23" i="9" s="1"/>
  <c r="AY75" i="4"/>
  <c r="CA29" i="31" s="1"/>
  <c r="CB29" i="31" s="1"/>
  <c r="CC29" i="31" s="1"/>
  <c r="CD29" i="31" s="1"/>
  <c r="CE29" i="31" s="1"/>
  <c r="CF29" i="31" s="1"/>
  <c r="CG29" i="31" s="1"/>
  <c r="AF122" i="4"/>
  <c r="H122" i="4"/>
  <c r="J156" i="4"/>
  <c r="AI10" i="9" s="1"/>
  <c r="Z156" i="4"/>
  <c r="AI26" i="9" s="1"/>
  <c r="AC118" i="4"/>
  <c r="AU72" i="4"/>
  <c r="AK26" i="31" s="1"/>
  <c r="T122" i="4"/>
  <c r="BH33" i="4"/>
  <c r="AZ63" i="4"/>
  <c r="DQ17" i="31" s="1"/>
  <c r="DR17" i="31" s="1"/>
  <c r="DS17" i="31" s="1"/>
  <c r="DT17" i="31" s="1"/>
  <c r="DU17" i="31" s="1"/>
  <c r="DV17" i="31" s="1"/>
  <c r="DW17" i="31" s="1"/>
  <c r="B3" i="32"/>
  <c r="I4" i="32" s="1"/>
  <c r="B4" i="32" s="1"/>
  <c r="I5" i="32" s="1"/>
  <c r="AX63" i="4"/>
  <c r="CV17" i="31" s="1"/>
  <c r="CW17" i="31" s="1"/>
  <c r="CX17" i="31" s="1"/>
  <c r="CY17" i="31" s="1"/>
  <c r="CZ17" i="31" s="1"/>
  <c r="DA17" i="31" s="1"/>
  <c r="DB17" i="31" s="1"/>
  <c r="AW49" i="4"/>
  <c r="BF3" i="31" s="1"/>
  <c r="AW69" i="4"/>
  <c r="BF23" i="31" s="1"/>
  <c r="Z118" i="4"/>
  <c r="AW57" i="4"/>
  <c r="BF11" i="31" s="1"/>
  <c r="YS7" i="15"/>
  <c r="AMA7" i="15"/>
  <c r="B82" i="1"/>
  <c r="B87" i="1" s="1"/>
  <c r="C6" i="14"/>
  <c r="AZH7" i="15"/>
  <c r="F148" i="4"/>
  <c r="AK72" i="1"/>
  <c r="K162" i="4"/>
  <c r="Z162" i="4"/>
  <c r="J25" i="23" s="1"/>
  <c r="AK215" i="4"/>
  <c r="J162" i="4"/>
  <c r="J9" i="23" s="1"/>
  <c r="F12" i="15"/>
  <c r="AH12" i="15" s="1"/>
  <c r="Y162" i="4"/>
  <c r="J24" i="23" s="1"/>
  <c r="I197" i="4"/>
  <c r="E88" i="1" s="1"/>
  <c r="F21" i="24"/>
  <c r="AK196" i="4"/>
  <c r="V197" i="4"/>
  <c r="V88" i="1" s="1"/>
  <c r="L18" i="17"/>
  <c r="N18" i="17"/>
  <c r="AL192" i="4"/>
  <c r="F30" i="24"/>
  <c r="H30" i="24" s="1"/>
  <c r="U197" i="4"/>
  <c r="U88" i="1" s="1"/>
  <c r="E35" i="24"/>
  <c r="F17" i="24"/>
  <c r="F10" i="24"/>
  <c r="H10" i="24" s="1"/>
  <c r="AD47" i="17"/>
  <c r="J18" i="17"/>
  <c r="F11" i="24"/>
  <c r="H11" i="24" s="1"/>
  <c r="F33" i="24"/>
  <c r="H33" i="24" s="1"/>
  <c r="F25" i="24"/>
  <c r="H25" i="24" s="1"/>
  <c r="F14" i="24"/>
  <c r="T19" i="17"/>
  <c r="AI197" i="4"/>
  <c r="AI88" i="1" s="1"/>
  <c r="F13" i="24"/>
  <c r="H13" i="24" s="1"/>
  <c r="F12" i="24"/>
  <c r="H12" i="24" s="1"/>
  <c r="F28" i="24"/>
  <c r="H28" i="24" s="1"/>
  <c r="L19" i="17"/>
  <c r="D32" i="24"/>
  <c r="F32" i="24" s="1"/>
  <c r="H32" i="24" s="1"/>
  <c r="D9" i="24"/>
  <c r="F9" i="24" s="1"/>
  <c r="H9" i="24" s="1"/>
  <c r="T48" i="17"/>
  <c r="F27" i="24"/>
  <c r="H27" i="24" s="1"/>
  <c r="F18" i="24"/>
  <c r="AA197" i="4"/>
  <c r="AA88" i="1" s="1"/>
  <c r="F31" i="24"/>
  <c r="H31" i="24" s="1"/>
  <c r="AL184" i="4"/>
  <c r="F20" i="24"/>
  <c r="Z18" i="17"/>
  <c r="I47" i="17"/>
  <c r="Y47" i="17"/>
  <c r="AL185" i="4"/>
  <c r="J48" i="17"/>
  <c r="Z48" i="17"/>
  <c r="F6" i="24"/>
  <c r="H6" i="24" s="1"/>
  <c r="D8" i="24"/>
  <c r="F8" i="24" s="1"/>
  <c r="H8" i="24" s="1"/>
  <c r="F23" i="24"/>
  <c r="H23" i="24" s="1"/>
  <c r="I23" i="24" s="1"/>
  <c r="K47" i="17"/>
  <c r="AA48" i="17"/>
  <c r="R19" i="17"/>
  <c r="L48" i="17"/>
  <c r="AB48" i="17"/>
  <c r="T69" i="32"/>
  <c r="BAA6" i="15"/>
  <c r="V6" i="15"/>
  <c r="AMT6" i="15"/>
  <c r="V5" i="14"/>
  <c r="ZL6" i="15"/>
  <c r="S159" i="4"/>
  <c r="P9" i="15"/>
  <c r="AV22" i="32"/>
  <c r="AS22" i="32"/>
  <c r="AX22" i="32"/>
  <c r="AW22" i="32"/>
  <c r="AT22" i="32"/>
  <c r="AU22" i="32"/>
  <c r="Q58" i="31"/>
  <c r="Z161" i="4" s="1"/>
  <c r="AR23" i="32"/>
  <c r="AD159" i="4"/>
  <c r="AA9" i="15"/>
  <c r="AV30" i="32"/>
  <c r="AU30" i="32"/>
  <c r="AT30" i="32"/>
  <c r="AX30" i="32"/>
  <c r="AW30" i="32"/>
  <c r="P28" i="32"/>
  <c r="Q63" i="31"/>
  <c r="AE161" i="4" s="1"/>
  <c r="AF9" i="15"/>
  <c r="AI159" i="4"/>
  <c r="R159" i="4"/>
  <c r="O9" i="15"/>
  <c r="S3" i="32"/>
  <c r="T3" i="32"/>
  <c r="R3" i="32"/>
  <c r="V3" i="32"/>
  <c r="H3" i="32" s="1"/>
  <c r="O4" i="32" s="1"/>
  <c r="U3" i="32"/>
  <c r="AD9" i="15"/>
  <c r="AG159" i="4"/>
  <c r="X159" i="4"/>
  <c r="U9" i="15"/>
  <c r="E9" i="15"/>
  <c r="H159" i="4"/>
  <c r="AX6" i="32"/>
  <c r="AS6" i="32"/>
  <c r="AT6" i="32"/>
  <c r="AU6" i="32"/>
  <c r="AW6" i="32"/>
  <c r="AV6" i="32"/>
  <c r="AR18" i="32"/>
  <c r="Q53" i="31"/>
  <c r="U161" i="4" s="1"/>
  <c r="CO3" i="32"/>
  <c r="BF3" i="32" s="1"/>
  <c r="BM4" i="32" s="1"/>
  <c r="W3" i="31"/>
  <c r="AD4" i="31" s="1"/>
  <c r="L159" i="4"/>
  <c r="I9" i="15"/>
  <c r="AX3" i="32"/>
  <c r="AS3" i="32"/>
  <c r="AV3" i="32"/>
  <c r="AW3" i="32"/>
  <c r="AU3" i="32"/>
  <c r="AT3" i="32"/>
  <c r="V159" i="4"/>
  <c r="S9" i="15"/>
  <c r="AS29" i="32"/>
  <c r="AT29" i="32"/>
  <c r="AU29" i="32"/>
  <c r="AX29" i="32"/>
  <c r="AV29" i="32"/>
  <c r="G9" i="15"/>
  <c r="AW4" i="32"/>
  <c r="AX4" i="32"/>
  <c r="AT4" i="32"/>
  <c r="AU4" i="32"/>
  <c r="AS4" i="32"/>
  <c r="AV4" i="32"/>
  <c r="AT5" i="32"/>
  <c r="AV5" i="32"/>
  <c r="AS5" i="32"/>
  <c r="AU5" i="32"/>
  <c r="AX5" i="32"/>
  <c r="K159" i="4"/>
  <c r="H9" i="15"/>
  <c r="AA159" i="4"/>
  <c r="X9" i="15"/>
  <c r="L9" i="15"/>
  <c r="O159" i="4"/>
  <c r="Q66" i="31"/>
  <c r="AH161" i="4" s="1"/>
  <c r="AR31" i="32"/>
  <c r="P20" i="32"/>
  <c r="Q55" i="31"/>
  <c r="W161" i="4" s="1"/>
  <c r="AW29" i="32"/>
  <c r="T159" i="4"/>
  <c r="Q9" i="15"/>
  <c r="Y9" i="15"/>
  <c r="AB159" i="4"/>
  <c r="AU33" i="32"/>
  <c r="Q38" i="31"/>
  <c r="F161" i="4" s="1"/>
  <c r="Q61" i="31"/>
  <c r="AC161" i="4" s="1"/>
  <c r="V9" i="15"/>
  <c r="N9" i="15"/>
  <c r="Q41" i="31"/>
  <c r="I161" i="4" s="1"/>
  <c r="CO30" i="32"/>
  <c r="CP30" i="32" s="1"/>
  <c r="CQ30" i="32" s="1"/>
  <c r="CR30" i="32" s="1"/>
  <c r="CS30" i="32" s="1"/>
  <c r="CT30" i="32" s="1"/>
  <c r="CU30" i="32" s="1"/>
  <c r="M159" i="4"/>
  <c r="AW33" i="32"/>
  <c r="Q39" i="31"/>
  <c r="G161" i="4" s="1"/>
  <c r="B50" i="9"/>
  <c r="B49" i="9"/>
  <c r="B53" i="9"/>
  <c r="B45" i="9"/>
  <c r="E19" i="17"/>
  <c r="J19" i="17"/>
  <c r="AK191" i="4"/>
  <c r="E17" i="1" s="1"/>
  <c r="I17" i="1" s="1"/>
  <c r="Z47" i="17"/>
  <c r="T18" i="17"/>
  <c r="AD18" i="17"/>
  <c r="H21" i="17"/>
  <c r="AH21" i="17" s="1"/>
  <c r="D16" i="24"/>
  <c r="F16" i="24" s="1"/>
  <c r="AA47" i="17"/>
  <c r="M18" i="17"/>
  <c r="P48" i="17"/>
  <c r="AF48" i="17"/>
  <c r="AH50" i="17"/>
  <c r="T197" i="4"/>
  <c r="T88" i="1" s="1"/>
  <c r="D24" i="24"/>
  <c r="F24" i="24" s="1"/>
  <c r="H24" i="24" s="1"/>
  <c r="Q47" i="17"/>
  <c r="I48" i="17"/>
  <c r="D18" i="17"/>
  <c r="D34" i="24"/>
  <c r="F34" i="24" s="1"/>
  <c r="H34" i="24" s="1"/>
  <c r="D19" i="24"/>
  <c r="F19" i="24" s="1"/>
  <c r="D15" i="24"/>
  <c r="F15" i="24" s="1"/>
  <c r="Z19" i="17"/>
  <c r="R18" i="17"/>
  <c r="E18" i="17"/>
  <c r="J47" i="17"/>
  <c r="AB18" i="17"/>
  <c r="D47" i="17"/>
  <c r="T47" i="17"/>
  <c r="Y48" i="17"/>
  <c r="U18" i="17"/>
  <c r="K48" i="17"/>
  <c r="AB47" i="17"/>
  <c r="AL189" i="4"/>
  <c r="AK195" i="4"/>
  <c r="AL195" i="4" s="1"/>
  <c r="AC18" i="17"/>
  <c r="S19" i="17"/>
  <c r="S18" i="17"/>
  <c r="I19" i="17"/>
  <c r="I18" i="17"/>
  <c r="AE19" i="17"/>
  <c r="AE18" i="17"/>
  <c r="X19" i="17"/>
  <c r="X18" i="17"/>
  <c r="Y19" i="17"/>
  <c r="Y18" i="17"/>
  <c r="O19" i="17"/>
  <c r="O18" i="17"/>
  <c r="K18" i="17"/>
  <c r="K19" i="17"/>
  <c r="AG19" i="17"/>
  <c r="AG18" i="17"/>
  <c r="P19" i="17"/>
  <c r="P18" i="17"/>
  <c r="AA19" i="17"/>
  <c r="AA18" i="17"/>
  <c r="Q19" i="17"/>
  <c r="Q18" i="17"/>
  <c r="F18" i="17"/>
  <c r="F19" i="17"/>
  <c r="AF19" i="17"/>
  <c r="AF18" i="17"/>
  <c r="W19" i="17"/>
  <c r="W18" i="17"/>
  <c r="G18" i="17"/>
  <c r="G19" i="17"/>
  <c r="D26" i="24"/>
  <c r="F26" i="24" s="1"/>
  <c r="H26" i="24" s="1"/>
  <c r="AC19" i="17"/>
  <c r="U19" i="17"/>
  <c r="M19" i="17"/>
  <c r="D22" i="24"/>
  <c r="F22" i="24" s="1"/>
  <c r="D7" i="24"/>
  <c r="F7" i="24" s="1"/>
  <c r="H7" i="24" s="1"/>
  <c r="C20" i="17"/>
  <c r="AK184" i="4"/>
  <c r="E16" i="1" s="1"/>
  <c r="Q16" i="1" s="1"/>
  <c r="AF47" i="17"/>
  <c r="F48" i="17"/>
  <c r="Y197" i="4"/>
  <c r="Y88" i="1" s="1"/>
  <c r="L197" i="4"/>
  <c r="H88" i="1" s="1"/>
  <c r="D19" i="17"/>
  <c r="O197" i="4"/>
  <c r="K88" i="1" s="1"/>
  <c r="AD19" i="17"/>
  <c r="V19" i="17"/>
  <c r="N19" i="17"/>
  <c r="P47" i="17"/>
  <c r="AG47" i="17"/>
  <c r="AH49" i="17"/>
  <c r="AG48" i="17"/>
  <c r="Q15" i="1"/>
  <c r="Q36" i="20" s="1"/>
  <c r="AL4" i="4"/>
  <c r="AL28" i="4" s="1"/>
  <c r="AJ9" i="4"/>
  <c r="AJ139" i="4" s="1"/>
  <c r="AJ150" i="4" s="1"/>
  <c r="AL8" i="4"/>
  <c r="AL32" i="4" s="1"/>
  <c r="AK7" i="4"/>
  <c r="AK29" i="4"/>
  <c r="AK8" i="4"/>
  <c r="AK89" i="4"/>
  <c r="E32" i="19"/>
  <c r="AJ107" i="4"/>
  <c r="AJ130" i="4" s="1"/>
  <c r="AL111" i="4"/>
  <c r="AL85" i="4"/>
  <c r="AK120" i="4"/>
  <c r="AL110" i="4"/>
  <c r="AK121" i="4"/>
  <c r="AJ106" i="4"/>
  <c r="AJ129" i="4" s="1"/>
  <c r="G32" i="19"/>
  <c r="D12" i="1"/>
  <c r="Q12" i="1"/>
  <c r="AC33" i="32"/>
  <c r="AB33" i="32"/>
  <c r="X33" i="32"/>
  <c r="Z33" i="32"/>
  <c r="AA33" i="32"/>
  <c r="Y33" i="32"/>
  <c r="BL38" i="32"/>
  <c r="AY33" i="32"/>
  <c r="CB33" i="31"/>
  <c r="CC33" i="31" s="1"/>
  <c r="CD33" i="31" s="1"/>
  <c r="CE33" i="31" s="1"/>
  <c r="CW33" i="31"/>
  <c r="CX33" i="31" s="1"/>
  <c r="CY33" i="31" s="1"/>
  <c r="CZ33" i="31" s="1"/>
  <c r="DA33" i="31" s="1"/>
  <c r="CB33" i="32"/>
  <c r="CC33" i="32" s="1"/>
  <c r="CD33" i="32" s="1"/>
  <c r="CE33" i="32" s="1"/>
  <c r="CF33" i="32" s="1"/>
  <c r="CG33" i="32" s="1"/>
  <c r="AJ122" i="4"/>
  <c r="AZ79" i="4"/>
  <c r="DQ33" i="31" s="1"/>
  <c r="BX33" i="4"/>
  <c r="AK165" i="4"/>
  <c r="H32" i="19"/>
  <c r="I32" i="19"/>
  <c r="AK157" i="4"/>
  <c r="AJ156" i="4"/>
  <c r="BAL10" i="15"/>
  <c r="AL157" i="4"/>
  <c r="ANE10" i="15"/>
  <c r="ZW10" i="15"/>
  <c r="AG10" i="15"/>
  <c r="AJ118" i="4"/>
  <c r="AJ131" i="4"/>
  <c r="AK102" i="4"/>
  <c r="AJ101" i="4"/>
  <c r="D32" i="19"/>
  <c r="AK53" i="4"/>
  <c r="AL53" i="4"/>
  <c r="AL114" i="4"/>
  <c r="AL112" i="4"/>
  <c r="AL113" i="4"/>
  <c r="AJ97" i="4"/>
  <c r="AG6" i="30"/>
  <c r="AK116" i="4"/>
  <c r="AJ82" i="1"/>
  <c r="AJ87" i="1" s="1"/>
  <c r="ANE7" i="15"/>
  <c r="BAL7" i="15"/>
  <c r="G15" i="1"/>
  <c r="K50" i="20"/>
  <c r="R15" i="1"/>
  <c r="E12" i="1"/>
  <c r="G50" i="20"/>
  <c r="T7" i="1"/>
  <c r="H22" i="24" l="1"/>
  <c r="I22" i="24" s="1"/>
  <c r="H15" i="24"/>
  <c r="I15" i="24" s="1"/>
  <c r="H19" i="24"/>
  <c r="I19" i="24" s="1"/>
  <c r="H16" i="24"/>
  <c r="I16" i="24" s="1"/>
  <c r="H20" i="24"/>
  <c r="I20" i="24" s="1"/>
  <c r="H18" i="24"/>
  <c r="I18" i="24" s="1"/>
  <c r="H14" i="24"/>
  <c r="I14" i="24" s="1"/>
  <c r="H17" i="24"/>
  <c r="I17" i="24" s="1"/>
  <c r="H21" i="24"/>
  <c r="I21" i="24" s="1"/>
  <c r="J10" i="23"/>
  <c r="AL162" i="4"/>
  <c r="D10" i="1" s="1"/>
  <c r="C42" i="22" s="1"/>
  <c r="AK151" i="4"/>
  <c r="J63" i="13"/>
  <c r="D35" i="28"/>
  <c r="S7" i="1"/>
  <c r="AK31" i="4"/>
  <c r="S147" i="4"/>
  <c r="S149" i="4" s="1"/>
  <c r="AB143" i="4"/>
  <c r="AC70" i="1"/>
  <c r="AB147" i="4"/>
  <c r="AB149" i="4" s="1"/>
  <c r="Y109" i="4"/>
  <c r="BB7" i="32"/>
  <c r="BD7" i="32"/>
  <c r="BB8" i="32"/>
  <c r="BA8" i="32"/>
  <c r="BC8" i="32"/>
  <c r="AD109" i="4"/>
  <c r="BD25" i="32"/>
  <c r="BE25" i="32"/>
  <c r="D3" i="32"/>
  <c r="K4" i="32" s="1"/>
  <c r="D4" i="32" s="1"/>
  <c r="AC109" i="4"/>
  <c r="BE3" i="32"/>
  <c r="E3" i="32"/>
  <c r="L4" i="32" s="1"/>
  <c r="BC25" i="32"/>
  <c r="BB25" i="32"/>
  <c r="BB10" i="32"/>
  <c r="C29" i="30"/>
  <c r="G29" i="30" s="1"/>
  <c r="G3" i="32"/>
  <c r="N4" i="32" s="1"/>
  <c r="G4" i="32" s="1"/>
  <c r="N5" i="32" s="1"/>
  <c r="G5" i="32" s="1"/>
  <c r="N6" i="32" s="1"/>
  <c r="F3" i="32"/>
  <c r="M4" i="32" s="1"/>
  <c r="F4" i="32" s="1"/>
  <c r="M5" i="32" s="1"/>
  <c r="F5" i="32" s="1"/>
  <c r="M6" i="32" s="1"/>
  <c r="AZ25" i="32"/>
  <c r="AZ3" i="32"/>
  <c r="AE3" i="32" s="1"/>
  <c r="AL4" i="32" s="1"/>
  <c r="W109" i="4"/>
  <c r="AH109" i="4"/>
  <c r="AE109" i="4"/>
  <c r="BA3" i="32"/>
  <c r="AD3" i="32"/>
  <c r="AK4" i="32" s="1"/>
  <c r="AD4" i="32" s="1"/>
  <c r="AK5" i="32" s="1"/>
  <c r="AD5" i="32" s="1"/>
  <c r="AK6" i="32" s="1"/>
  <c r="AD6" i="32" s="1"/>
  <c r="AK7" i="32" s="1"/>
  <c r="AD7" i="32" s="1"/>
  <c r="AK8" i="32" s="1"/>
  <c r="AD8" i="32" s="1"/>
  <c r="AK9" i="32" s="1"/>
  <c r="BC3" i="32"/>
  <c r="AH3" i="32" s="1"/>
  <c r="AO4" i="32" s="1"/>
  <c r="AH4" i="32" s="1"/>
  <c r="AJ6" i="9"/>
  <c r="BC6" i="32"/>
  <c r="BA10" i="32"/>
  <c r="AZ6" i="32"/>
  <c r="BA9" i="32"/>
  <c r="X63" i="13"/>
  <c r="Y60" i="13" s="1"/>
  <c r="U6" i="14"/>
  <c r="AZZ7" i="15"/>
  <c r="AMS7" i="15"/>
  <c r="ZK7" i="15"/>
  <c r="X82" i="1"/>
  <c r="X87" i="1" s="1"/>
  <c r="AC6" i="14"/>
  <c r="BAH7" i="15"/>
  <c r="ANA7" i="15"/>
  <c r="ZS7" i="15"/>
  <c r="AF82" i="1"/>
  <c r="AF87" i="1" s="1"/>
  <c r="AE63" i="13"/>
  <c r="AF60" i="13" s="1"/>
  <c r="X149" i="4"/>
  <c r="I6" i="14"/>
  <c r="AZN7" i="15"/>
  <c r="AMG7" i="15"/>
  <c r="YY7" i="15"/>
  <c r="H82" i="1"/>
  <c r="H87" i="1" s="1"/>
  <c r="X152" i="4"/>
  <c r="BAA7" i="15"/>
  <c r="AMT7" i="15"/>
  <c r="ZL7" i="15"/>
  <c r="Y82" i="1"/>
  <c r="Y87" i="1" s="1"/>
  <c r="V6" i="14"/>
  <c r="G82" i="1"/>
  <c r="G87" i="1" s="1"/>
  <c r="H6" i="14"/>
  <c r="AZM7" i="15"/>
  <c r="AMF7" i="15"/>
  <c r="YX7" i="15"/>
  <c r="I15" i="1"/>
  <c r="G36" i="20"/>
  <c r="K36" i="20" s="1"/>
  <c r="AJ143" i="4"/>
  <c r="G16" i="1"/>
  <c r="M16" i="1"/>
  <c r="P16" i="1" s="1"/>
  <c r="AI109" i="4"/>
  <c r="I109" i="4"/>
  <c r="K147" i="4"/>
  <c r="K149" i="4" s="1"/>
  <c r="K150" i="4"/>
  <c r="K152" i="4" s="1"/>
  <c r="I70" i="1"/>
  <c r="L143" i="4"/>
  <c r="L147" i="4"/>
  <c r="L149" i="4" s="1"/>
  <c r="P147" i="4"/>
  <c r="P149" i="4" s="1"/>
  <c r="P150" i="4"/>
  <c r="P152" i="4" s="1"/>
  <c r="P143" i="4"/>
  <c r="N6" i="14"/>
  <c r="AZS7" i="15"/>
  <c r="AML7" i="15"/>
  <c r="ZD7" i="15"/>
  <c r="Q82" i="1"/>
  <c r="Q87" i="1" s="1"/>
  <c r="Q63" i="13"/>
  <c r="R60" i="13" s="1"/>
  <c r="R150" i="4"/>
  <c r="R152" i="4" s="1"/>
  <c r="R147" i="4"/>
  <c r="R149" i="4" s="1"/>
  <c r="R143" i="4"/>
  <c r="S70" i="1"/>
  <c r="N150" i="4"/>
  <c r="N152" i="4" s="1"/>
  <c r="K70" i="1"/>
  <c r="H70" i="1"/>
  <c r="N147" i="4"/>
  <c r="N149" i="4" s="1"/>
  <c r="AK139" i="4"/>
  <c r="AC5" i="17" s="1"/>
  <c r="F150" i="4"/>
  <c r="F152" i="4" s="1"/>
  <c r="C70" i="1"/>
  <c r="F147" i="4"/>
  <c r="P109" i="4"/>
  <c r="ZA7" i="15"/>
  <c r="J82" i="1"/>
  <c r="J87" i="1" s="1"/>
  <c r="K6" i="14"/>
  <c r="AZP7" i="15"/>
  <c r="AMI7" i="15"/>
  <c r="N109" i="4"/>
  <c r="BC9" i="32"/>
  <c r="BB9" i="32"/>
  <c r="BE9" i="32"/>
  <c r="D4" i="31"/>
  <c r="K5" i="31" s="1"/>
  <c r="J147" i="4"/>
  <c r="J149" i="4" s="1"/>
  <c r="J150" i="4"/>
  <c r="J152" i="4" s="1"/>
  <c r="G70" i="1"/>
  <c r="AZL7" i="15"/>
  <c r="YW7" i="15"/>
  <c r="F82" i="1"/>
  <c r="F87" i="1" s="1"/>
  <c r="G6" i="14"/>
  <c r="AME7" i="15"/>
  <c r="BC7" i="32"/>
  <c r="AZ7" i="32"/>
  <c r="BA7" i="32"/>
  <c r="V6" i="1"/>
  <c r="X6" i="1" s="1"/>
  <c r="BD6" i="32"/>
  <c r="BA6" i="32"/>
  <c r="BB6" i="32"/>
  <c r="T6" i="1"/>
  <c r="E14" i="28"/>
  <c r="E17" i="28"/>
  <c r="E5" i="28"/>
  <c r="E19" i="28"/>
  <c r="AH13" i="30"/>
  <c r="BB5" i="32"/>
  <c r="BA5" i="32"/>
  <c r="AZ5" i="32"/>
  <c r="BE5" i="32"/>
  <c r="BC5" i="32"/>
  <c r="F16" i="17"/>
  <c r="E3" i="28"/>
  <c r="YT7" i="15"/>
  <c r="AMB7" i="15"/>
  <c r="C82" i="1"/>
  <c r="C87" i="1" s="1"/>
  <c r="D6" i="14"/>
  <c r="AZI7" i="15"/>
  <c r="G15" i="17"/>
  <c r="C20" i="30"/>
  <c r="F11" i="17"/>
  <c r="E25" i="28"/>
  <c r="E12" i="28"/>
  <c r="E28" i="28"/>
  <c r="E21" i="28"/>
  <c r="E29" i="28"/>
  <c r="E32" i="28"/>
  <c r="E11" i="28"/>
  <c r="E22" i="28"/>
  <c r="E9" i="28"/>
  <c r="E6" i="28"/>
  <c r="E10" i="28"/>
  <c r="E23" i="28"/>
  <c r="E4" i="28"/>
  <c r="E7" i="28"/>
  <c r="E27" i="28"/>
  <c r="E20" i="28"/>
  <c r="E18" i="28"/>
  <c r="E26" i="28"/>
  <c r="E33" i="28"/>
  <c r="F149" i="4"/>
  <c r="E31" i="28"/>
  <c r="E30" i="28"/>
  <c r="E24" i="28"/>
  <c r="E13" i="28"/>
  <c r="E16" i="28"/>
  <c r="E8" i="28"/>
  <c r="E15" i="28"/>
  <c r="G8" i="17"/>
  <c r="R8" i="17"/>
  <c r="N8" i="17"/>
  <c r="AF8" i="17"/>
  <c r="O8" i="17"/>
  <c r="Y8" i="17"/>
  <c r="AG8" i="17"/>
  <c r="I8" i="17"/>
  <c r="L8" i="17"/>
  <c r="U8" i="17"/>
  <c r="AA8" i="17"/>
  <c r="AB8" i="17"/>
  <c r="X8" i="17"/>
  <c r="P8" i="17"/>
  <c r="T8" i="17"/>
  <c r="AE8" i="17"/>
  <c r="Z8" i="17"/>
  <c r="Q8" i="17"/>
  <c r="AD8" i="17"/>
  <c r="J8" i="17"/>
  <c r="H8" i="17"/>
  <c r="W8" i="17"/>
  <c r="M8" i="17"/>
  <c r="S8" i="17"/>
  <c r="K8" i="17"/>
  <c r="D8" i="17"/>
  <c r="E8" i="17"/>
  <c r="E10" i="17" s="1"/>
  <c r="F8" i="17"/>
  <c r="F10" i="17" s="1"/>
  <c r="AC8" i="17"/>
  <c r="V8" i="17"/>
  <c r="C19" i="30"/>
  <c r="AH6" i="30"/>
  <c r="DR3" i="31"/>
  <c r="DS3" i="31" s="1"/>
  <c r="DT3" i="31" s="1"/>
  <c r="DU3" i="31" s="1"/>
  <c r="DV3" i="31" s="1"/>
  <c r="DW3" i="31" s="1"/>
  <c r="DI3" i="31" s="1"/>
  <c r="DP4" i="31" s="1"/>
  <c r="DI4" i="31" s="1"/>
  <c r="DP5" i="31" s="1"/>
  <c r="C7" i="23"/>
  <c r="D8" i="23"/>
  <c r="BN3" i="31"/>
  <c r="BU4" i="31" s="1"/>
  <c r="BN4" i="31" s="1"/>
  <c r="BU5" i="31" s="1"/>
  <c r="BN5" i="31" s="1"/>
  <c r="BU6" i="31" s="1"/>
  <c r="BN6" i="31" s="1"/>
  <c r="BU7" i="31" s="1"/>
  <c r="C4" i="31"/>
  <c r="J5" i="31" s="1"/>
  <c r="I40" i="20"/>
  <c r="R17" i="1"/>
  <c r="AL34" i="4"/>
  <c r="D4" i="1" s="1"/>
  <c r="C39" i="22" s="1"/>
  <c r="M16" i="20"/>
  <c r="I20" i="20"/>
  <c r="R9" i="1"/>
  <c r="AH12" i="17"/>
  <c r="G9" i="17"/>
  <c r="L6" i="17"/>
  <c r="G5" i="17"/>
  <c r="G7" i="17" s="1"/>
  <c r="AJ152" i="4"/>
  <c r="Q150" i="4"/>
  <c r="Q152" i="4" s="1"/>
  <c r="Q147" i="4"/>
  <c r="Q149" i="4" s="1"/>
  <c r="Q143" i="4"/>
  <c r="R70" i="1"/>
  <c r="Y150" i="4"/>
  <c r="Y152" i="4" s="1"/>
  <c r="Y147" i="4"/>
  <c r="Y149" i="4" s="1"/>
  <c r="Y143" i="4"/>
  <c r="Z70" i="1"/>
  <c r="AG150" i="4"/>
  <c r="AG152" i="4" s="1"/>
  <c r="AG147" i="4"/>
  <c r="AG149" i="4" s="1"/>
  <c r="AG143" i="4"/>
  <c r="AH70" i="1"/>
  <c r="AK28" i="4"/>
  <c r="AK70" i="1"/>
  <c r="AJ147" i="4"/>
  <c r="AJ149" i="4" s="1"/>
  <c r="O150" i="4"/>
  <c r="O152" i="4" s="1"/>
  <c r="O147" i="4"/>
  <c r="O149" i="4" s="1"/>
  <c r="O143" i="4"/>
  <c r="L70" i="1"/>
  <c r="T150" i="4"/>
  <c r="T152" i="4" s="1"/>
  <c r="T147" i="4"/>
  <c r="T149" i="4" s="1"/>
  <c r="T143" i="4"/>
  <c r="U70" i="1"/>
  <c r="AK9" i="4"/>
  <c r="AK219" i="4" s="1"/>
  <c r="E13" i="1" s="1"/>
  <c r="I13" i="1" s="1"/>
  <c r="U143" i="4"/>
  <c r="V70" i="1"/>
  <c r="U150" i="4"/>
  <c r="U152" i="4" s="1"/>
  <c r="U147" i="4"/>
  <c r="U149" i="4" s="1"/>
  <c r="M143" i="4"/>
  <c r="J70" i="1"/>
  <c r="M150" i="4"/>
  <c r="M152" i="4" s="1"/>
  <c r="M147" i="4"/>
  <c r="M149" i="4" s="1"/>
  <c r="E4" i="1"/>
  <c r="Q4" i="1" s="1"/>
  <c r="AJ34" i="4"/>
  <c r="AC143" i="4"/>
  <c r="AD70" i="1"/>
  <c r="AC150" i="4"/>
  <c r="AC152" i="4" s="1"/>
  <c r="AC147" i="4"/>
  <c r="AC149" i="4" s="1"/>
  <c r="W150" i="4"/>
  <c r="W152" i="4" s="1"/>
  <c r="W147" i="4"/>
  <c r="W149" i="4" s="1"/>
  <c r="W143" i="4"/>
  <c r="X70" i="1"/>
  <c r="AE150" i="4"/>
  <c r="AE152" i="4" s="1"/>
  <c r="AE147" i="4"/>
  <c r="AE149" i="4" s="1"/>
  <c r="AE143" i="4"/>
  <c r="AF70" i="1"/>
  <c r="I143" i="4"/>
  <c r="F70" i="1"/>
  <c r="I147" i="4"/>
  <c r="I149" i="4" s="1"/>
  <c r="I150" i="4"/>
  <c r="I152" i="4" s="1"/>
  <c r="CD3" i="32"/>
  <c r="BI3" i="32" s="1"/>
  <c r="BP4" i="32" s="1"/>
  <c r="BI4" i="32" s="1"/>
  <c r="BP5" i="32" s="1"/>
  <c r="R109" i="4"/>
  <c r="X109" i="4"/>
  <c r="Q109" i="4"/>
  <c r="E29" i="30"/>
  <c r="S109" i="4"/>
  <c r="V109" i="4"/>
  <c r="AL109" i="4"/>
  <c r="D5" i="1" s="1"/>
  <c r="E14" i="20" s="1"/>
  <c r="AG109" i="4"/>
  <c r="D29" i="30"/>
  <c r="H4" i="32"/>
  <c r="O5" i="32" s="1"/>
  <c r="H5" i="32" s="1"/>
  <c r="O6" i="32" s="1"/>
  <c r="AF3" i="32"/>
  <c r="AM4" i="32" s="1"/>
  <c r="M109" i="4"/>
  <c r="AB109" i="4"/>
  <c r="AF109" i="4"/>
  <c r="E4" i="31"/>
  <c r="L5" i="31" s="1"/>
  <c r="H4" i="31"/>
  <c r="O5" i="31" s="1"/>
  <c r="AI3" i="32"/>
  <c r="AP4" i="32" s="1"/>
  <c r="B4" i="31"/>
  <c r="I5" i="31" s="1"/>
  <c r="AG3" i="32"/>
  <c r="AN4" i="32" s="1"/>
  <c r="AJ3" i="32"/>
  <c r="AQ4" i="32" s="1"/>
  <c r="J109" i="4"/>
  <c r="AA109" i="4"/>
  <c r="U109" i="4"/>
  <c r="Z109" i="4"/>
  <c r="H109" i="4"/>
  <c r="G4" i="31"/>
  <c r="F4" i="31"/>
  <c r="C4" i="32"/>
  <c r="AM105" i="4"/>
  <c r="ANA6" i="15"/>
  <c r="ZS6" i="15"/>
  <c r="AC5" i="14"/>
  <c r="BAH6" i="15"/>
  <c r="AC6" i="15"/>
  <c r="AZR6" i="15"/>
  <c r="M5" i="14"/>
  <c r="M6" i="15"/>
  <c r="ZC6" i="15"/>
  <c r="AMK6" i="15"/>
  <c r="AK107" i="4"/>
  <c r="F29" i="30"/>
  <c r="AM81" i="4"/>
  <c r="AN81" i="4" s="1"/>
  <c r="H29" i="30"/>
  <c r="K109" i="4"/>
  <c r="AM101" i="4"/>
  <c r="BB11" i="32"/>
  <c r="BA11" i="32"/>
  <c r="BD11" i="32"/>
  <c r="BE11" i="32"/>
  <c r="BC11" i="32"/>
  <c r="AZ11" i="32"/>
  <c r="AK129" i="4"/>
  <c r="AO129" i="4" s="1"/>
  <c r="T109" i="4"/>
  <c r="AZS6" i="15"/>
  <c r="N5" i="14"/>
  <c r="N6" i="15"/>
  <c r="AML6" i="15"/>
  <c r="ZD6" i="15"/>
  <c r="AH10" i="15"/>
  <c r="BE26" i="32"/>
  <c r="BB26" i="32"/>
  <c r="BA26" i="32"/>
  <c r="BD26" i="32"/>
  <c r="AZ26" i="32"/>
  <c r="BC26" i="32"/>
  <c r="E4" i="32"/>
  <c r="L5" i="32" s="1"/>
  <c r="E5" i="32" s="1"/>
  <c r="L6" i="32" s="1"/>
  <c r="CD3" i="31"/>
  <c r="BO3" i="31"/>
  <c r="BV4" i="31" s="1"/>
  <c r="BO4" i="31" s="1"/>
  <c r="BV5" i="31" s="1"/>
  <c r="BO5" i="31" s="1"/>
  <c r="BV6" i="31" s="1"/>
  <c r="BO6" i="31" s="1"/>
  <c r="BV7" i="31" s="1"/>
  <c r="DC4" i="31"/>
  <c r="DJ5" i="31" s="1"/>
  <c r="AK130" i="4"/>
  <c r="AK168" i="4"/>
  <c r="L6" i="19" s="1"/>
  <c r="AL168" i="4"/>
  <c r="AM168" i="4"/>
  <c r="BM6" i="31"/>
  <c r="BT7" i="31" s="1"/>
  <c r="AK118" i="4"/>
  <c r="AK122" i="4"/>
  <c r="L109" i="4"/>
  <c r="G109" i="4"/>
  <c r="AS3" i="31"/>
  <c r="AZ4" i="31" s="1"/>
  <c r="AX3" i="31"/>
  <c r="BE4" i="31" s="1"/>
  <c r="AW3" i="31"/>
  <c r="BD4" i="31" s="1"/>
  <c r="AT3" i="31"/>
  <c r="BA4" i="31" s="1"/>
  <c r="AR3" i="31"/>
  <c r="AY4" i="31" s="1"/>
  <c r="AU3" i="31"/>
  <c r="BB4" i="31" s="1"/>
  <c r="AV3" i="31"/>
  <c r="BC4" i="31" s="1"/>
  <c r="F109" i="4"/>
  <c r="AM97" i="4"/>
  <c r="CH4" i="31"/>
  <c r="CO5" i="31" s="1"/>
  <c r="CI4" i="31"/>
  <c r="CP5" i="31" s="1"/>
  <c r="CN4" i="31"/>
  <c r="CU5" i="31" s="1"/>
  <c r="CM4" i="31"/>
  <c r="CT5" i="31" s="1"/>
  <c r="CJ4" i="31"/>
  <c r="CQ5" i="31" s="1"/>
  <c r="CK4" i="31"/>
  <c r="CR5" i="31" s="1"/>
  <c r="CL4" i="31"/>
  <c r="CS5" i="31" s="1"/>
  <c r="AK131" i="4"/>
  <c r="AO130" i="4" s="1"/>
  <c r="AI7" i="9"/>
  <c r="AI37" i="9" s="1"/>
  <c r="AM156" i="4"/>
  <c r="O109" i="4"/>
  <c r="K60" i="13"/>
  <c r="L67" i="13"/>
  <c r="E10" i="1"/>
  <c r="AL213" i="4"/>
  <c r="AK162" i="4"/>
  <c r="Q38" i="20"/>
  <c r="S16" i="1"/>
  <c r="G38" i="20"/>
  <c r="K38" i="20" s="1"/>
  <c r="I16" i="1"/>
  <c r="AZO6" i="15"/>
  <c r="J5" i="14"/>
  <c r="YZ6" i="15"/>
  <c r="J6" i="15"/>
  <c r="AMH6" i="15"/>
  <c r="S6" i="15"/>
  <c r="S5" i="14"/>
  <c r="AZX6" i="15"/>
  <c r="ZI6" i="15"/>
  <c r="AMQ6" i="15"/>
  <c r="Z159" i="4"/>
  <c r="W9" i="15"/>
  <c r="BAF6" i="15"/>
  <c r="AA6" i="15"/>
  <c r="ZQ6" i="15"/>
  <c r="AMY6" i="15"/>
  <c r="AA5" i="14"/>
  <c r="AW18" i="32"/>
  <c r="AS18" i="32"/>
  <c r="AV18" i="32"/>
  <c r="AU18" i="32"/>
  <c r="AT18" i="32"/>
  <c r="AX18" i="32"/>
  <c r="AX23" i="32"/>
  <c r="AT23" i="32"/>
  <c r="AV23" i="32"/>
  <c r="AW23" i="32"/>
  <c r="AU23" i="32"/>
  <c r="AS23" i="32"/>
  <c r="AZT6" i="15"/>
  <c r="O6" i="15"/>
  <c r="ZE6" i="15"/>
  <c r="AMM6" i="15"/>
  <c r="O5" i="14"/>
  <c r="AF5" i="14"/>
  <c r="AND6" i="15"/>
  <c r="BAK6" i="15"/>
  <c r="AF6" i="15"/>
  <c r="AC159" i="4"/>
  <c r="Z9" i="15"/>
  <c r="AT31" i="32"/>
  <c r="AW31" i="32"/>
  <c r="AU31" i="32"/>
  <c r="AX31" i="32"/>
  <c r="AS31" i="32"/>
  <c r="AV31" i="32"/>
  <c r="F159" i="4"/>
  <c r="AL159" i="4" s="1"/>
  <c r="D9" i="1" s="1"/>
  <c r="F158" i="4"/>
  <c r="AK161" i="4"/>
  <c r="AP169" i="4" s="1"/>
  <c r="F167" i="4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AG167" i="4" s="1"/>
  <c r="AH167" i="4" s="1"/>
  <c r="AI167" i="4" s="1"/>
  <c r="AJ167" i="4" s="1"/>
  <c r="AM167" i="4" s="1"/>
  <c r="C9" i="15"/>
  <c r="E5" i="14"/>
  <c r="YU6" i="15"/>
  <c r="AMC6" i="15"/>
  <c r="AZJ6" i="15"/>
  <c r="E6" i="15"/>
  <c r="AB9" i="15"/>
  <c r="AE159" i="4"/>
  <c r="AE9" i="15"/>
  <c r="AH159" i="4"/>
  <c r="F9" i="15"/>
  <c r="I159" i="4"/>
  <c r="V28" i="32"/>
  <c r="T28" i="32"/>
  <c r="U28" i="32"/>
  <c r="Q28" i="32"/>
  <c r="R28" i="32"/>
  <c r="S28" i="32"/>
  <c r="V20" i="32"/>
  <c r="U20" i="32"/>
  <c r="R20" i="32"/>
  <c r="T20" i="32"/>
  <c r="S20" i="32"/>
  <c r="Q20" i="32"/>
  <c r="Y6" i="15"/>
  <c r="ZO6" i="15"/>
  <c r="Y5" i="14"/>
  <c r="AMW6" i="15"/>
  <c r="BAD6" i="15"/>
  <c r="AZL6" i="15"/>
  <c r="AME6" i="15"/>
  <c r="YW6" i="15"/>
  <c r="G5" i="14"/>
  <c r="G6" i="15"/>
  <c r="X6" i="15"/>
  <c r="AMV6" i="15"/>
  <c r="ZN6" i="15"/>
  <c r="X5" i="14"/>
  <c r="BAC6" i="15"/>
  <c r="D9" i="15"/>
  <c r="G159" i="4"/>
  <c r="BF4" i="32"/>
  <c r="BM5" i="32" s="1"/>
  <c r="BH4" i="32"/>
  <c r="BO5" i="32" s="1"/>
  <c r="BG4" i="32"/>
  <c r="BN5" i="32" s="1"/>
  <c r="L6" i="15"/>
  <c r="L5" i="14"/>
  <c r="ZB6" i="15"/>
  <c r="AMJ6" i="15"/>
  <c r="AZQ6" i="15"/>
  <c r="P6" i="15"/>
  <c r="P5" i="14"/>
  <c r="ZF6" i="15"/>
  <c r="AZU6" i="15"/>
  <c r="AMN6" i="15"/>
  <c r="YY6" i="15"/>
  <c r="I6" i="15"/>
  <c r="AMG6" i="15"/>
  <c r="I5" i="14"/>
  <c r="AZN6" i="15"/>
  <c r="U5" i="14"/>
  <c r="AMS6" i="15"/>
  <c r="U6" i="15"/>
  <c r="ZK6" i="15"/>
  <c r="AZZ6" i="15"/>
  <c r="AMO6" i="15"/>
  <c r="ZG6" i="15"/>
  <c r="AZV6" i="15"/>
  <c r="Q6" i="15"/>
  <c r="Q5" i="14"/>
  <c r="W4" i="31"/>
  <c r="AD5" i="31" s="1"/>
  <c r="Y4" i="31"/>
  <c r="AF5" i="31" s="1"/>
  <c r="Z4" i="31"/>
  <c r="AG5" i="31" s="1"/>
  <c r="AA4" i="31"/>
  <c r="AH5" i="31" s="1"/>
  <c r="AC4" i="31"/>
  <c r="AJ5" i="31" s="1"/>
  <c r="X4" i="31"/>
  <c r="AE5" i="31" s="1"/>
  <c r="AB4" i="31"/>
  <c r="AI5" i="31" s="1"/>
  <c r="ANB6" i="15"/>
  <c r="ZT6" i="15"/>
  <c r="AD6" i="15"/>
  <c r="BAI6" i="15"/>
  <c r="AD5" i="14"/>
  <c r="W159" i="4"/>
  <c r="T9" i="15"/>
  <c r="AZM6" i="15"/>
  <c r="AMF6" i="15"/>
  <c r="H5" i="14"/>
  <c r="YX6" i="15"/>
  <c r="H6" i="15"/>
  <c r="B5" i="32"/>
  <c r="I6" i="32" s="1"/>
  <c r="U159" i="4"/>
  <c r="R9" i="15"/>
  <c r="H18" i="17"/>
  <c r="AH48" i="17"/>
  <c r="D35" i="24"/>
  <c r="G35" i="24" s="1"/>
  <c r="H19" i="17"/>
  <c r="Q17" i="1"/>
  <c r="M17" i="1"/>
  <c r="P17" i="1" s="1"/>
  <c r="G17" i="1"/>
  <c r="G40" i="20"/>
  <c r="C19" i="17"/>
  <c r="AH19" i="17" s="1"/>
  <c r="C18" i="17"/>
  <c r="AH18" i="17" s="1"/>
  <c r="AH20" i="17"/>
  <c r="AH47" i="17"/>
  <c r="U16" i="1"/>
  <c r="AK197" i="4"/>
  <c r="U15" i="1"/>
  <c r="S15" i="1"/>
  <c r="AJ105" i="4"/>
  <c r="AJ109" i="4" s="1"/>
  <c r="AK106" i="4"/>
  <c r="AK97" i="4"/>
  <c r="AL97" i="4"/>
  <c r="BA33" i="32"/>
  <c r="AZ33" i="32"/>
  <c r="BE33" i="32"/>
  <c r="BD33" i="32"/>
  <c r="BB33" i="32"/>
  <c r="BC33" i="32"/>
  <c r="AI36" i="9"/>
  <c r="AL156" i="4"/>
  <c r="AK156" i="4"/>
  <c r="CF33" i="31"/>
  <c r="AN50" i="4"/>
  <c r="AM49" i="4"/>
  <c r="AO49" i="4" s="1"/>
  <c r="AS50" i="4"/>
  <c r="DB33" i="31"/>
  <c r="DR33" i="31"/>
  <c r="DS33" i="31" s="1"/>
  <c r="DT33" i="31" s="1"/>
  <c r="DU33" i="31" s="1"/>
  <c r="DV33" i="31" s="1"/>
  <c r="DW33" i="31" s="1"/>
  <c r="AK101" i="4"/>
  <c r="AL101" i="4"/>
  <c r="BAM10" i="15"/>
  <c r="ANF10" i="15"/>
  <c r="S18" i="20"/>
  <c r="U7" i="1"/>
  <c r="E22" i="20" l="1"/>
  <c r="ZX7" i="15"/>
  <c r="ANF7" i="15"/>
  <c r="BAM7" i="15"/>
  <c r="K5" i="17"/>
  <c r="AJ4" i="32"/>
  <c r="AQ5" i="32" s="1"/>
  <c r="AJ5" i="32" s="1"/>
  <c r="AQ6" i="32" s="1"/>
  <c r="AJ6" i="32" s="1"/>
  <c r="AG4" i="32"/>
  <c r="AI4" i="32"/>
  <c r="DG3" i="31"/>
  <c r="DN4" i="31" s="1"/>
  <c r="DG4" i="31" s="1"/>
  <c r="DN5" i="31" s="1"/>
  <c r="DG5" i="31" s="1"/>
  <c r="DN6" i="31" s="1"/>
  <c r="F5" i="17"/>
  <c r="F7" i="17" s="1"/>
  <c r="L5" i="17"/>
  <c r="L7" i="17" s="1"/>
  <c r="J5" i="17"/>
  <c r="J7" i="17" s="1"/>
  <c r="N5" i="17"/>
  <c r="C5" i="17"/>
  <c r="C7" i="17" s="1"/>
  <c r="I5" i="17"/>
  <c r="I7" i="17" s="1"/>
  <c r="D5" i="17"/>
  <c r="D7" i="17" s="1"/>
  <c r="H5" i="17"/>
  <c r="H7" i="17" s="1"/>
  <c r="AK34" i="4"/>
  <c r="AQ129" i="4" s="1"/>
  <c r="M5" i="17"/>
  <c r="E5" i="17"/>
  <c r="E7" i="17" s="1"/>
  <c r="AE4" i="32"/>
  <c r="AL5" i="32" s="1"/>
  <c r="AE5" i="32" s="1"/>
  <c r="AL6" i="32" s="1"/>
  <c r="AE6" i="32" s="1"/>
  <c r="I29" i="30"/>
  <c r="E5" i="31"/>
  <c r="L6" i="31" s="1"/>
  <c r="DH3" i="31"/>
  <c r="DO4" i="31" s="1"/>
  <c r="DH4" i="31" s="1"/>
  <c r="DO5" i="31" s="1"/>
  <c r="DH5" i="31" s="1"/>
  <c r="DO6" i="31" s="1"/>
  <c r="AF4" i="32"/>
  <c r="AH6" i="14"/>
  <c r="X5" i="17"/>
  <c r="Y5" i="17"/>
  <c r="AK147" i="4"/>
  <c r="AK149" i="4" s="1"/>
  <c r="AG5" i="17"/>
  <c r="AK221" i="4"/>
  <c r="AF5" i="17"/>
  <c r="U5" i="17"/>
  <c r="AD5" i="17"/>
  <c r="Z5" i="17"/>
  <c r="AA5" i="17"/>
  <c r="O5" i="17"/>
  <c r="S5" i="17"/>
  <c r="Q5" i="17"/>
  <c r="R5" i="17"/>
  <c r="AK143" i="4"/>
  <c r="V5" i="17"/>
  <c r="AB5" i="17"/>
  <c r="P5" i="17"/>
  <c r="W5" i="17"/>
  <c r="T5" i="17"/>
  <c r="AE5" i="17"/>
  <c r="DD3" i="31"/>
  <c r="DK4" i="31" s="1"/>
  <c r="DD4" i="31" s="1"/>
  <c r="DK5" i="31" s="1"/>
  <c r="DD5" i="31" s="1"/>
  <c r="DK6" i="31" s="1"/>
  <c r="C21" i="30"/>
  <c r="F21" i="30" s="1"/>
  <c r="G16" i="17"/>
  <c r="H15" i="17"/>
  <c r="I15" i="17" s="1"/>
  <c r="G11" i="15"/>
  <c r="K40" i="20"/>
  <c r="AO81" i="4"/>
  <c r="G11" i="17"/>
  <c r="M4" i="1"/>
  <c r="AT30" i="20" s="1"/>
  <c r="AU30" i="20" s="1"/>
  <c r="AV30" i="20" s="1"/>
  <c r="E39" i="22"/>
  <c r="G4" i="1"/>
  <c r="H39" i="22" s="1"/>
  <c r="Q13" i="1"/>
  <c r="U13" i="1" s="1"/>
  <c r="E12" i="20"/>
  <c r="E16" i="20" s="1"/>
  <c r="G13" i="1"/>
  <c r="G28" i="20"/>
  <c r="K28" i="20" s="1"/>
  <c r="AH8" i="17"/>
  <c r="D10" i="17"/>
  <c r="AJ8" i="17"/>
  <c r="DE3" i="31"/>
  <c r="DL4" i="31" s="1"/>
  <c r="DE4" i="31" s="1"/>
  <c r="DL5" i="31" s="1"/>
  <c r="DE5" i="31" s="1"/>
  <c r="DL6" i="31" s="1"/>
  <c r="DF3" i="31"/>
  <c r="DM4" i="31" s="1"/>
  <c r="DF4" i="31" s="1"/>
  <c r="DM5" i="31" s="1"/>
  <c r="DF5" i="31" s="1"/>
  <c r="DM6" i="31" s="1"/>
  <c r="D6" i="1"/>
  <c r="E20" i="20"/>
  <c r="C41" i="22"/>
  <c r="CE3" i="32"/>
  <c r="CF3" i="32" s="1"/>
  <c r="C40" i="22"/>
  <c r="C8" i="23"/>
  <c r="D9" i="23"/>
  <c r="AO5" i="32"/>
  <c r="AH5" i="32" s="1"/>
  <c r="AO6" i="32" s="1"/>
  <c r="AH6" i="32" s="1"/>
  <c r="AN5" i="32"/>
  <c r="AG5" i="32" s="1"/>
  <c r="AN6" i="32" s="1"/>
  <c r="AG6" i="32" s="1"/>
  <c r="AP5" i="32"/>
  <c r="AI5" i="32" s="1"/>
  <c r="AP6" i="32" s="1"/>
  <c r="AI6" i="32" s="1"/>
  <c r="AM5" i="32"/>
  <c r="AF5" i="32" s="1"/>
  <c r="AM6" i="32" s="1"/>
  <c r="AF6" i="32" s="1"/>
  <c r="N5" i="31"/>
  <c r="G5" i="31" s="1"/>
  <c r="N6" i="31" s="1"/>
  <c r="M5" i="31"/>
  <c r="F5" i="31" s="1"/>
  <c r="M6" i="31" s="1"/>
  <c r="C5" i="31"/>
  <c r="J6" i="31" s="1"/>
  <c r="B5" i="31"/>
  <c r="I6" i="31" s="1"/>
  <c r="B6" i="31" s="1"/>
  <c r="I7" i="31" s="1"/>
  <c r="H5" i="31"/>
  <c r="O6" i="31" s="1"/>
  <c r="J5" i="32"/>
  <c r="C5" i="32" s="1"/>
  <c r="J6" i="32" s="1"/>
  <c r="C6" i="32" s="1"/>
  <c r="J7" i="32" s="1"/>
  <c r="K5" i="32"/>
  <c r="D5" i="32" s="1"/>
  <c r="K6" i="32" s="1"/>
  <c r="D6" i="32" s="1"/>
  <c r="K7" i="32" s="1"/>
  <c r="H9" i="17"/>
  <c r="G10" i="17"/>
  <c r="M6" i="17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AG6" i="17" s="1"/>
  <c r="Q62" i="13"/>
  <c r="R59" i="13" s="1"/>
  <c r="AE62" i="13"/>
  <c r="AF59" i="13" s="1"/>
  <c r="K7" i="17"/>
  <c r="I4" i="1"/>
  <c r="G12" i="20"/>
  <c r="AK150" i="4"/>
  <c r="AK152" i="4" s="1"/>
  <c r="J62" i="13"/>
  <c r="X62" i="13"/>
  <c r="Y59" i="13" s="1"/>
  <c r="M13" i="1"/>
  <c r="P13" i="1" s="1"/>
  <c r="AL129" i="4"/>
  <c r="AM130" i="4" s="1"/>
  <c r="AK167" i="4"/>
  <c r="L4" i="19" s="1"/>
  <c r="AP129" i="4"/>
  <c r="D5" i="31"/>
  <c r="K6" i="31" s="1"/>
  <c r="AL167" i="4"/>
  <c r="E18" i="1" s="1"/>
  <c r="G18" i="1" s="1"/>
  <c r="DC5" i="31"/>
  <c r="DJ6" i="31" s="1"/>
  <c r="DI5" i="31"/>
  <c r="DP6" i="31" s="1"/>
  <c r="CL5" i="31"/>
  <c r="CS6" i="31" s="1"/>
  <c r="CJ5" i="31"/>
  <c r="CQ6" i="31" s="1"/>
  <c r="CI5" i="31"/>
  <c r="CP6" i="31" s="1"/>
  <c r="CK5" i="31"/>
  <c r="CR6" i="31" s="1"/>
  <c r="CH5" i="31"/>
  <c r="CO6" i="31" s="1"/>
  <c r="CN5" i="31"/>
  <c r="CU6" i="31" s="1"/>
  <c r="CM5" i="31"/>
  <c r="CT6" i="31" s="1"/>
  <c r="E5" i="1"/>
  <c r="AQ130" i="4"/>
  <c r="BM7" i="31"/>
  <c r="BT8" i="31" s="1"/>
  <c r="BO7" i="31"/>
  <c r="BV8" i="31" s="1"/>
  <c r="BN7" i="31"/>
  <c r="BU8" i="31" s="1"/>
  <c r="AJ7" i="9"/>
  <c r="AJ8" i="9" s="1"/>
  <c r="AJ9" i="9" s="1"/>
  <c r="AJ10" i="9" s="1"/>
  <c r="AJ11" i="9" s="1"/>
  <c r="AJ12" i="9" s="1"/>
  <c r="AJ13" i="9" s="1"/>
  <c r="AJ14" i="9" s="1"/>
  <c r="AJ15" i="9" s="1"/>
  <c r="AJ16" i="9" s="1"/>
  <c r="AJ17" i="9" s="1"/>
  <c r="AJ18" i="9" s="1"/>
  <c r="AJ19" i="9" s="1"/>
  <c r="AJ20" i="9" s="1"/>
  <c r="AJ21" i="9" s="1"/>
  <c r="AJ22" i="9" s="1"/>
  <c r="AJ23" i="9" s="1"/>
  <c r="AJ24" i="9" s="1"/>
  <c r="AJ25" i="9" s="1"/>
  <c r="AJ26" i="9" s="1"/>
  <c r="AJ27" i="9" s="1"/>
  <c r="AJ28" i="9" s="1"/>
  <c r="AJ29" i="9" s="1"/>
  <c r="AJ30" i="9" s="1"/>
  <c r="AJ31" i="9" s="1"/>
  <c r="AJ32" i="9" s="1"/>
  <c r="AJ33" i="9" s="1"/>
  <c r="AJ34" i="9" s="1"/>
  <c r="AJ35" i="9" s="1"/>
  <c r="AJ36" i="9" s="1"/>
  <c r="AO131" i="4"/>
  <c r="AO135" i="4" s="1"/>
  <c r="AP130" i="4"/>
  <c r="AW4" i="31"/>
  <c r="BD5" i="31" s="1"/>
  <c r="AX4" i="31"/>
  <c r="BE5" i="31" s="1"/>
  <c r="AS4" i="31"/>
  <c r="AZ5" i="31" s="1"/>
  <c r="AU4" i="31"/>
  <c r="BB5" i="31" s="1"/>
  <c r="AT4" i="31"/>
  <c r="BA5" i="31" s="1"/>
  <c r="AV4" i="31"/>
  <c r="BC5" i="31" s="1"/>
  <c r="AR4" i="31"/>
  <c r="AY5" i="31" s="1"/>
  <c r="CE3" i="31"/>
  <c r="BP3" i="31"/>
  <c r="BW4" i="31" s="1"/>
  <c r="BP4" i="31" s="1"/>
  <c r="BW5" i="31" s="1"/>
  <c r="BP5" i="31" s="1"/>
  <c r="BW6" i="31" s="1"/>
  <c r="BP6" i="31" s="1"/>
  <c r="BW7" i="31" s="1"/>
  <c r="BP7" i="31" s="1"/>
  <c r="BW8" i="31" s="1"/>
  <c r="M6" i="19"/>
  <c r="D27" i="19" s="1"/>
  <c r="O6" i="19"/>
  <c r="F27" i="19" s="1"/>
  <c r="P6" i="19"/>
  <c r="G27" i="19" s="1"/>
  <c r="N6" i="19"/>
  <c r="E27" i="19" s="1"/>
  <c r="Q6" i="19"/>
  <c r="H27" i="19" s="1"/>
  <c r="R6" i="19"/>
  <c r="I27" i="19" s="1"/>
  <c r="I10" i="1"/>
  <c r="M10" i="1"/>
  <c r="Q10" i="1"/>
  <c r="E42" i="22"/>
  <c r="G22" i="20"/>
  <c r="AH9" i="15"/>
  <c r="G158" i="4"/>
  <c r="C8" i="15"/>
  <c r="AMA8" i="15"/>
  <c r="AZH8" i="15"/>
  <c r="YS8" i="15"/>
  <c r="AB5" i="14"/>
  <c r="BAG6" i="15"/>
  <c r="ZR6" i="15"/>
  <c r="AMZ6" i="15"/>
  <c r="AB6" i="15"/>
  <c r="Z6" i="15"/>
  <c r="AMX6" i="15"/>
  <c r="BAE6" i="15"/>
  <c r="Z5" i="14"/>
  <c r="ZP6" i="15"/>
  <c r="AD9" i="32"/>
  <c r="AK10" i="32" s="1"/>
  <c r="ZH6" i="15"/>
  <c r="AMP6" i="15"/>
  <c r="R5" i="14"/>
  <c r="AZW6" i="15"/>
  <c r="R6" i="15"/>
  <c r="AK159" i="4"/>
  <c r="AB13" i="17" s="1"/>
  <c r="AB14" i="17" s="1"/>
  <c r="F163" i="4"/>
  <c r="AZH6" i="15"/>
  <c r="C5" i="14"/>
  <c r="C6" i="15"/>
  <c r="AMA6" i="15"/>
  <c r="YS6" i="15"/>
  <c r="AZI6" i="15"/>
  <c r="D6" i="15"/>
  <c r="YT6" i="15"/>
  <c r="AMB6" i="15"/>
  <c r="D5" i="14"/>
  <c r="W5" i="31"/>
  <c r="AD6" i="31" s="1"/>
  <c r="AB5" i="31"/>
  <c r="AI6" i="31" s="1"/>
  <c r="AC5" i="31"/>
  <c r="AJ6" i="31" s="1"/>
  <c r="AA5" i="31"/>
  <c r="AH6" i="31" s="1"/>
  <c r="Z5" i="31"/>
  <c r="AG6" i="31" s="1"/>
  <c r="Y5" i="31"/>
  <c r="AF6" i="31" s="1"/>
  <c r="X5" i="31"/>
  <c r="AE6" i="31" s="1"/>
  <c r="ZJ6" i="15"/>
  <c r="T5" i="14"/>
  <c r="AMR6" i="15"/>
  <c r="AZY6" i="15"/>
  <c r="T6" i="15"/>
  <c r="AMU6" i="15"/>
  <c r="W5" i="14"/>
  <c r="BAB6" i="15"/>
  <c r="W6" i="15"/>
  <c r="ZM6" i="15"/>
  <c r="E6" i="32"/>
  <c r="L7" i="32" s="1"/>
  <c r="H6" i="32"/>
  <c r="O7" i="32" s="1"/>
  <c r="B6" i="32"/>
  <c r="I7" i="32" s="1"/>
  <c r="G6" i="32"/>
  <c r="N7" i="32" s="1"/>
  <c r="F6" i="32"/>
  <c r="M7" i="32" s="1"/>
  <c r="AE5" i="14"/>
  <c r="ZU6" i="15"/>
  <c r="ANC6" i="15"/>
  <c r="BAJ6" i="15"/>
  <c r="AE6" i="15"/>
  <c r="YV6" i="15"/>
  <c r="F5" i="14"/>
  <c r="AMD6" i="15"/>
  <c r="AZK6" i="15"/>
  <c r="F6" i="15"/>
  <c r="BG5" i="32"/>
  <c r="BN6" i="32" s="1"/>
  <c r="BF5" i="32"/>
  <c r="BM6" i="32" s="1"/>
  <c r="BI5" i="32"/>
  <c r="BP6" i="32" s="1"/>
  <c r="BH5" i="32"/>
  <c r="BO6" i="32" s="1"/>
  <c r="Q40" i="20"/>
  <c r="U17" i="1"/>
  <c r="S17" i="1"/>
  <c r="Q12" i="20"/>
  <c r="AS7" i="20"/>
  <c r="AT7" i="20" s="1"/>
  <c r="U4" i="1"/>
  <c r="S4" i="1"/>
  <c r="AK105" i="4"/>
  <c r="AN105" i="4" s="1"/>
  <c r="AL105" i="4"/>
  <c r="AN101" i="4"/>
  <c r="CG33" i="31"/>
  <c r="AM160" i="4"/>
  <c r="AK227" i="4"/>
  <c r="AN97" i="4"/>
  <c r="AM157" i="4"/>
  <c r="AJ37" i="9"/>
  <c r="AK38" i="9" s="1"/>
  <c r="M7" i="17" l="1"/>
  <c r="K12" i="20"/>
  <c r="O7" i="17"/>
  <c r="H16" i="17"/>
  <c r="I16" i="17" s="1"/>
  <c r="H11" i="15"/>
  <c r="Y7" i="17"/>
  <c r="X7" i="17"/>
  <c r="P7" i="17"/>
  <c r="AC7" i="17"/>
  <c r="D13" i="17"/>
  <c r="D14" i="17" s="1"/>
  <c r="AJ38" i="9"/>
  <c r="AJ39" i="9" s="1"/>
  <c r="AG7" i="17"/>
  <c r="AJ5" i="17"/>
  <c r="AH5" i="17"/>
  <c r="H11" i="17"/>
  <c r="E40" i="22"/>
  <c r="Q5" i="1"/>
  <c r="Q6" i="1" s="1"/>
  <c r="M5" i="1"/>
  <c r="M6" i="1" s="1"/>
  <c r="P6" i="1" s="1"/>
  <c r="AE13" i="17"/>
  <c r="AE14" i="17" s="1"/>
  <c r="P4" i="1"/>
  <c r="E21" i="30"/>
  <c r="H21" i="30"/>
  <c r="G21" i="30"/>
  <c r="I21" i="30"/>
  <c r="D21" i="30"/>
  <c r="AD7" i="17"/>
  <c r="Q7" i="17"/>
  <c r="AM129" i="4"/>
  <c r="AM131" i="4"/>
  <c r="G39" i="22"/>
  <c r="B45" i="22" s="1"/>
  <c r="S7" i="17"/>
  <c r="AF7" i="17"/>
  <c r="Z7" i="17"/>
  <c r="AA7" i="17"/>
  <c r="N7" i="17"/>
  <c r="U7" i="17"/>
  <c r="S13" i="1"/>
  <c r="Q28" i="20"/>
  <c r="AS16" i="20"/>
  <c r="AU16" i="20" s="1"/>
  <c r="E6" i="31"/>
  <c r="L7" i="31" s="1"/>
  <c r="BJ3" i="32"/>
  <c r="BQ4" i="32" s="1"/>
  <c r="BJ4" i="32" s="1"/>
  <c r="BQ5" i="32" s="1"/>
  <c r="BJ5" i="32" s="1"/>
  <c r="BQ6" i="32" s="1"/>
  <c r="BJ6" i="32" s="1"/>
  <c r="BQ7" i="32" s="1"/>
  <c r="G14" i="20"/>
  <c r="G16" i="20" s="1"/>
  <c r="D18" i="1"/>
  <c r="Q18" i="1"/>
  <c r="S18" i="1" s="1"/>
  <c r="C9" i="23"/>
  <c r="D10" i="23"/>
  <c r="C6" i="31"/>
  <c r="J7" i="31" s="1"/>
  <c r="F6" i="31"/>
  <c r="M7" i="31" s="1"/>
  <c r="G6" i="31"/>
  <c r="N7" i="31" s="1"/>
  <c r="H6" i="31"/>
  <c r="O7" i="31" s="1"/>
  <c r="D6" i="31"/>
  <c r="K7" i="31" s="1"/>
  <c r="AN7" i="32"/>
  <c r="AG7" i="32" s="1"/>
  <c r="AL7" i="32"/>
  <c r="AE7" i="32" s="1"/>
  <c r="AP7" i="32"/>
  <c r="AI7" i="32" s="1"/>
  <c r="AO7" i="32"/>
  <c r="AH7" i="32" s="1"/>
  <c r="AQ7" i="32"/>
  <c r="AJ7" i="32" s="1"/>
  <c r="AM7" i="32"/>
  <c r="AF7" i="32" s="1"/>
  <c r="I11" i="15"/>
  <c r="J15" i="17"/>
  <c r="H10" i="17"/>
  <c r="I9" i="17"/>
  <c r="AJ6" i="17"/>
  <c r="AE7" i="17"/>
  <c r="AH6" i="17"/>
  <c r="R7" i="17"/>
  <c r="W7" i="17"/>
  <c r="V7" i="17"/>
  <c r="T7" i="17"/>
  <c r="AB7" i="17"/>
  <c r="AJ5" i="30"/>
  <c r="AI5" i="30"/>
  <c r="AI3" i="30"/>
  <c r="AI4" i="30"/>
  <c r="L66" i="13"/>
  <c r="K59" i="13"/>
  <c r="AC13" i="17"/>
  <c r="AC14" i="17" s="1"/>
  <c r="L13" i="17"/>
  <c r="L14" i="17" s="1"/>
  <c r="P13" i="17"/>
  <c r="P14" i="17" s="1"/>
  <c r="E13" i="17"/>
  <c r="E14" i="17" s="1"/>
  <c r="N13" i="17"/>
  <c r="N14" i="17" s="1"/>
  <c r="H13" i="17"/>
  <c r="H14" i="17" s="1"/>
  <c r="M13" i="17"/>
  <c r="M14" i="17" s="1"/>
  <c r="O13" i="17"/>
  <c r="O14" i="17" s="1"/>
  <c r="AF13" i="17"/>
  <c r="AF14" i="17" s="1"/>
  <c r="F13" i="17"/>
  <c r="F14" i="17" s="1"/>
  <c r="Z13" i="17"/>
  <c r="Z14" i="17" s="1"/>
  <c r="W13" i="17"/>
  <c r="W14" i="17" s="1"/>
  <c r="K13" i="17"/>
  <c r="K14" i="17" s="1"/>
  <c r="V13" i="17"/>
  <c r="V14" i="17" s="1"/>
  <c r="J13" i="17"/>
  <c r="J14" i="17" s="1"/>
  <c r="S13" i="17"/>
  <c r="S14" i="17" s="1"/>
  <c r="Q13" i="17"/>
  <c r="Q14" i="17" s="1"/>
  <c r="G13" i="17"/>
  <c r="G14" i="17" s="1"/>
  <c r="AD13" i="17"/>
  <c r="AD14" i="17" s="1"/>
  <c r="I13" i="17"/>
  <c r="I14" i="17" s="1"/>
  <c r="U13" i="17"/>
  <c r="U14" i="17" s="1"/>
  <c r="AA13" i="17"/>
  <c r="AA14" i="17" s="1"/>
  <c r="R13" i="17"/>
  <c r="R14" i="17" s="1"/>
  <c r="C13" i="17"/>
  <c r="C14" i="17" s="1"/>
  <c r="E6" i="1"/>
  <c r="I6" i="1" s="1"/>
  <c r="I5" i="1"/>
  <c r="T13" i="17"/>
  <c r="T14" i="17" s="1"/>
  <c r="B7" i="31"/>
  <c r="I8" i="31" s="1"/>
  <c r="CL6" i="31"/>
  <c r="CS7" i="31" s="1"/>
  <c r="CK6" i="31"/>
  <c r="CR7" i="31" s="1"/>
  <c r="CN6" i="31"/>
  <c r="CU7" i="31" s="1"/>
  <c r="CI6" i="31"/>
  <c r="CP7" i="31" s="1"/>
  <c r="CH6" i="31"/>
  <c r="CO7" i="31" s="1"/>
  <c r="CM6" i="31"/>
  <c r="CT7" i="31" s="1"/>
  <c r="CJ6" i="31"/>
  <c r="CQ7" i="31" s="1"/>
  <c r="AS5" i="31"/>
  <c r="AZ6" i="31" s="1"/>
  <c r="AR5" i="31"/>
  <c r="AY6" i="31" s="1"/>
  <c r="AX5" i="31"/>
  <c r="BE6" i="31" s="1"/>
  <c r="AW5" i="31"/>
  <c r="BD6" i="31" s="1"/>
  <c r="AV5" i="31"/>
  <c r="BC6" i="31" s="1"/>
  <c r="AU5" i="31"/>
  <c r="BB6" i="31" s="1"/>
  <c r="AT5" i="31"/>
  <c r="BA6" i="31" s="1"/>
  <c r="DH6" i="31"/>
  <c r="DO7" i="31" s="1"/>
  <c r="DF6" i="31"/>
  <c r="DM7" i="31" s="1"/>
  <c r="DD6" i="31"/>
  <c r="DK7" i="31" s="1"/>
  <c r="DC6" i="31"/>
  <c r="DJ7" i="31" s="1"/>
  <c r="DE6" i="31"/>
  <c r="DL7" i="31" s="1"/>
  <c r="DG6" i="31"/>
  <c r="DN7" i="31" s="1"/>
  <c r="DI6" i="31"/>
  <c r="DP7" i="31" s="1"/>
  <c r="BP8" i="31"/>
  <c r="BW9" i="31" s="1"/>
  <c r="BM8" i="31"/>
  <c r="BT9" i="31" s="1"/>
  <c r="BO8" i="31"/>
  <c r="BV9" i="31" s="1"/>
  <c r="BN8" i="31"/>
  <c r="BU9" i="31" s="1"/>
  <c r="AK109" i="4"/>
  <c r="AO101" i="4" s="1"/>
  <c r="CG3" i="32"/>
  <c r="BL3" i="32" s="1"/>
  <c r="BS4" i="32" s="1"/>
  <c r="BL4" i="32" s="1"/>
  <c r="BS5" i="32" s="1"/>
  <c r="BL5" i="32" s="1"/>
  <c r="BS6" i="32" s="1"/>
  <c r="BL6" i="32" s="1"/>
  <c r="BS7" i="32" s="1"/>
  <c r="BK3" i="32"/>
  <c r="BR4" i="32" s="1"/>
  <c r="BK4" i="32" s="1"/>
  <c r="BR5" i="32" s="1"/>
  <c r="BK5" i="32" s="1"/>
  <c r="BR6" i="32" s="1"/>
  <c r="BK6" i="32" s="1"/>
  <c r="BR7" i="32" s="1"/>
  <c r="AH5" i="14"/>
  <c r="BQ3" i="31"/>
  <c r="BX4" i="31" s="1"/>
  <c r="BQ4" i="31" s="1"/>
  <c r="BX5" i="31" s="1"/>
  <c r="BQ5" i="31" s="1"/>
  <c r="BX6" i="31" s="1"/>
  <c r="BQ6" i="31" s="1"/>
  <c r="BX7" i="31" s="1"/>
  <c r="BQ7" i="31" s="1"/>
  <c r="BX8" i="31" s="1"/>
  <c r="BQ8" i="31" s="1"/>
  <c r="BX9" i="31" s="1"/>
  <c r="CF3" i="31"/>
  <c r="AA10" i="1"/>
  <c r="AB10" i="1" s="1"/>
  <c r="AS10" i="20"/>
  <c r="AT10" i="20" s="1"/>
  <c r="Z11" i="1"/>
  <c r="AD11" i="1" s="1"/>
  <c r="Q22" i="20"/>
  <c r="Z10" i="1"/>
  <c r="AD10" i="1" s="1"/>
  <c r="U10" i="1"/>
  <c r="AT28" i="20"/>
  <c r="AU28" i="20" s="1"/>
  <c r="AV28" i="20" s="1"/>
  <c r="P10" i="1"/>
  <c r="AS22" i="20"/>
  <c r="O101" i="32"/>
  <c r="O102" i="32" s="1"/>
  <c r="BAM6" i="15"/>
  <c r="H158" i="4"/>
  <c r="D8" i="15"/>
  <c r="AZI8" i="15"/>
  <c r="YT8" i="15"/>
  <c r="AMB8" i="15"/>
  <c r="AD10" i="32"/>
  <c r="AK11" i="32" s="1"/>
  <c r="Z6" i="31"/>
  <c r="AG7" i="31" s="1"/>
  <c r="AA6" i="31"/>
  <c r="AH7" i="31" s="1"/>
  <c r="W6" i="31"/>
  <c r="AD7" i="31" s="1"/>
  <c r="X6" i="31"/>
  <c r="AE7" i="31" s="1"/>
  <c r="AB6" i="31"/>
  <c r="AI7" i="31" s="1"/>
  <c r="AC6" i="31"/>
  <c r="AJ7" i="31" s="1"/>
  <c r="Y6" i="31"/>
  <c r="AF7" i="31" s="1"/>
  <c r="G163" i="4"/>
  <c r="AZH5" i="15"/>
  <c r="AMA5" i="15"/>
  <c r="C4" i="14"/>
  <c r="C5" i="15"/>
  <c r="YS5" i="15"/>
  <c r="E9" i="1"/>
  <c r="AM159" i="4"/>
  <c r="AG13" i="17"/>
  <c r="X13" i="17"/>
  <c r="X14" i="17" s="1"/>
  <c r="Y13" i="17"/>
  <c r="Y14" i="17" s="1"/>
  <c r="BH6" i="32"/>
  <c r="BO7" i="32" s="1"/>
  <c r="BG6" i="32"/>
  <c r="BN7" i="32" s="1"/>
  <c r="BF6" i="32"/>
  <c r="BM7" i="32" s="1"/>
  <c r="BI6" i="32"/>
  <c r="BP7" i="32" s="1"/>
  <c r="B7" i="32"/>
  <c r="I8" i="32" s="1"/>
  <c r="ZX6" i="15"/>
  <c r="ANF6" i="15"/>
  <c r="AH6" i="15"/>
  <c r="C25" i="15"/>
  <c r="R4" i="19"/>
  <c r="N4" i="19"/>
  <c r="M4" i="19"/>
  <c r="X76" i="20" s="1"/>
  <c r="L9" i="19"/>
  <c r="P4" i="19"/>
  <c r="T76" i="20" s="1"/>
  <c r="Q4" i="19"/>
  <c r="O4" i="19"/>
  <c r="V76" i="20" s="1"/>
  <c r="I11" i="17" l="1"/>
  <c r="AK5" i="17"/>
  <c r="E7" i="31"/>
  <c r="L8" i="31" s="1"/>
  <c r="S7" i="32"/>
  <c r="E7" i="32" s="1"/>
  <c r="L8" i="32" s="1"/>
  <c r="D7" i="31"/>
  <c r="K8" i="31" s="1"/>
  <c r="R7" i="32"/>
  <c r="D7" i="32" s="1"/>
  <c r="K8" i="32" s="1"/>
  <c r="D8" i="32" s="1"/>
  <c r="K9" i="32" s="1"/>
  <c r="C7" i="31"/>
  <c r="J8" i="31" s="1"/>
  <c r="C8" i="31" s="1"/>
  <c r="J9" i="31" s="1"/>
  <c r="Q7" i="32"/>
  <c r="C7" i="32" s="1"/>
  <c r="J8" i="32" s="1"/>
  <c r="F7" i="31"/>
  <c r="M8" i="31" s="1"/>
  <c r="F8" i="31" s="1"/>
  <c r="M9" i="31" s="1"/>
  <c r="T7" i="32"/>
  <c r="F7" i="32" s="1"/>
  <c r="M8" i="32" s="1"/>
  <c r="F8" i="32" s="1"/>
  <c r="M9" i="32" s="1"/>
  <c r="H7" i="31"/>
  <c r="O8" i="31" s="1"/>
  <c r="H8" i="31" s="1"/>
  <c r="O9" i="31" s="1"/>
  <c r="V7" i="32"/>
  <c r="H7" i="32" s="1"/>
  <c r="O8" i="32" s="1"/>
  <c r="H8" i="32" s="1"/>
  <c r="O9" i="32" s="1"/>
  <c r="G7" i="31"/>
  <c r="N8" i="31" s="1"/>
  <c r="G8" i="31" s="1"/>
  <c r="N9" i="31" s="1"/>
  <c r="U7" i="32"/>
  <c r="G7" i="32" s="1"/>
  <c r="N8" i="32" s="1"/>
  <c r="G8" i="32" s="1"/>
  <c r="N9" i="32" s="1"/>
  <c r="AS20" i="20"/>
  <c r="AU20" i="20" s="1"/>
  <c r="AT20" i="20" s="1"/>
  <c r="AT26" i="20"/>
  <c r="AU26" i="20" s="1"/>
  <c r="AV26" i="20" s="1"/>
  <c r="Q14" i="20"/>
  <c r="Q16" i="20" s="1"/>
  <c r="P5" i="1"/>
  <c r="AT16" i="20"/>
  <c r="AS8" i="20"/>
  <c r="AT8" i="20" s="1"/>
  <c r="U5" i="1"/>
  <c r="AA5" i="1"/>
  <c r="AB5" i="1" s="1"/>
  <c r="AK225" i="4"/>
  <c r="E14" i="1" s="1"/>
  <c r="G30" i="20" s="1"/>
  <c r="K30" i="20" s="1"/>
  <c r="AM112" i="4"/>
  <c r="AA15" i="1"/>
  <c r="AM125" i="4"/>
  <c r="Z5" i="1"/>
  <c r="AD5" i="1" s="1"/>
  <c r="AM111" i="4"/>
  <c r="AM113" i="4"/>
  <c r="AH13" i="17"/>
  <c r="C10" i="23"/>
  <c r="D11" i="23"/>
  <c r="AM8" i="32"/>
  <c r="AF8" i="32" s="1"/>
  <c r="AM9" i="32" s="1"/>
  <c r="AF9" i="32" s="1"/>
  <c r="AM10" i="32" s="1"/>
  <c r="AF10" i="32" s="1"/>
  <c r="AM11" i="32" s="1"/>
  <c r="AF11" i="32" s="1"/>
  <c r="AM12" i="32" s="1"/>
  <c r="AO8" i="32"/>
  <c r="AH8" i="32" s="1"/>
  <c r="AO9" i="32" s="1"/>
  <c r="AH9" i="32" s="1"/>
  <c r="AO10" i="32" s="1"/>
  <c r="AH10" i="32" s="1"/>
  <c r="AO11" i="32" s="1"/>
  <c r="AH11" i="32" s="1"/>
  <c r="AO12" i="32" s="1"/>
  <c r="AL8" i="32"/>
  <c r="AE8" i="32" s="1"/>
  <c r="AL9" i="32" s="1"/>
  <c r="AE9" i="32" s="1"/>
  <c r="AL10" i="32" s="1"/>
  <c r="AE10" i="32" s="1"/>
  <c r="AL11" i="32" s="1"/>
  <c r="AE11" i="32" s="1"/>
  <c r="AL12" i="32" s="1"/>
  <c r="AQ8" i="32"/>
  <c r="AJ8" i="32" s="1"/>
  <c r="AQ9" i="32" s="1"/>
  <c r="AJ9" i="32" s="1"/>
  <c r="AQ10" i="32" s="1"/>
  <c r="AJ10" i="32" s="1"/>
  <c r="AQ11" i="32" s="1"/>
  <c r="AJ11" i="32" s="1"/>
  <c r="AQ12" i="32" s="1"/>
  <c r="AP8" i="32"/>
  <c r="AI8" i="32" s="1"/>
  <c r="AP9" i="32" s="1"/>
  <c r="AI9" i="32" s="1"/>
  <c r="AP10" i="32" s="1"/>
  <c r="AI10" i="32" s="1"/>
  <c r="AP11" i="32" s="1"/>
  <c r="AI11" i="32" s="1"/>
  <c r="AP12" i="32" s="1"/>
  <c r="AN8" i="32"/>
  <c r="AG8" i="32" s="1"/>
  <c r="AN9" i="32" s="1"/>
  <c r="AG9" i="32" s="1"/>
  <c r="AN10" i="32" s="1"/>
  <c r="AG10" i="32" s="1"/>
  <c r="AN11" i="32" s="1"/>
  <c r="AG11" i="32" s="1"/>
  <c r="AN12" i="32" s="1"/>
  <c r="M9" i="19"/>
  <c r="J11" i="15"/>
  <c r="K15" i="17"/>
  <c r="J16" i="17"/>
  <c r="J9" i="17"/>
  <c r="I10" i="17"/>
  <c r="AM124" i="4"/>
  <c r="AO97" i="4"/>
  <c r="N9" i="19"/>
  <c r="AO105" i="4"/>
  <c r="AM123" i="4"/>
  <c r="Q9" i="19"/>
  <c r="BR3" i="31"/>
  <c r="BY4" i="31" s="1"/>
  <c r="BR4" i="31" s="1"/>
  <c r="BY5" i="31" s="1"/>
  <c r="BR5" i="31" s="1"/>
  <c r="BY6" i="31" s="1"/>
  <c r="BR6" i="31" s="1"/>
  <c r="BY7" i="31" s="1"/>
  <c r="BR7" i="31" s="1"/>
  <c r="BY8" i="31" s="1"/>
  <c r="BR8" i="31" s="1"/>
  <c r="BY9" i="31" s="1"/>
  <c r="BR9" i="31" s="1"/>
  <c r="BY10" i="31" s="1"/>
  <c r="CG3" i="31"/>
  <c r="BS3" i="31" s="1"/>
  <c r="BZ4" i="31" s="1"/>
  <c r="BS4" i="31" s="1"/>
  <c r="BZ5" i="31" s="1"/>
  <c r="BS5" i="31" s="1"/>
  <c r="BZ6" i="31" s="1"/>
  <c r="BS6" i="31" s="1"/>
  <c r="BZ7" i="31" s="1"/>
  <c r="BS7" i="31" s="1"/>
  <c r="BZ8" i="31" s="1"/>
  <c r="BS8" i="31" s="1"/>
  <c r="BZ9" i="31" s="1"/>
  <c r="BS9" i="31" s="1"/>
  <c r="BZ10" i="31" s="1"/>
  <c r="CK7" i="31"/>
  <c r="CR8" i="31" s="1"/>
  <c r="CN7" i="31"/>
  <c r="CU8" i="31" s="1"/>
  <c r="CI7" i="31"/>
  <c r="CP8" i="31" s="1"/>
  <c r="CL7" i="31"/>
  <c r="CS8" i="31" s="1"/>
  <c r="CJ7" i="31"/>
  <c r="CQ8" i="31" s="1"/>
  <c r="CM7" i="31"/>
  <c r="CT8" i="31" s="1"/>
  <c r="CH7" i="31"/>
  <c r="CO8" i="31" s="1"/>
  <c r="DG7" i="31"/>
  <c r="DN8" i="31" s="1"/>
  <c r="DD7" i="31"/>
  <c r="DK8" i="31" s="1"/>
  <c r="DC7" i="31"/>
  <c r="DJ8" i="31" s="1"/>
  <c r="DF7" i="31"/>
  <c r="DM8" i="31" s="1"/>
  <c r="DE7" i="31"/>
  <c r="DL8" i="31" s="1"/>
  <c r="DI7" i="31"/>
  <c r="DP8" i="31" s="1"/>
  <c r="DH7" i="31"/>
  <c r="DO8" i="31" s="1"/>
  <c r="BM9" i="31"/>
  <c r="BT10" i="31" s="1"/>
  <c r="BQ9" i="31"/>
  <c r="BX10" i="31" s="1"/>
  <c r="BO9" i="31"/>
  <c r="BV10" i="31" s="1"/>
  <c r="BP9" i="31"/>
  <c r="BW10" i="31" s="1"/>
  <c r="BN9" i="31"/>
  <c r="BU10" i="31" s="1"/>
  <c r="AR6" i="31"/>
  <c r="AY7" i="31" s="1"/>
  <c r="AX6" i="31"/>
  <c r="BE7" i="31" s="1"/>
  <c r="AV6" i="31"/>
  <c r="BC7" i="31" s="1"/>
  <c r="AW6" i="31"/>
  <c r="BD7" i="31" s="1"/>
  <c r="AS6" i="31"/>
  <c r="AZ7" i="31" s="1"/>
  <c r="AU6" i="31"/>
  <c r="BB7" i="31" s="1"/>
  <c r="AT6" i="31"/>
  <c r="BA7" i="31" s="1"/>
  <c r="E8" i="31"/>
  <c r="L9" i="31" s="1"/>
  <c r="B8" i="31"/>
  <c r="I9" i="31" s="1"/>
  <c r="D8" i="31"/>
  <c r="K9" i="31" s="1"/>
  <c r="AU22" i="20"/>
  <c r="AT22" i="20" s="1"/>
  <c r="P9" i="19"/>
  <c r="Z7" i="31"/>
  <c r="AG8" i="31" s="1"/>
  <c r="Y7" i="31"/>
  <c r="AF8" i="31" s="1"/>
  <c r="W7" i="31"/>
  <c r="AD8" i="31" s="1"/>
  <c r="AB7" i="31"/>
  <c r="AI8" i="31" s="1"/>
  <c r="AA7" i="31"/>
  <c r="AH8" i="31" s="1"/>
  <c r="AC7" i="31"/>
  <c r="AJ8" i="31" s="1"/>
  <c r="X7" i="31"/>
  <c r="AE8" i="31" s="1"/>
  <c r="AMB5" i="15"/>
  <c r="AZI5" i="15"/>
  <c r="YT5" i="15"/>
  <c r="G171" i="4"/>
  <c r="D4" i="14"/>
  <c r="H163" i="4"/>
  <c r="D5" i="15"/>
  <c r="BK7" i="32"/>
  <c r="BR8" i="32" s="1"/>
  <c r="BI7" i="32"/>
  <c r="BP8" i="32" s="1"/>
  <c r="BF7" i="32"/>
  <c r="BM8" i="32" s="1"/>
  <c r="BH7" i="32"/>
  <c r="BO8" i="32" s="1"/>
  <c r="BG7" i="32"/>
  <c r="BN8" i="32" s="1"/>
  <c r="BL7" i="32"/>
  <c r="BS8" i="32" s="1"/>
  <c r="BJ7" i="32"/>
  <c r="BQ8" i="32" s="1"/>
  <c r="AD11" i="32"/>
  <c r="AK12" i="32" s="1"/>
  <c r="B8" i="32"/>
  <c r="I9" i="32" s="1"/>
  <c r="C8" i="32"/>
  <c r="J9" i="32" s="1"/>
  <c r="E8" i="32"/>
  <c r="L9" i="32" s="1"/>
  <c r="AG14" i="17"/>
  <c r="AI17" i="17"/>
  <c r="R9" i="19"/>
  <c r="D25" i="15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O25" i="15" s="1"/>
  <c r="P25" i="15" s="1"/>
  <c r="Q25" i="15" s="1"/>
  <c r="R25" i="15" s="1"/>
  <c r="S25" i="15" s="1"/>
  <c r="T25" i="15" s="1"/>
  <c r="U25" i="15" s="1"/>
  <c r="V25" i="15" s="1"/>
  <c r="W25" i="15" s="1"/>
  <c r="X25" i="15" s="1"/>
  <c r="Y25" i="15" s="1"/>
  <c r="Z25" i="15" s="1"/>
  <c r="AA25" i="15" s="1"/>
  <c r="AB25" i="15" s="1"/>
  <c r="AC25" i="15" s="1"/>
  <c r="AD25" i="15" s="1"/>
  <c r="AE25" i="15" s="1"/>
  <c r="AF25" i="15" s="1"/>
  <c r="AG25" i="15" s="1"/>
  <c r="M9" i="1"/>
  <c r="Q9" i="1"/>
  <c r="AS9" i="20" s="1"/>
  <c r="G20" i="20"/>
  <c r="I9" i="1"/>
  <c r="E41" i="22"/>
  <c r="G9" i="1"/>
  <c r="I158" i="4"/>
  <c r="YU8" i="15"/>
  <c r="AZJ8" i="15"/>
  <c r="AMC8" i="15"/>
  <c r="O9" i="19"/>
  <c r="U6" i="1"/>
  <c r="K16" i="17" l="1"/>
  <c r="Q14" i="1"/>
  <c r="Q30" i="20" s="1"/>
  <c r="M14" i="1"/>
  <c r="P14" i="1" s="1"/>
  <c r="G14" i="1"/>
  <c r="I14" i="1"/>
  <c r="C11" i="23"/>
  <c r="D12" i="23"/>
  <c r="K11" i="15"/>
  <c r="L15" i="17"/>
  <c r="K9" i="17"/>
  <c r="J10" i="17"/>
  <c r="J11" i="17"/>
  <c r="K11" i="17" s="1"/>
  <c r="AH25" i="15"/>
  <c r="CN8" i="31"/>
  <c r="CU9" i="31" s="1"/>
  <c r="CK8" i="31"/>
  <c r="CR9" i="31" s="1"/>
  <c r="CJ8" i="31"/>
  <c r="CQ9" i="31" s="1"/>
  <c r="CM8" i="31"/>
  <c r="CT9" i="31" s="1"/>
  <c r="CL8" i="31"/>
  <c r="CS9" i="31" s="1"/>
  <c r="CH8" i="31"/>
  <c r="CO9" i="31" s="1"/>
  <c r="CI8" i="31"/>
  <c r="CP9" i="31" s="1"/>
  <c r="B9" i="31"/>
  <c r="I10" i="31" s="1"/>
  <c r="C9" i="31"/>
  <c r="J10" i="31" s="1"/>
  <c r="E9" i="31"/>
  <c r="L10" i="31" s="1"/>
  <c r="D9" i="31"/>
  <c r="K10" i="31" s="1"/>
  <c r="G9" i="31"/>
  <c r="N10" i="31" s="1"/>
  <c r="H9" i="31"/>
  <c r="O10" i="31" s="1"/>
  <c r="F9" i="31"/>
  <c r="M10" i="31" s="1"/>
  <c r="DE8" i="31"/>
  <c r="DL9" i="31" s="1"/>
  <c r="DC8" i="31"/>
  <c r="DJ9" i="31" s="1"/>
  <c r="DG8" i="31"/>
  <c r="DN9" i="31" s="1"/>
  <c r="DH8" i="31"/>
  <c r="DO9" i="31" s="1"/>
  <c r="DF8" i="31"/>
  <c r="DM9" i="31" s="1"/>
  <c r="DI8" i="31"/>
  <c r="DP9" i="31" s="1"/>
  <c r="DD8" i="31"/>
  <c r="DK9" i="31" s="1"/>
  <c r="AT7" i="31"/>
  <c r="BA8" i="31" s="1"/>
  <c r="AS7" i="31"/>
  <c r="AZ8" i="31" s="1"/>
  <c r="AX7" i="31"/>
  <c r="BE8" i="31" s="1"/>
  <c r="AR7" i="31"/>
  <c r="AY8" i="31" s="1"/>
  <c r="AV7" i="31"/>
  <c r="BC8" i="31" s="1"/>
  <c r="AU7" i="31"/>
  <c r="BB8" i="31" s="1"/>
  <c r="AW7" i="31"/>
  <c r="BD8" i="31" s="1"/>
  <c r="BN10" i="31"/>
  <c r="BU11" i="31" s="1"/>
  <c r="BQ10" i="31"/>
  <c r="BX11" i="31" s="1"/>
  <c r="BM10" i="31"/>
  <c r="BT11" i="31" s="1"/>
  <c r="BP10" i="31"/>
  <c r="BW11" i="31" s="1"/>
  <c r="BR10" i="31"/>
  <c r="BY11" i="31" s="1"/>
  <c r="BS10" i="31"/>
  <c r="BZ11" i="31" s="1"/>
  <c r="BO10" i="31"/>
  <c r="BV11" i="31" s="1"/>
  <c r="AT33" i="20"/>
  <c r="AU33" i="20" s="1"/>
  <c r="AV33" i="20" s="1"/>
  <c r="P9" i="1"/>
  <c r="AT9" i="20"/>
  <c r="AA9" i="1"/>
  <c r="AB9" i="1" s="1"/>
  <c r="Q20" i="20"/>
  <c r="Z9" i="1"/>
  <c r="AD9" i="1" s="1"/>
  <c r="U9" i="1"/>
  <c r="S9" i="1"/>
  <c r="AG12" i="32"/>
  <c r="AN13" i="32" s="1"/>
  <c r="AI12" i="32"/>
  <c r="AP13" i="32" s="1"/>
  <c r="AJ12" i="32"/>
  <c r="AQ13" i="32" s="1"/>
  <c r="AF12" i="32"/>
  <c r="AM13" i="32" s="1"/>
  <c r="AE12" i="32"/>
  <c r="AL13" i="32" s="1"/>
  <c r="AH12" i="32"/>
  <c r="AO13" i="32" s="1"/>
  <c r="AD12" i="32"/>
  <c r="AK13" i="32" s="1"/>
  <c r="AC8" i="31"/>
  <c r="AJ9" i="31" s="1"/>
  <c r="W8" i="31"/>
  <c r="AD9" i="31" s="1"/>
  <c r="AA8" i="31"/>
  <c r="AH9" i="31" s="1"/>
  <c r="X8" i="31"/>
  <c r="AE9" i="31" s="1"/>
  <c r="AB8" i="31"/>
  <c r="AI9" i="31" s="1"/>
  <c r="Y8" i="31"/>
  <c r="AF9" i="31" s="1"/>
  <c r="Z8" i="31"/>
  <c r="AG9" i="31" s="1"/>
  <c r="AS18" i="20"/>
  <c r="K20" i="20"/>
  <c r="BJ8" i="32"/>
  <c r="BQ9" i="32" s="1"/>
  <c r="BK8" i="32"/>
  <c r="BR9" i="32" s="1"/>
  <c r="BI8" i="32"/>
  <c r="BP9" i="32" s="1"/>
  <c r="BH8" i="32"/>
  <c r="BO9" i="32" s="1"/>
  <c r="BG8" i="32"/>
  <c r="BN9" i="32" s="1"/>
  <c r="BF8" i="32"/>
  <c r="BM9" i="32" s="1"/>
  <c r="BL8" i="32"/>
  <c r="BS9" i="32" s="1"/>
  <c r="J158" i="4"/>
  <c r="AZK8" i="15"/>
  <c r="AMD8" i="15"/>
  <c r="F8" i="15"/>
  <c r="YV8" i="15"/>
  <c r="B9" i="32"/>
  <c r="I10" i="32" s="1"/>
  <c r="F9" i="32"/>
  <c r="M10" i="32" s="1"/>
  <c r="D9" i="32"/>
  <c r="K10" i="32" s="1"/>
  <c r="G9" i="32"/>
  <c r="N10" i="32" s="1"/>
  <c r="E9" i="32"/>
  <c r="L10" i="32" s="1"/>
  <c r="H9" i="32"/>
  <c r="O10" i="32" s="1"/>
  <c r="C9" i="32"/>
  <c r="J10" i="32" s="1"/>
  <c r="H41" i="22"/>
  <c r="G41" i="22"/>
  <c r="I163" i="4"/>
  <c r="AZJ5" i="15"/>
  <c r="YU5" i="15"/>
  <c r="AMC5" i="15"/>
  <c r="E4" i="14"/>
  <c r="E5" i="15"/>
  <c r="U14" i="1" l="1"/>
  <c r="S14" i="1"/>
  <c r="C12" i="23"/>
  <c r="D13" i="23"/>
  <c r="M15" i="17"/>
  <c r="L11" i="15"/>
  <c r="L16" i="17"/>
  <c r="M16" i="17" s="1"/>
  <c r="L9" i="17"/>
  <c r="K10" i="17"/>
  <c r="B47" i="22"/>
  <c r="BN11" i="31"/>
  <c r="BU12" i="31" s="1"/>
  <c r="BR11" i="31"/>
  <c r="BY12" i="31" s="1"/>
  <c r="BQ11" i="31"/>
  <c r="BX12" i="31" s="1"/>
  <c r="BO11" i="31"/>
  <c r="BV12" i="31" s="1"/>
  <c r="BP11" i="31"/>
  <c r="BW12" i="31" s="1"/>
  <c r="BS11" i="31"/>
  <c r="BZ12" i="31" s="1"/>
  <c r="BM11" i="31"/>
  <c r="BT12" i="31" s="1"/>
  <c r="CJ9" i="31"/>
  <c r="CQ10" i="31" s="1"/>
  <c r="CL9" i="31"/>
  <c r="CS10" i="31" s="1"/>
  <c r="CH9" i="31"/>
  <c r="CO10" i="31" s="1"/>
  <c r="CM9" i="31"/>
  <c r="CT10" i="31" s="1"/>
  <c r="CK9" i="31"/>
  <c r="CR10" i="31" s="1"/>
  <c r="CN9" i="31"/>
  <c r="CU10" i="31" s="1"/>
  <c r="CI9" i="31"/>
  <c r="CP10" i="31" s="1"/>
  <c r="DG9" i="31"/>
  <c r="DN10" i="31" s="1"/>
  <c r="DH9" i="31"/>
  <c r="DO10" i="31" s="1"/>
  <c r="DC9" i="31"/>
  <c r="DJ10" i="31" s="1"/>
  <c r="DF9" i="31"/>
  <c r="DM10" i="31" s="1"/>
  <c r="DD9" i="31"/>
  <c r="DK10" i="31" s="1"/>
  <c r="DE9" i="31"/>
  <c r="DL10" i="31" s="1"/>
  <c r="DI9" i="31"/>
  <c r="DP10" i="31" s="1"/>
  <c r="AV8" i="31"/>
  <c r="BC9" i="31" s="1"/>
  <c r="AU8" i="31"/>
  <c r="BB9" i="31" s="1"/>
  <c r="AX8" i="31"/>
  <c r="BE9" i="31" s="1"/>
  <c r="AT8" i="31"/>
  <c r="BA9" i="31" s="1"/>
  <c r="AS8" i="31"/>
  <c r="AZ9" i="31" s="1"/>
  <c r="AW8" i="31"/>
  <c r="BD9" i="31" s="1"/>
  <c r="AR8" i="31"/>
  <c r="AY9" i="31" s="1"/>
  <c r="D10" i="31"/>
  <c r="K11" i="31" s="1"/>
  <c r="G10" i="31"/>
  <c r="N11" i="31" s="1"/>
  <c r="H10" i="31"/>
  <c r="O11" i="31" s="1"/>
  <c r="E10" i="31"/>
  <c r="L11" i="31" s="1"/>
  <c r="B10" i="31"/>
  <c r="I11" i="31" s="1"/>
  <c r="C10" i="31"/>
  <c r="J11" i="31" s="1"/>
  <c r="F10" i="31"/>
  <c r="M11" i="31" s="1"/>
  <c r="AG13" i="32"/>
  <c r="AN14" i="32" s="1"/>
  <c r="AI13" i="32"/>
  <c r="AP14" i="32" s="1"/>
  <c r="AH13" i="32"/>
  <c r="AO14" i="32" s="1"/>
  <c r="AE13" i="32"/>
  <c r="AL14" i="32" s="1"/>
  <c r="AD13" i="32"/>
  <c r="AK14" i="32" s="1"/>
  <c r="AJ13" i="32"/>
  <c r="AQ14" i="32" s="1"/>
  <c r="AF13" i="32"/>
  <c r="AM14" i="32" s="1"/>
  <c r="BG9" i="32"/>
  <c r="BN10" i="32" s="1"/>
  <c r="BL9" i="32"/>
  <c r="BS10" i="32" s="1"/>
  <c r="BJ9" i="32"/>
  <c r="BQ10" i="32" s="1"/>
  <c r="BF9" i="32"/>
  <c r="BM10" i="32" s="1"/>
  <c r="BH9" i="32"/>
  <c r="BO10" i="32" s="1"/>
  <c r="BI9" i="32"/>
  <c r="BP10" i="32" s="1"/>
  <c r="BK9" i="32"/>
  <c r="BR10" i="32" s="1"/>
  <c r="K158" i="4"/>
  <c r="AZL8" i="15"/>
  <c r="AME8" i="15"/>
  <c r="G8" i="15"/>
  <c r="YW8" i="15"/>
  <c r="AU18" i="20"/>
  <c r="AT18" i="20" s="1"/>
  <c r="J163" i="4"/>
  <c r="AZK5" i="15"/>
  <c r="AMD5" i="15"/>
  <c r="YV5" i="15"/>
  <c r="F4" i="14"/>
  <c r="F5" i="15"/>
  <c r="AA9" i="31"/>
  <c r="AH10" i="31" s="1"/>
  <c r="X9" i="31"/>
  <c r="AE10" i="31" s="1"/>
  <c r="AB9" i="31"/>
  <c r="AI10" i="31" s="1"/>
  <c r="W9" i="31"/>
  <c r="AD10" i="31" s="1"/>
  <c r="Z9" i="31"/>
  <c r="AG10" i="31" s="1"/>
  <c r="AC9" i="31"/>
  <c r="AJ10" i="31" s="1"/>
  <c r="Y9" i="31"/>
  <c r="AF10" i="31" s="1"/>
  <c r="B10" i="32"/>
  <c r="I11" i="32" s="1"/>
  <c r="C10" i="32"/>
  <c r="J11" i="32" s="1"/>
  <c r="F10" i="32"/>
  <c r="M11" i="32" s="1"/>
  <c r="G10" i="32"/>
  <c r="N11" i="32" s="1"/>
  <c r="H10" i="32"/>
  <c r="O11" i="32" s="1"/>
  <c r="E10" i="32"/>
  <c r="L11" i="32" s="1"/>
  <c r="D10" i="32"/>
  <c r="K11" i="32" s="1"/>
  <c r="C13" i="23" l="1"/>
  <c r="D14" i="23"/>
  <c r="N15" i="17"/>
  <c r="M11" i="15"/>
  <c r="M9" i="17"/>
  <c r="L10" i="17"/>
  <c r="L11" i="17"/>
  <c r="M11" i="17" s="1"/>
  <c r="AX9" i="31"/>
  <c r="BE10" i="31" s="1"/>
  <c r="AR9" i="31"/>
  <c r="AY10" i="31" s="1"/>
  <c r="AW9" i="31"/>
  <c r="BD10" i="31" s="1"/>
  <c r="AT9" i="31"/>
  <c r="BA10" i="31" s="1"/>
  <c r="AV9" i="31"/>
  <c r="BC10" i="31" s="1"/>
  <c r="AU9" i="31"/>
  <c r="BB10" i="31" s="1"/>
  <c r="AS9" i="31"/>
  <c r="AZ10" i="31" s="1"/>
  <c r="BM12" i="31"/>
  <c r="BT13" i="31" s="1"/>
  <c r="BQ12" i="31"/>
  <c r="BX13" i="31" s="1"/>
  <c r="BP12" i="31"/>
  <c r="BW13" i="31" s="1"/>
  <c r="BR12" i="31"/>
  <c r="BY13" i="31" s="1"/>
  <c r="BN12" i="31"/>
  <c r="BU13" i="31" s="1"/>
  <c r="BO12" i="31"/>
  <c r="BV13" i="31" s="1"/>
  <c r="BS12" i="31"/>
  <c r="BZ13" i="31" s="1"/>
  <c r="CJ10" i="31"/>
  <c r="CQ11" i="31" s="1"/>
  <c r="CN10" i="31"/>
  <c r="CU11" i="31" s="1"/>
  <c r="CH10" i="31"/>
  <c r="CO11" i="31" s="1"/>
  <c r="CK10" i="31"/>
  <c r="CR11" i="31" s="1"/>
  <c r="CM10" i="31"/>
  <c r="CT11" i="31" s="1"/>
  <c r="CI10" i="31"/>
  <c r="CP11" i="31" s="1"/>
  <c r="CL10" i="31"/>
  <c r="CS11" i="31" s="1"/>
  <c r="C11" i="31"/>
  <c r="J12" i="31" s="1"/>
  <c r="H11" i="31"/>
  <c r="O12" i="31" s="1"/>
  <c r="G11" i="31"/>
  <c r="N12" i="31" s="1"/>
  <c r="E11" i="31"/>
  <c r="L12" i="31" s="1"/>
  <c r="B11" i="31"/>
  <c r="I12" i="31" s="1"/>
  <c r="F11" i="31"/>
  <c r="M12" i="31" s="1"/>
  <c r="D11" i="31"/>
  <c r="K12" i="31" s="1"/>
  <c r="DC10" i="31"/>
  <c r="DJ11" i="31" s="1"/>
  <c r="DI10" i="31"/>
  <c r="DP11" i="31" s="1"/>
  <c r="DD10" i="31"/>
  <c r="DK11" i="31" s="1"/>
  <c r="DG10" i="31"/>
  <c r="DN11" i="31" s="1"/>
  <c r="DE10" i="31"/>
  <c r="DL11" i="31" s="1"/>
  <c r="DF10" i="31"/>
  <c r="DM11" i="31" s="1"/>
  <c r="DH10" i="31"/>
  <c r="DO11" i="31" s="1"/>
  <c r="AC10" i="31"/>
  <c r="AJ11" i="31" s="1"/>
  <c r="Z10" i="31"/>
  <c r="AG11" i="31" s="1"/>
  <c r="AB10" i="31"/>
  <c r="AI11" i="31" s="1"/>
  <c r="Y10" i="31"/>
  <c r="AF11" i="31" s="1"/>
  <c r="X10" i="31"/>
  <c r="AE11" i="31" s="1"/>
  <c r="W10" i="31"/>
  <c r="AD11" i="31" s="1"/>
  <c r="AA10" i="31"/>
  <c r="AH11" i="31" s="1"/>
  <c r="AG14" i="32"/>
  <c r="AN15" i="32" s="1"/>
  <c r="AJ14" i="32"/>
  <c r="AQ15" i="32" s="1"/>
  <c r="AI14" i="32"/>
  <c r="AP15" i="32" s="1"/>
  <c r="AH14" i="32"/>
  <c r="AO15" i="32" s="1"/>
  <c r="AE14" i="32"/>
  <c r="AL15" i="32" s="1"/>
  <c r="AD14" i="32"/>
  <c r="AK15" i="32" s="1"/>
  <c r="AF14" i="32"/>
  <c r="AM15" i="32" s="1"/>
  <c r="B11" i="32"/>
  <c r="I12" i="32" s="1"/>
  <c r="G11" i="32"/>
  <c r="N12" i="32" s="1"/>
  <c r="H11" i="32"/>
  <c r="O12" i="32" s="1"/>
  <c r="F11" i="32"/>
  <c r="M12" i="32" s="1"/>
  <c r="C11" i="32"/>
  <c r="J12" i="32" s="1"/>
  <c r="E11" i="32"/>
  <c r="L12" i="32" s="1"/>
  <c r="D11" i="32"/>
  <c r="K12" i="32" s="1"/>
  <c r="AME5" i="15"/>
  <c r="K163" i="4"/>
  <c r="AZL5" i="15"/>
  <c r="G4" i="14"/>
  <c r="G5" i="15"/>
  <c r="YW5" i="15"/>
  <c r="L158" i="4"/>
  <c r="YX8" i="15"/>
  <c r="H8" i="15"/>
  <c r="AMF8" i="15"/>
  <c r="AZM8" i="15"/>
  <c r="BI10" i="32"/>
  <c r="BP11" i="32" s="1"/>
  <c r="BK10" i="32"/>
  <c r="BR11" i="32" s="1"/>
  <c r="BH10" i="32"/>
  <c r="BO11" i="32" s="1"/>
  <c r="BL10" i="32"/>
  <c r="BS11" i="32" s="1"/>
  <c r="BJ10" i="32"/>
  <c r="BQ11" i="32" s="1"/>
  <c r="BG10" i="32"/>
  <c r="BN11" i="32" s="1"/>
  <c r="BF10" i="32"/>
  <c r="BM11" i="32" s="1"/>
  <c r="C14" i="23" l="1"/>
  <c r="D15" i="23"/>
  <c r="O15" i="17"/>
  <c r="N11" i="15"/>
  <c r="N16" i="17"/>
  <c r="O16" i="17" s="1"/>
  <c r="M10" i="17"/>
  <c r="N9" i="17"/>
  <c r="BO13" i="31"/>
  <c r="BV14" i="31" s="1"/>
  <c r="BP13" i="31"/>
  <c r="BW14" i="31" s="1"/>
  <c r="BM13" i="31"/>
  <c r="BT14" i="31" s="1"/>
  <c r="BS13" i="31"/>
  <c r="BZ14" i="31" s="1"/>
  <c r="BQ13" i="31"/>
  <c r="BX14" i="31" s="1"/>
  <c r="BN13" i="31"/>
  <c r="BU14" i="31" s="1"/>
  <c r="BR13" i="31"/>
  <c r="BY14" i="31" s="1"/>
  <c r="AR10" i="31"/>
  <c r="AY11" i="31" s="1"/>
  <c r="AU10" i="31"/>
  <c r="BB11" i="31" s="1"/>
  <c r="AW10" i="31"/>
  <c r="BD11" i="31" s="1"/>
  <c r="AT10" i="31"/>
  <c r="BA11" i="31" s="1"/>
  <c r="AX10" i="31"/>
  <c r="BE11" i="31" s="1"/>
  <c r="AS10" i="31"/>
  <c r="AZ11" i="31" s="1"/>
  <c r="AV10" i="31"/>
  <c r="BC11" i="31" s="1"/>
  <c r="DF11" i="31"/>
  <c r="DM12" i="31" s="1"/>
  <c r="DH11" i="31"/>
  <c r="DO12" i="31" s="1"/>
  <c r="DI11" i="31"/>
  <c r="DP12" i="31" s="1"/>
  <c r="DE11" i="31"/>
  <c r="DL12" i="31" s="1"/>
  <c r="DG11" i="31"/>
  <c r="DN12" i="31" s="1"/>
  <c r="DC11" i="31"/>
  <c r="DJ12" i="31" s="1"/>
  <c r="DD11" i="31"/>
  <c r="DK12" i="31" s="1"/>
  <c r="C12" i="31"/>
  <c r="J13" i="31" s="1"/>
  <c r="B12" i="31"/>
  <c r="I13" i="31" s="1"/>
  <c r="E12" i="31"/>
  <c r="L13" i="31" s="1"/>
  <c r="H12" i="31"/>
  <c r="O13" i="31" s="1"/>
  <c r="F12" i="31"/>
  <c r="M13" i="31" s="1"/>
  <c r="D12" i="31"/>
  <c r="K13" i="31" s="1"/>
  <c r="G12" i="31"/>
  <c r="N13" i="31" s="1"/>
  <c r="CL11" i="31"/>
  <c r="CS12" i="31" s="1"/>
  <c r="CJ11" i="31"/>
  <c r="CQ12" i="31" s="1"/>
  <c r="CI11" i="31"/>
  <c r="CP12" i="31" s="1"/>
  <c r="CK11" i="31"/>
  <c r="CR12" i="31" s="1"/>
  <c r="CM11" i="31"/>
  <c r="CT12" i="31" s="1"/>
  <c r="CN11" i="31"/>
  <c r="CU12" i="31" s="1"/>
  <c r="CH11" i="31"/>
  <c r="CO12" i="31" s="1"/>
  <c r="BL11" i="32"/>
  <c r="BS12" i="32" s="1"/>
  <c r="BF11" i="32"/>
  <c r="BM12" i="32" s="1"/>
  <c r="BI11" i="32"/>
  <c r="BP12" i="32" s="1"/>
  <c r="BK11" i="32"/>
  <c r="BR12" i="32" s="1"/>
  <c r="BG11" i="32"/>
  <c r="BN12" i="32" s="1"/>
  <c r="BH11" i="32"/>
  <c r="BO12" i="32" s="1"/>
  <c r="BJ11" i="32"/>
  <c r="BQ12" i="32" s="1"/>
  <c r="AA11" i="31"/>
  <c r="AH12" i="31" s="1"/>
  <c r="X11" i="31"/>
  <c r="AE12" i="31" s="1"/>
  <c r="W11" i="31"/>
  <c r="AD12" i="31" s="1"/>
  <c r="Z11" i="31"/>
  <c r="AG12" i="31" s="1"/>
  <c r="AB11" i="31"/>
  <c r="AI12" i="31" s="1"/>
  <c r="AC11" i="31"/>
  <c r="AJ12" i="31" s="1"/>
  <c r="Y11" i="31"/>
  <c r="AF12" i="31" s="1"/>
  <c r="L163" i="4"/>
  <c r="H5" i="15"/>
  <c r="H4" i="14"/>
  <c r="AZM5" i="15"/>
  <c r="AMF5" i="15"/>
  <c r="YX5" i="15"/>
  <c r="B12" i="32"/>
  <c r="I13" i="32" s="1"/>
  <c r="H12" i="32"/>
  <c r="O13" i="32" s="1"/>
  <c r="E12" i="32"/>
  <c r="L13" i="32" s="1"/>
  <c r="G12" i="32"/>
  <c r="N13" i="32" s="1"/>
  <c r="C12" i="32"/>
  <c r="J13" i="32" s="1"/>
  <c r="D12" i="32"/>
  <c r="K13" i="32" s="1"/>
  <c r="F12" i="32"/>
  <c r="M13" i="32" s="1"/>
  <c r="AD15" i="32"/>
  <c r="AK16" i="32" s="1"/>
  <c r="AI15" i="32"/>
  <c r="AP16" i="32" s="1"/>
  <c r="AJ15" i="32"/>
  <c r="AQ16" i="32" s="1"/>
  <c r="AG15" i="32"/>
  <c r="AN16" i="32" s="1"/>
  <c r="AH15" i="32"/>
  <c r="AO16" i="32" s="1"/>
  <c r="AF15" i="32"/>
  <c r="AM16" i="32" s="1"/>
  <c r="AE15" i="32"/>
  <c r="AL16" i="32" s="1"/>
  <c r="M158" i="4"/>
  <c r="YY8" i="15"/>
  <c r="AZN8" i="15"/>
  <c r="AMG8" i="15"/>
  <c r="I8" i="15"/>
  <c r="C15" i="23" l="1"/>
  <c r="D16" i="23"/>
  <c r="O11" i="15"/>
  <c r="P15" i="17"/>
  <c r="N10" i="17"/>
  <c r="O9" i="17"/>
  <c r="N11" i="17"/>
  <c r="O11" i="17" s="1"/>
  <c r="AS11" i="31"/>
  <c r="AZ12" i="31" s="1"/>
  <c r="AW11" i="31"/>
  <c r="BD12" i="31" s="1"/>
  <c r="AX11" i="31"/>
  <c r="BE12" i="31" s="1"/>
  <c r="AV11" i="31"/>
  <c r="BC12" i="31" s="1"/>
  <c r="AU11" i="31"/>
  <c r="BB12" i="31" s="1"/>
  <c r="AR11" i="31"/>
  <c r="AY12" i="31" s="1"/>
  <c r="AT11" i="31"/>
  <c r="BA12" i="31" s="1"/>
  <c r="BM14" i="31"/>
  <c r="BT15" i="31" s="1"/>
  <c r="BO14" i="31"/>
  <c r="BV15" i="31" s="1"/>
  <c r="BS14" i="31"/>
  <c r="BZ15" i="31" s="1"/>
  <c r="BP14" i="31"/>
  <c r="BW15" i="31" s="1"/>
  <c r="BR14" i="31"/>
  <c r="BY15" i="31" s="1"/>
  <c r="BQ14" i="31"/>
  <c r="BX15" i="31" s="1"/>
  <c r="BN14" i="31"/>
  <c r="BU15" i="31" s="1"/>
  <c r="H13" i="31"/>
  <c r="O14" i="31" s="1"/>
  <c r="B13" i="31"/>
  <c r="I14" i="31" s="1"/>
  <c r="G13" i="31"/>
  <c r="N14" i="31" s="1"/>
  <c r="D13" i="31"/>
  <c r="K14" i="31" s="1"/>
  <c r="C13" i="31"/>
  <c r="J14" i="31" s="1"/>
  <c r="F13" i="31"/>
  <c r="M14" i="31" s="1"/>
  <c r="E13" i="31"/>
  <c r="L14" i="31" s="1"/>
  <c r="DE12" i="31"/>
  <c r="DL13" i="31" s="1"/>
  <c r="DC12" i="31"/>
  <c r="DJ13" i="31" s="1"/>
  <c r="DI12" i="31"/>
  <c r="DP13" i="31" s="1"/>
  <c r="DG12" i="31"/>
  <c r="DN13" i="31" s="1"/>
  <c r="DD12" i="31"/>
  <c r="DK13" i="31" s="1"/>
  <c r="DH12" i="31"/>
  <c r="DO13" i="31" s="1"/>
  <c r="DF12" i="31"/>
  <c r="DM13" i="31" s="1"/>
  <c r="CL12" i="31"/>
  <c r="CS13" i="31" s="1"/>
  <c r="CK12" i="31"/>
  <c r="CR13" i="31" s="1"/>
  <c r="CM12" i="31"/>
  <c r="CT13" i="31" s="1"/>
  <c r="CH12" i="31"/>
  <c r="CO13" i="31" s="1"/>
  <c r="CI12" i="31"/>
  <c r="CP13" i="31" s="1"/>
  <c r="CN12" i="31"/>
  <c r="CU13" i="31" s="1"/>
  <c r="CJ12" i="31"/>
  <c r="CQ13" i="31" s="1"/>
  <c r="AG16" i="32"/>
  <c r="AN17" i="32" s="1"/>
  <c r="AE16" i="32"/>
  <c r="AL17" i="32" s="1"/>
  <c r="AJ16" i="32"/>
  <c r="AQ17" i="32" s="1"/>
  <c r="AF16" i="32"/>
  <c r="AM17" i="32" s="1"/>
  <c r="AD16" i="32"/>
  <c r="AK17" i="32" s="1"/>
  <c r="AI16" i="32"/>
  <c r="AP17" i="32" s="1"/>
  <c r="AH16" i="32"/>
  <c r="AO17" i="32" s="1"/>
  <c r="M163" i="4"/>
  <c r="AMG5" i="15"/>
  <c r="YY5" i="15"/>
  <c r="I5" i="15"/>
  <c r="I4" i="14"/>
  <c r="AZN5" i="15"/>
  <c r="Y12" i="31"/>
  <c r="AF13" i="31" s="1"/>
  <c r="Z12" i="31"/>
  <c r="AG13" i="31" s="1"/>
  <c r="AB12" i="31"/>
  <c r="AI13" i="31" s="1"/>
  <c r="AA12" i="31"/>
  <c r="AH13" i="31" s="1"/>
  <c r="W12" i="31"/>
  <c r="AD13" i="31" s="1"/>
  <c r="AC12" i="31"/>
  <c r="AJ13" i="31" s="1"/>
  <c r="X12" i="31"/>
  <c r="AE13" i="31" s="1"/>
  <c r="N158" i="4"/>
  <c r="AZO8" i="15"/>
  <c r="AMH8" i="15"/>
  <c r="YZ8" i="15"/>
  <c r="J8" i="15"/>
  <c r="BF12" i="32"/>
  <c r="BM13" i="32" s="1"/>
  <c r="BL12" i="32"/>
  <c r="BS13" i="32" s="1"/>
  <c r="BI12" i="32"/>
  <c r="BP13" i="32" s="1"/>
  <c r="BJ12" i="32"/>
  <c r="BQ13" i="32" s="1"/>
  <c r="BG12" i="32"/>
  <c r="BN13" i="32" s="1"/>
  <c r="BK12" i="32"/>
  <c r="BR13" i="32" s="1"/>
  <c r="BH12" i="32"/>
  <c r="BO13" i="32" s="1"/>
  <c r="C13" i="32"/>
  <c r="J14" i="32" s="1"/>
  <c r="B13" i="32"/>
  <c r="I14" i="32" s="1"/>
  <c r="G13" i="32"/>
  <c r="N14" i="32" s="1"/>
  <c r="E13" i="32"/>
  <c r="L14" i="32" s="1"/>
  <c r="F13" i="32"/>
  <c r="M14" i="32" s="1"/>
  <c r="D13" i="32"/>
  <c r="K14" i="32" s="1"/>
  <c r="H13" i="32"/>
  <c r="O14" i="32" s="1"/>
  <c r="C16" i="23" l="1"/>
  <c r="D17" i="23"/>
  <c r="Q15" i="17"/>
  <c r="P11" i="15"/>
  <c r="P16" i="17"/>
  <c r="Q16" i="17" s="1"/>
  <c r="P9" i="17"/>
  <c r="O10" i="17"/>
  <c r="P11" i="17"/>
  <c r="DD13" i="31"/>
  <c r="DK14" i="31" s="1"/>
  <c r="DC13" i="31"/>
  <c r="DJ14" i="31" s="1"/>
  <c r="DI13" i="31"/>
  <c r="DP14" i="31" s="1"/>
  <c r="DF13" i="31"/>
  <c r="DM14" i="31" s="1"/>
  <c r="DH13" i="31"/>
  <c r="DO14" i="31" s="1"/>
  <c r="DE13" i="31"/>
  <c r="DL14" i="31" s="1"/>
  <c r="DG13" i="31"/>
  <c r="DN14" i="31" s="1"/>
  <c r="F14" i="31"/>
  <c r="M15" i="31" s="1"/>
  <c r="D14" i="31"/>
  <c r="K15" i="31" s="1"/>
  <c r="H14" i="31"/>
  <c r="O15" i="31" s="1"/>
  <c r="C14" i="31"/>
  <c r="J15" i="31" s="1"/>
  <c r="G14" i="31"/>
  <c r="N15" i="31" s="1"/>
  <c r="B14" i="31"/>
  <c r="I15" i="31" s="1"/>
  <c r="E14" i="31"/>
  <c r="L15" i="31" s="1"/>
  <c r="BO15" i="31"/>
  <c r="BV16" i="31" s="1"/>
  <c r="BR15" i="31"/>
  <c r="BY16" i="31" s="1"/>
  <c r="BM15" i="31"/>
  <c r="BT16" i="31" s="1"/>
  <c r="BS15" i="31"/>
  <c r="BZ16" i="31" s="1"/>
  <c r="BP15" i="31"/>
  <c r="BW16" i="31" s="1"/>
  <c r="BQ15" i="31"/>
  <c r="BX16" i="31" s="1"/>
  <c r="BN15" i="31"/>
  <c r="BU16" i="31" s="1"/>
  <c r="AV12" i="31"/>
  <c r="BC13" i="31" s="1"/>
  <c r="AR12" i="31"/>
  <c r="AY13" i="31" s="1"/>
  <c r="AU12" i="31"/>
  <c r="BB13" i="31" s="1"/>
  <c r="AS12" i="31"/>
  <c r="AZ13" i="31" s="1"/>
  <c r="AW12" i="31"/>
  <c r="BD13" i="31" s="1"/>
  <c r="AT12" i="31"/>
  <c r="BA13" i="31" s="1"/>
  <c r="AX12" i="31"/>
  <c r="BE13" i="31" s="1"/>
  <c r="CL13" i="31"/>
  <c r="CS14" i="31" s="1"/>
  <c r="CK13" i="31"/>
  <c r="CR14" i="31" s="1"/>
  <c r="CI13" i="31"/>
  <c r="CP14" i="31" s="1"/>
  <c r="CJ13" i="31"/>
  <c r="CQ14" i="31" s="1"/>
  <c r="CH13" i="31"/>
  <c r="CO14" i="31" s="1"/>
  <c r="CN13" i="31"/>
  <c r="CU14" i="31" s="1"/>
  <c r="CM13" i="31"/>
  <c r="CT14" i="31" s="1"/>
  <c r="J5" i="15"/>
  <c r="N163" i="4"/>
  <c r="J4" i="14"/>
  <c r="AZO5" i="15"/>
  <c r="AMH5" i="15"/>
  <c r="YZ5" i="15"/>
  <c r="Z13" i="31"/>
  <c r="AG14" i="31" s="1"/>
  <c r="AA13" i="31"/>
  <c r="AH14" i="31" s="1"/>
  <c r="W13" i="31"/>
  <c r="AD14" i="31" s="1"/>
  <c r="X13" i="31"/>
  <c r="AE14" i="31" s="1"/>
  <c r="Y13" i="31"/>
  <c r="AF14" i="31" s="1"/>
  <c r="AC13" i="31"/>
  <c r="AJ14" i="31" s="1"/>
  <c r="AB13" i="31"/>
  <c r="AI14" i="31" s="1"/>
  <c r="O158" i="4"/>
  <c r="AZP8" i="15"/>
  <c r="AMI8" i="15"/>
  <c r="AMJ8" i="15" s="1"/>
  <c r="AMK8" i="15" s="1"/>
  <c r="AML8" i="15" s="1"/>
  <c r="AMM8" i="15" s="1"/>
  <c r="AMN8" i="15" s="1"/>
  <c r="AMO8" i="15" s="1"/>
  <c r="AMP8" i="15" s="1"/>
  <c r="AMQ8" i="15" s="1"/>
  <c r="AMR8" i="15" s="1"/>
  <c r="AMS8" i="15" s="1"/>
  <c r="AMT8" i="15" s="1"/>
  <c r="AMU8" i="15" s="1"/>
  <c r="AMV8" i="15" s="1"/>
  <c r="AMW8" i="15" s="1"/>
  <c r="AMX8" i="15" s="1"/>
  <c r="AMY8" i="15" s="1"/>
  <c r="AMZ8" i="15" s="1"/>
  <c r="ANA8" i="15" s="1"/>
  <c r="ANB8" i="15" s="1"/>
  <c r="ANC8" i="15" s="1"/>
  <c r="AND8" i="15" s="1"/>
  <c r="ANE8" i="15" s="1"/>
  <c r="ANF8" i="15" s="1"/>
  <c r="ZA8" i="15"/>
  <c r="K8" i="15"/>
  <c r="C14" i="32"/>
  <c r="J15" i="32" s="1"/>
  <c r="E14" i="32"/>
  <c r="L15" i="32" s="1"/>
  <c r="B14" i="32"/>
  <c r="I15" i="32" s="1"/>
  <c r="D14" i="32"/>
  <c r="K15" i="32" s="1"/>
  <c r="H14" i="32"/>
  <c r="O15" i="32" s="1"/>
  <c r="G14" i="32"/>
  <c r="N15" i="32" s="1"/>
  <c r="F14" i="32"/>
  <c r="M15" i="32" s="1"/>
  <c r="AD17" i="32"/>
  <c r="AK18" i="32" s="1"/>
  <c r="AH17" i="32"/>
  <c r="AO18" i="32" s="1"/>
  <c r="AI17" i="32"/>
  <c r="AP18" i="32" s="1"/>
  <c r="AE17" i="32"/>
  <c r="AL18" i="32" s="1"/>
  <c r="AJ17" i="32"/>
  <c r="AQ18" i="32" s="1"/>
  <c r="AG17" i="32"/>
  <c r="AN18" i="32" s="1"/>
  <c r="AF17" i="32"/>
  <c r="AM18" i="32" s="1"/>
  <c r="BH13" i="32"/>
  <c r="BO14" i="32" s="1"/>
  <c r="BG13" i="32"/>
  <c r="BN14" i="32" s="1"/>
  <c r="BF13" i="32"/>
  <c r="BM14" i="32" s="1"/>
  <c r="BL13" i="32"/>
  <c r="BS14" i="32" s="1"/>
  <c r="BJ13" i="32"/>
  <c r="BQ14" i="32" s="1"/>
  <c r="BI13" i="32"/>
  <c r="BP14" i="32" s="1"/>
  <c r="BK13" i="32"/>
  <c r="BR14" i="32" s="1"/>
  <c r="C17" i="23" l="1"/>
  <c r="D18" i="23"/>
  <c r="R15" i="17"/>
  <c r="Q11" i="15"/>
  <c r="Q9" i="17"/>
  <c r="P10" i="17"/>
  <c r="B15" i="31"/>
  <c r="I16" i="31" s="1"/>
  <c r="F15" i="31"/>
  <c r="E15" i="31"/>
  <c r="H15" i="31"/>
  <c r="D15" i="31"/>
  <c r="G15" i="31"/>
  <c r="C15" i="31"/>
  <c r="DF14" i="31"/>
  <c r="DM15" i="31" s="1"/>
  <c r="DC14" i="31"/>
  <c r="DJ15" i="31" s="1"/>
  <c r="DG14" i="31"/>
  <c r="DN15" i="31" s="1"/>
  <c r="DE14" i="31"/>
  <c r="DL15" i="31" s="1"/>
  <c r="DD14" i="31"/>
  <c r="DK15" i="31" s="1"/>
  <c r="DH14" i="31"/>
  <c r="DO15" i="31" s="1"/>
  <c r="DI14" i="31"/>
  <c r="DP15" i="31" s="1"/>
  <c r="AT13" i="31"/>
  <c r="BA14" i="31" s="1"/>
  <c r="AW13" i="31"/>
  <c r="BD14" i="31" s="1"/>
  <c r="AR13" i="31"/>
  <c r="AY14" i="31" s="1"/>
  <c r="AU13" i="31"/>
  <c r="BB14" i="31" s="1"/>
  <c r="AS13" i="31"/>
  <c r="AZ14" i="31" s="1"/>
  <c r="AX13" i="31"/>
  <c r="BE14" i="31" s="1"/>
  <c r="AV13" i="31"/>
  <c r="BC14" i="31" s="1"/>
  <c r="CJ14" i="31"/>
  <c r="CQ15" i="31" s="1"/>
  <c r="CN14" i="31"/>
  <c r="CU15" i="31" s="1"/>
  <c r="CH14" i="31"/>
  <c r="CO15" i="31" s="1"/>
  <c r="CL14" i="31"/>
  <c r="CS15" i="31" s="1"/>
  <c r="CK14" i="31"/>
  <c r="CR15" i="31" s="1"/>
  <c r="CI14" i="31"/>
  <c r="CP15" i="31" s="1"/>
  <c r="CM14" i="31"/>
  <c r="CT15" i="31" s="1"/>
  <c r="BN16" i="31"/>
  <c r="BU17" i="31" s="1"/>
  <c r="BS16" i="31"/>
  <c r="BZ17" i="31" s="1"/>
  <c r="BO16" i="31"/>
  <c r="BV17" i="31" s="1"/>
  <c r="BR16" i="31"/>
  <c r="BY17" i="31" s="1"/>
  <c r="BP16" i="31"/>
  <c r="BW17" i="31" s="1"/>
  <c r="BM16" i="31"/>
  <c r="BT17" i="31" s="1"/>
  <c r="BQ16" i="31"/>
  <c r="BX17" i="31" s="1"/>
  <c r="Y14" i="31"/>
  <c r="AF15" i="31" s="1"/>
  <c r="AB14" i="31"/>
  <c r="AI15" i="31" s="1"/>
  <c r="AC14" i="31"/>
  <c r="AJ15" i="31" s="1"/>
  <c r="AA14" i="31"/>
  <c r="AH15" i="31" s="1"/>
  <c r="Z14" i="31"/>
  <c r="AG15" i="31" s="1"/>
  <c r="X14" i="31"/>
  <c r="AE15" i="31" s="1"/>
  <c r="W14" i="31"/>
  <c r="AD15" i="31" s="1"/>
  <c r="O163" i="4"/>
  <c r="AMI5" i="15"/>
  <c r="AMJ5" i="15" s="1"/>
  <c r="AMK5" i="15" s="1"/>
  <c r="AML5" i="15" s="1"/>
  <c r="AMM5" i="15" s="1"/>
  <c r="AMN5" i="15" s="1"/>
  <c r="AMO5" i="15" s="1"/>
  <c r="AMP5" i="15" s="1"/>
  <c r="AMQ5" i="15" s="1"/>
  <c r="AMR5" i="15" s="1"/>
  <c r="AMS5" i="15" s="1"/>
  <c r="AMT5" i="15" s="1"/>
  <c r="AMU5" i="15" s="1"/>
  <c r="AMV5" i="15" s="1"/>
  <c r="AMW5" i="15" s="1"/>
  <c r="AMX5" i="15" s="1"/>
  <c r="AMY5" i="15" s="1"/>
  <c r="AMZ5" i="15" s="1"/>
  <c r="ANA5" i="15" s="1"/>
  <c r="ANB5" i="15" s="1"/>
  <c r="ANC5" i="15" s="1"/>
  <c r="AND5" i="15" s="1"/>
  <c r="ANE5" i="15" s="1"/>
  <c r="ANF5" i="15" s="1"/>
  <c r="ZA5" i="15"/>
  <c r="K5" i="15"/>
  <c r="K4" i="14"/>
  <c r="AZP5" i="15"/>
  <c r="AD18" i="32"/>
  <c r="AK19" i="32" s="1"/>
  <c r="AF18" i="32"/>
  <c r="AM19" i="32" s="1"/>
  <c r="AE18" i="32"/>
  <c r="AL19" i="32" s="1"/>
  <c r="AH18" i="32"/>
  <c r="AO19" i="32" s="1"/>
  <c r="AJ18" i="32"/>
  <c r="AQ19" i="32" s="1"/>
  <c r="AI18" i="32"/>
  <c r="AP19" i="32" s="1"/>
  <c r="AG18" i="32"/>
  <c r="AN19" i="32" s="1"/>
  <c r="P158" i="4"/>
  <c r="AZQ8" i="15"/>
  <c r="L8" i="15"/>
  <c r="ZB8" i="15"/>
  <c r="B15" i="32"/>
  <c r="I16" i="32" s="1"/>
  <c r="D15" i="32"/>
  <c r="K16" i="32" s="1"/>
  <c r="F15" i="32"/>
  <c r="M16" i="32" s="1"/>
  <c r="C15" i="32"/>
  <c r="J16" i="32" s="1"/>
  <c r="H15" i="32"/>
  <c r="O16" i="32" s="1"/>
  <c r="G15" i="32"/>
  <c r="N16" i="32" s="1"/>
  <c r="E15" i="32"/>
  <c r="L16" i="32" s="1"/>
  <c r="BH14" i="32"/>
  <c r="BO15" i="32" s="1"/>
  <c r="BG14" i="32"/>
  <c r="BN15" i="32" s="1"/>
  <c r="BF14" i="32"/>
  <c r="BM15" i="32" s="1"/>
  <c r="BK14" i="32"/>
  <c r="BR15" i="32" s="1"/>
  <c r="BI14" i="32"/>
  <c r="BP15" i="32" s="1"/>
  <c r="BL14" i="32"/>
  <c r="BS15" i="32" s="1"/>
  <c r="BJ14" i="32"/>
  <c r="BQ15" i="32" s="1"/>
  <c r="C18" i="23" l="1"/>
  <c r="D19" i="23"/>
  <c r="R11" i="15"/>
  <c r="S15" i="17"/>
  <c r="R16" i="17"/>
  <c r="S16" i="17" s="1"/>
  <c r="R9" i="17"/>
  <c r="Q10" i="17"/>
  <c r="AJ9" i="17"/>
  <c r="AK8" i="17" s="1"/>
  <c r="Q11" i="17"/>
  <c r="R11" i="17" s="1"/>
  <c r="BM17" i="31"/>
  <c r="BT18" i="31" s="1"/>
  <c r="BQ17" i="31"/>
  <c r="BX18" i="31" s="1"/>
  <c r="BO17" i="31"/>
  <c r="BV18" i="31" s="1"/>
  <c r="BP17" i="31"/>
  <c r="BW18" i="31" s="1"/>
  <c r="BS17" i="31"/>
  <c r="BZ18" i="31" s="1"/>
  <c r="BR17" i="31"/>
  <c r="BY18" i="31" s="1"/>
  <c r="BN17" i="31"/>
  <c r="BU18" i="31" s="1"/>
  <c r="DG15" i="31"/>
  <c r="DH15" i="31"/>
  <c r="DI15" i="31"/>
  <c r="DF15" i="31"/>
  <c r="DC15" i="31"/>
  <c r="DJ16" i="31" s="1"/>
  <c r="DE15" i="31"/>
  <c r="DD15" i="31"/>
  <c r="CH15" i="31"/>
  <c r="CO16" i="31" s="1"/>
  <c r="CI15" i="31"/>
  <c r="CP16" i="31" s="1"/>
  <c r="CJ15" i="31"/>
  <c r="CQ16" i="31" s="1"/>
  <c r="CK15" i="31"/>
  <c r="CR16" i="31" s="1"/>
  <c r="CN15" i="31"/>
  <c r="CU16" i="31" s="1"/>
  <c r="CL15" i="31"/>
  <c r="CS16" i="31" s="1"/>
  <c r="CM15" i="31"/>
  <c r="CT16" i="31" s="1"/>
  <c r="AS14" i="31"/>
  <c r="AZ15" i="31" s="1"/>
  <c r="AU14" i="31"/>
  <c r="BB15" i="31" s="1"/>
  <c r="AX14" i="31"/>
  <c r="BE15" i="31" s="1"/>
  <c r="AV14" i="31"/>
  <c r="BC15" i="31" s="1"/>
  <c r="AW14" i="31"/>
  <c r="BD15" i="31" s="1"/>
  <c r="AT14" i="31"/>
  <c r="BA15" i="31" s="1"/>
  <c r="AR14" i="31"/>
  <c r="AY15" i="31" s="1"/>
  <c r="B16" i="31"/>
  <c r="I17" i="31" s="1"/>
  <c r="F16" i="31"/>
  <c r="M17" i="31" s="1"/>
  <c r="H16" i="31"/>
  <c r="O17" i="31" s="1"/>
  <c r="C16" i="31"/>
  <c r="J17" i="31" s="1"/>
  <c r="G16" i="31"/>
  <c r="N17" i="31" s="1"/>
  <c r="D16" i="31"/>
  <c r="K17" i="31" s="1"/>
  <c r="E16" i="31"/>
  <c r="L17" i="31" s="1"/>
  <c r="B16" i="32"/>
  <c r="I17" i="32" s="1"/>
  <c r="D16" i="32"/>
  <c r="K17" i="32" s="1"/>
  <c r="C16" i="32"/>
  <c r="J17" i="32" s="1"/>
  <c r="E16" i="32"/>
  <c r="L17" i="32" s="1"/>
  <c r="H16" i="32"/>
  <c r="O17" i="32" s="1"/>
  <c r="F16" i="32"/>
  <c r="M17" i="32" s="1"/>
  <c r="G16" i="32"/>
  <c r="N17" i="32" s="1"/>
  <c r="BJ15" i="32"/>
  <c r="BQ16" i="32" s="1"/>
  <c r="BH15" i="32"/>
  <c r="BO16" i="32" s="1"/>
  <c r="BK15" i="32"/>
  <c r="BR16" i="32" s="1"/>
  <c r="BI15" i="32"/>
  <c r="BP16" i="32" s="1"/>
  <c r="BL15" i="32"/>
  <c r="BS16" i="32" s="1"/>
  <c r="BF15" i="32"/>
  <c r="BM16" i="32" s="1"/>
  <c r="BG15" i="32"/>
  <c r="BN16" i="32" s="1"/>
  <c r="AI19" i="32"/>
  <c r="AP20" i="32" s="1"/>
  <c r="AF19" i="32"/>
  <c r="AM20" i="32" s="1"/>
  <c r="AJ19" i="32"/>
  <c r="AQ20" i="32" s="1"/>
  <c r="AG19" i="32"/>
  <c r="AN20" i="32" s="1"/>
  <c r="AH19" i="32"/>
  <c r="AO20" i="32" s="1"/>
  <c r="AE19" i="32"/>
  <c r="AL20" i="32" s="1"/>
  <c r="AD19" i="32"/>
  <c r="AK20" i="32" s="1"/>
  <c r="Z15" i="31"/>
  <c r="AG16" i="31" s="1"/>
  <c r="AB15" i="31"/>
  <c r="AI16" i="31" s="1"/>
  <c r="AA15" i="31"/>
  <c r="AH16" i="31" s="1"/>
  <c r="AC15" i="31"/>
  <c r="AJ16" i="31" s="1"/>
  <c r="Y15" i="31"/>
  <c r="AF16" i="31" s="1"/>
  <c r="X15" i="31"/>
  <c r="AE16" i="31" s="1"/>
  <c r="W15" i="31"/>
  <c r="AD16" i="31" s="1"/>
  <c r="P163" i="4"/>
  <c r="L4" i="14"/>
  <c r="L5" i="15"/>
  <c r="ZB5" i="15"/>
  <c r="AZQ5" i="15"/>
  <c r="Q158" i="4"/>
  <c r="M8" i="15"/>
  <c r="ZC8" i="15"/>
  <c r="AZR8" i="15"/>
  <c r="C19" i="23" l="1"/>
  <c r="D20" i="23"/>
  <c r="S11" i="15"/>
  <c r="T15" i="17"/>
  <c r="R10" i="17"/>
  <c r="S9" i="17"/>
  <c r="CK16" i="31"/>
  <c r="CR17" i="31" s="1"/>
  <c r="CN16" i="31"/>
  <c r="CU17" i="31" s="1"/>
  <c r="CI16" i="31"/>
  <c r="CP17" i="31" s="1"/>
  <c r="CJ16" i="31"/>
  <c r="CQ17" i="31" s="1"/>
  <c r="CM16" i="31"/>
  <c r="CT17" i="31" s="1"/>
  <c r="CL16" i="31"/>
  <c r="CS17" i="31" s="1"/>
  <c r="CH16" i="31"/>
  <c r="CO17" i="31" s="1"/>
  <c r="DG16" i="31"/>
  <c r="DN17" i="31" s="1"/>
  <c r="DH16" i="31"/>
  <c r="DO17" i="31" s="1"/>
  <c r="DE16" i="31"/>
  <c r="DL17" i="31" s="1"/>
  <c r="DF16" i="31"/>
  <c r="DM17" i="31" s="1"/>
  <c r="DC16" i="31"/>
  <c r="DJ17" i="31" s="1"/>
  <c r="DD16" i="31"/>
  <c r="DK17" i="31" s="1"/>
  <c r="DI16" i="31"/>
  <c r="DP17" i="31" s="1"/>
  <c r="B17" i="31"/>
  <c r="I18" i="31" s="1"/>
  <c r="C17" i="31"/>
  <c r="J18" i="31" s="1"/>
  <c r="E17" i="31"/>
  <c r="L18" i="31" s="1"/>
  <c r="H17" i="31"/>
  <c r="O18" i="31" s="1"/>
  <c r="G17" i="31"/>
  <c r="N18" i="31" s="1"/>
  <c r="D17" i="31"/>
  <c r="K18" i="31" s="1"/>
  <c r="F17" i="31"/>
  <c r="M18" i="31" s="1"/>
  <c r="AT15" i="31"/>
  <c r="AR15" i="31"/>
  <c r="AY16" i="31" s="1"/>
  <c r="AV15" i="31"/>
  <c r="AU15" i="31"/>
  <c r="AW15" i="31"/>
  <c r="AS15" i="31"/>
  <c r="AX15" i="31"/>
  <c r="BO18" i="31"/>
  <c r="BV19" i="31" s="1"/>
  <c r="BS18" i="31"/>
  <c r="BZ19" i="31" s="1"/>
  <c r="BR18" i="31"/>
  <c r="BY19" i="31" s="1"/>
  <c r="BP18" i="31"/>
  <c r="BW19" i="31" s="1"/>
  <c r="BN18" i="31"/>
  <c r="BU19" i="31" s="1"/>
  <c r="BM18" i="31"/>
  <c r="BT19" i="31" s="1"/>
  <c r="BQ18" i="31"/>
  <c r="BX19" i="31" s="1"/>
  <c r="Z16" i="31"/>
  <c r="AG17" i="31" s="1"/>
  <c r="Y16" i="31"/>
  <c r="AF17" i="31" s="1"/>
  <c r="AB16" i="31"/>
  <c r="AI17" i="31" s="1"/>
  <c r="AC16" i="31"/>
  <c r="AJ17" i="31" s="1"/>
  <c r="AA16" i="31"/>
  <c r="AH17" i="31" s="1"/>
  <c r="X16" i="31"/>
  <c r="AE17" i="31" s="1"/>
  <c r="W16" i="31"/>
  <c r="AD17" i="31" s="1"/>
  <c r="R158" i="4"/>
  <c r="ZD8" i="15"/>
  <c r="AZS8" i="15"/>
  <c r="N8" i="15"/>
  <c r="Q163" i="4"/>
  <c r="M4" i="14"/>
  <c r="AZR5" i="15"/>
  <c r="ZC5" i="15"/>
  <c r="M5" i="15"/>
  <c r="B17" i="32"/>
  <c r="I18" i="32" s="1"/>
  <c r="F17" i="32"/>
  <c r="M18" i="32" s="1"/>
  <c r="C17" i="32"/>
  <c r="J18" i="32" s="1"/>
  <c r="G17" i="32"/>
  <c r="N18" i="32" s="1"/>
  <c r="H17" i="32"/>
  <c r="O18" i="32" s="1"/>
  <c r="E17" i="32"/>
  <c r="L18" i="32" s="1"/>
  <c r="D17" i="32"/>
  <c r="K18" i="32" s="1"/>
  <c r="BF16" i="32"/>
  <c r="BM17" i="32" s="1"/>
  <c r="BI16" i="32"/>
  <c r="BP17" i="32" s="1"/>
  <c r="BK16" i="32"/>
  <c r="BR17" i="32" s="1"/>
  <c r="BJ16" i="32"/>
  <c r="BQ17" i="32" s="1"/>
  <c r="BL16" i="32"/>
  <c r="BS17" i="32" s="1"/>
  <c r="BH16" i="32"/>
  <c r="BO17" i="32" s="1"/>
  <c r="BG16" i="32"/>
  <c r="BN17" i="32" s="1"/>
  <c r="AD20" i="32"/>
  <c r="AK21" i="32" s="1"/>
  <c r="AF20" i="32"/>
  <c r="AM21" i="32" s="1"/>
  <c r="AE20" i="32"/>
  <c r="AL21" i="32" s="1"/>
  <c r="AJ20" i="32"/>
  <c r="AQ21" i="32" s="1"/>
  <c r="AH20" i="32"/>
  <c r="AO21" i="32" s="1"/>
  <c r="AI20" i="32"/>
  <c r="AP21" i="32" s="1"/>
  <c r="AG20" i="32"/>
  <c r="AN21" i="32" s="1"/>
  <c r="C20" i="23" l="1"/>
  <c r="D21" i="23"/>
  <c r="T11" i="15"/>
  <c r="U15" i="17"/>
  <c r="T16" i="17"/>
  <c r="U16" i="17" s="1"/>
  <c r="T9" i="17"/>
  <c r="S10" i="17"/>
  <c r="S11" i="17"/>
  <c r="T11" i="17" s="1"/>
  <c r="C18" i="31"/>
  <c r="J19" i="31" s="1"/>
  <c r="E18" i="31"/>
  <c r="L19" i="31" s="1"/>
  <c r="F18" i="31"/>
  <c r="M19" i="31" s="1"/>
  <c r="G18" i="31"/>
  <c r="N19" i="31" s="1"/>
  <c r="B18" i="31"/>
  <c r="I19" i="31" s="1"/>
  <c r="H18" i="31"/>
  <c r="O19" i="31" s="1"/>
  <c r="D18" i="31"/>
  <c r="K19" i="31" s="1"/>
  <c r="DH17" i="31"/>
  <c r="DO18" i="31" s="1"/>
  <c r="DG17" i="31"/>
  <c r="DN18" i="31" s="1"/>
  <c r="DC17" i="31"/>
  <c r="DJ18" i="31" s="1"/>
  <c r="DE17" i="31"/>
  <c r="DL18" i="31" s="1"/>
  <c r="DI17" i="31"/>
  <c r="DP18" i="31" s="1"/>
  <c r="DD17" i="31"/>
  <c r="DK18" i="31" s="1"/>
  <c r="DF17" i="31"/>
  <c r="DM18" i="31" s="1"/>
  <c r="CJ17" i="31"/>
  <c r="CQ18" i="31" s="1"/>
  <c r="CN17" i="31"/>
  <c r="CU18" i="31" s="1"/>
  <c r="CH17" i="31"/>
  <c r="CO18" i="31" s="1"/>
  <c r="CK17" i="31"/>
  <c r="CR18" i="31" s="1"/>
  <c r="CI17" i="31"/>
  <c r="CP18" i="31" s="1"/>
  <c r="CM17" i="31"/>
  <c r="CT18" i="31" s="1"/>
  <c r="CL17" i="31"/>
  <c r="CS18" i="31" s="1"/>
  <c r="BQ19" i="31"/>
  <c r="BX20" i="31" s="1"/>
  <c r="BP19" i="31"/>
  <c r="BW20" i="31" s="1"/>
  <c r="BR19" i="31"/>
  <c r="BY20" i="31" s="1"/>
  <c r="BN19" i="31"/>
  <c r="BU20" i="31" s="1"/>
  <c r="BO19" i="31"/>
  <c r="BV20" i="31" s="1"/>
  <c r="BS19" i="31"/>
  <c r="BZ20" i="31" s="1"/>
  <c r="BM19" i="31"/>
  <c r="BT20" i="31" s="1"/>
  <c r="AX16" i="31"/>
  <c r="BE17" i="31" s="1"/>
  <c r="AW16" i="31"/>
  <c r="BD17" i="31" s="1"/>
  <c r="AT16" i="31"/>
  <c r="BA17" i="31" s="1"/>
  <c r="AU16" i="31"/>
  <c r="BB17" i="31" s="1"/>
  <c r="AV16" i="31"/>
  <c r="BC17" i="31" s="1"/>
  <c r="AS16" i="31"/>
  <c r="AZ17" i="31" s="1"/>
  <c r="AR16" i="31"/>
  <c r="AY17" i="31" s="1"/>
  <c r="S158" i="4"/>
  <c r="AZT8" i="15"/>
  <c r="O8" i="15"/>
  <c r="ZE8" i="15"/>
  <c r="AH21" i="32"/>
  <c r="AO22" i="32" s="1"/>
  <c r="AG21" i="32"/>
  <c r="AN22" i="32" s="1"/>
  <c r="AI21" i="32"/>
  <c r="AP22" i="32" s="1"/>
  <c r="AJ21" i="32"/>
  <c r="AQ22" i="32" s="1"/>
  <c r="AF21" i="32"/>
  <c r="AM22" i="32" s="1"/>
  <c r="AD21" i="32"/>
  <c r="AK22" i="32" s="1"/>
  <c r="AE21" i="32"/>
  <c r="AL22" i="32" s="1"/>
  <c r="BG17" i="32"/>
  <c r="BN18" i="32" s="1"/>
  <c r="BK17" i="32"/>
  <c r="BR18" i="32" s="1"/>
  <c r="BJ17" i="32"/>
  <c r="BQ18" i="32" s="1"/>
  <c r="BL17" i="32"/>
  <c r="BS18" i="32" s="1"/>
  <c r="BF17" i="32"/>
  <c r="BM18" i="32" s="1"/>
  <c r="BH17" i="32"/>
  <c r="BO18" i="32" s="1"/>
  <c r="BI17" i="32"/>
  <c r="BP18" i="32" s="1"/>
  <c r="B18" i="32"/>
  <c r="I19" i="32" s="1"/>
  <c r="G18" i="32"/>
  <c r="N19" i="32" s="1"/>
  <c r="F18" i="32"/>
  <c r="M19" i="32" s="1"/>
  <c r="E18" i="32"/>
  <c r="L19" i="32" s="1"/>
  <c r="C18" i="32"/>
  <c r="J19" i="32" s="1"/>
  <c r="H18" i="32"/>
  <c r="O19" i="32" s="1"/>
  <c r="D18" i="32"/>
  <c r="K19" i="32" s="1"/>
  <c r="R163" i="4"/>
  <c r="N5" i="15"/>
  <c r="ZD5" i="15"/>
  <c r="N4" i="14"/>
  <c r="AZS5" i="15"/>
  <c r="Y17" i="31"/>
  <c r="AF18" i="31" s="1"/>
  <c r="Z17" i="31"/>
  <c r="AG18" i="31" s="1"/>
  <c r="W17" i="31"/>
  <c r="AD18" i="31" s="1"/>
  <c r="X17" i="31"/>
  <c r="AE18" i="31" s="1"/>
  <c r="AC17" i="31"/>
  <c r="AJ18" i="31" s="1"/>
  <c r="AB17" i="31"/>
  <c r="AI18" i="31" s="1"/>
  <c r="AA17" i="31"/>
  <c r="AH18" i="31" s="1"/>
  <c r="C21" i="23" l="1"/>
  <c r="D22" i="23"/>
  <c r="U11" i="15"/>
  <c r="V15" i="17"/>
  <c r="U9" i="17"/>
  <c r="T10" i="17"/>
  <c r="B19" i="31"/>
  <c r="I20" i="31" s="1"/>
  <c r="E19" i="31"/>
  <c r="L20" i="31" s="1"/>
  <c r="F19" i="31"/>
  <c r="M20" i="31" s="1"/>
  <c r="D19" i="31"/>
  <c r="K20" i="31" s="1"/>
  <c r="G19" i="31"/>
  <c r="N20" i="31" s="1"/>
  <c r="H19" i="31"/>
  <c r="O20" i="31" s="1"/>
  <c r="C19" i="31"/>
  <c r="J20" i="31" s="1"/>
  <c r="AT17" i="31"/>
  <c r="BA18" i="31" s="1"/>
  <c r="AV17" i="31"/>
  <c r="BC18" i="31" s="1"/>
  <c r="AR17" i="31"/>
  <c r="AY18" i="31" s="1"/>
  <c r="AW17" i="31"/>
  <c r="BD18" i="31" s="1"/>
  <c r="AU17" i="31"/>
  <c r="BB18" i="31" s="1"/>
  <c r="AX17" i="31"/>
  <c r="BE18" i="31" s="1"/>
  <c r="AS17" i="31"/>
  <c r="AZ18" i="31" s="1"/>
  <c r="BR20" i="31"/>
  <c r="BY21" i="31" s="1"/>
  <c r="BQ20" i="31"/>
  <c r="BX21" i="31" s="1"/>
  <c r="BS20" i="31"/>
  <c r="BZ21" i="31" s="1"/>
  <c r="BN20" i="31"/>
  <c r="BU21" i="31" s="1"/>
  <c r="BP20" i="31"/>
  <c r="BW21" i="31" s="1"/>
  <c r="BM20" i="31"/>
  <c r="BT21" i="31" s="1"/>
  <c r="BO20" i="31"/>
  <c r="BV21" i="31" s="1"/>
  <c r="DH18" i="31"/>
  <c r="DO19" i="31" s="1"/>
  <c r="DF18" i="31"/>
  <c r="DM19" i="31" s="1"/>
  <c r="DC18" i="31"/>
  <c r="DJ19" i="31" s="1"/>
  <c r="DE18" i="31"/>
  <c r="DL19" i="31" s="1"/>
  <c r="DG18" i="31"/>
  <c r="DN19" i="31" s="1"/>
  <c r="DD18" i="31"/>
  <c r="DK19" i="31" s="1"/>
  <c r="DI18" i="31"/>
  <c r="DP19" i="31" s="1"/>
  <c r="CJ18" i="31"/>
  <c r="CQ19" i="31" s="1"/>
  <c r="CH18" i="31"/>
  <c r="CO19" i="31" s="1"/>
  <c r="CK18" i="31"/>
  <c r="CR19" i="31" s="1"/>
  <c r="CI18" i="31"/>
  <c r="CP19" i="31" s="1"/>
  <c r="CN18" i="31"/>
  <c r="CU19" i="31" s="1"/>
  <c r="CL18" i="31"/>
  <c r="CS19" i="31" s="1"/>
  <c r="CM18" i="31"/>
  <c r="CT19" i="31" s="1"/>
  <c r="B19" i="32"/>
  <c r="I20" i="32" s="1"/>
  <c r="G19" i="32"/>
  <c r="N20" i="32" s="1"/>
  <c r="D19" i="32"/>
  <c r="K20" i="32" s="1"/>
  <c r="C19" i="32"/>
  <c r="J20" i="32" s="1"/>
  <c r="H19" i="32"/>
  <c r="O20" i="32" s="1"/>
  <c r="E19" i="32"/>
  <c r="L20" i="32" s="1"/>
  <c r="F19" i="32"/>
  <c r="M20" i="32" s="1"/>
  <c r="AD22" i="32"/>
  <c r="AK23" i="32" s="1"/>
  <c r="AG22" i="32"/>
  <c r="AN23" i="32" s="1"/>
  <c r="AI22" i="32"/>
  <c r="AP23" i="32" s="1"/>
  <c r="AH22" i="32"/>
  <c r="AO23" i="32" s="1"/>
  <c r="AE22" i="32"/>
  <c r="AL23" i="32" s="1"/>
  <c r="AJ22" i="32"/>
  <c r="AQ23" i="32" s="1"/>
  <c r="AF22" i="32"/>
  <c r="AM23" i="32" s="1"/>
  <c r="X18" i="31"/>
  <c r="AE19" i="31" s="1"/>
  <c r="W18" i="31"/>
  <c r="AD19" i="31" s="1"/>
  <c r="Z18" i="31"/>
  <c r="AG19" i="31" s="1"/>
  <c r="AC18" i="31"/>
  <c r="AJ19" i="31" s="1"/>
  <c r="AB18" i="31"/>
  <c r="AI19" i="31" s="1"/>
  <c r="AA18" i="31"/>
  <c r="AH19" i="31" s="1"/>
  <c r="Y18" i="31"/>
  <c r="AF19" i="31" s="1"/>
  <c r="BF18" i="32"/>
  <c r="BM19" i="32" s="1"/>
  <c r="BI18" i="32"/>
  <c r="BP19" i="32" s="1"/>
  <c r="BJ18" i="32"/>
  <c r="BQ19" i="32" s="1"/>
  <c r="BL18" i="32"/>
  <c r="BS19" i="32" s="1"/>
  <c r="BG18" i="32"/>
  <c r="BN19" i="32" s="1"/>
  <c r="BK18" i="32"/>
  <c r="BR19" i="32" s="1"/>
  <c r="BH18" i="32"/>
  <c r="BO19" i="32" s="1"/>
  <c r="S163" i="4"/>
  <c r="O4" i="14"/>
  <c r="AZT5" i="15"/>
  <c r="O5" i="15"/>
  <c r="ZE5" i="15"/>
  <c r="T158" i="4"/>
  <c r="ZF8" i="15"/>
  <c r="P8" i="15"/>
  <c r="AZU8" i="15"/>
  <c r="C22" i="23" l="1"/>
  <c r="D23" i="23"/>
  <c r="V11" i="15"/>
  <c r="W15" i="17"/>
  <c r="V16" i="17"/>
  <c r="V9" i="17"/>
  <c r="U10" i="17"/>
  <c r="U11" i="17"/>
  <c r="V11" i="17" s="1"/>
  <c r="AX18" i="31"/>
  <c r="BE19" i="31" s="1"/>
  <c r="AW18" i="31"/>
  <c r="BD19" i="31" s="1"/>
  <c r="AS18" i="31"/>
  <c r="AZ19" i="31" s="1"/>
  <c r="AU18" i="31"/>
  <c r="BB19" i="31" s="1"/>
  <c r="AR18" i="31"/>
  <c r="AY19" i="31" s="1"/>
  <c r="AT18" i="31"/>
  <c r="BA19" i="31" s="1"/>
  <c r="AV18" i="31"/>
  <c r="BC19" i="31" s="1"/>
  <c r="DI19" i="31"/>
  <c r="DP20" i="31" s="1"/>
  <c r="DD19" i="31"/>
  <c r="DK20" i="31" s="1"/>
  <c r="DH19" i="31"/>
  <c r="DO20" i="31" s="1"/>
  <c r="DG19" i="31"/>
  <c r="DN20" i="31" s="1"/>
  <c r="DC19" i="31"/>
  <c r="DJ20" i="31" s="1"/>
  <c r="DF19" i="31"/>
  <c r="DM20" i="31" s="1"/>
  <c r="DE19" i="31"/>
  <c r="DL20" i="31" s="1"/>
  <c r="CJ19" i="31"/>
  <c r="CQ20" i="31" s="1"/>
  <c r="CL19" i="31"/>
  <c r="CS20" i="31" s="1"/>
  <c r="CM19" i="31"/>
  <c r="CT20" i="31" s="1"/>
  <c r="CK19" i="31"/>
  <c r="CR20" i="31" s="1"/>
  <c r="CN19" i="31"/>
  <c r="CU20" i="31" s="1"/>
  <c r="CH19" i="31"/>
  <c r="CO20" i="31" s="1"/>
  <c r="CI19" i="31"/>
  <c r="CP20" i="31" s="1"/>
  <c r="BP21" i="31"/>
  <c r="BW22" i="31" s="1"/>
  <c r="BN21" i="31"/>
  <c r="BU22" i="31" s="1"/>
  <c r="BR21" i="31"/>
  <c r="BY22" i="31" s="1"/>
  <c r="BS21" i="31"/>
  <c r="BZ22" i="31" s="1"/>
  <c r="BQ21" i="31"/>
  <c r="BX22" i="31" s="1"/>
  <c r="BO21" i="31"/>
  <c r="BV22" i="31" s="1"/>
  <c r="BM21" i="31"/>
  <c r="BT22" i="31" s="1"/>
  <c r="E20" i="31"/>
  <c r="L21" i="31" s="1"/>
  <c r="H20" i="31"/>
  <c r="O21" i="31" s="1"/>
  <c r="D20" i="31"/>
  <c r="K21" i="31" s="1"/>
  <c r="C20" i="31"/>
  <c r="J21" i="31" s="1"/>
  <c r="F20" i="31"/>
  <c r="M21" i="31" s="1"/>
  <c r="G20" i="31"/>
  <c r="N21" i="31" s="1"/>
  <c r="B20" i="31"/>
  <c r="I21" i="31" s="1"/>
  <c r="T163" i="4"/>
  <c r="P5" i="15"/>
  <c r="P4" i="14"/>
  <c r="AZU5" i="15"/>
  <c r="ZF5" i="15"/>
  <c r="AE23" i="32"/>
  <c r="AL24" i="32" s="1"/>
  <c r="AG23" i="32"/>
  <c r="AN24" i="32" s="1"/>
  <c r="AH23" i="32"/>
  <c r="AO24" i="32" s="1"/>
  <c r="AD23" i="32"/>
  <c r="AK24" i="32" s="1"/>
  <c r="AF23" i="32"/>
  <c r="AM24" i="32" s="1"/>
  <c r="AJ23" i="32"/>
  <c r="AQ24" i="32" s="1"/>
  <c r="AI23" i="32"/>
  <c r="AP24" i="32" s="1"/>
  <c r="U158" i="4"/>
  <c r="ZG8" i="15"/>
  <c r="AZV8" i="15"/>
  <c r="AZW8" i="15" s="1"/>
  <c r="AZX8" i="15" s="1"/>
  <c r="AZY8" i="15" s="1"/>
  <c r="AZZ8" i="15" s="1"/>
  <c r="BAA8" i="15" s="1"/>
  <c r="BAB8" i="15" s="1"/>
  <c r="BAC8" i="15" s="1"/>
  <c r="BAD8" i="15" s="1"/>
  <c r="BAE8" i="15" s="1"/>
  <c r="BAF8" i="15" s="1"/>
  <c r="BAG8" i="15" s="1"/>
  <c r="BAH8" i="15" s="1"/>
  <c r="BAI8" i="15" s="1"/>
  <c r="BAJ8" i="15" s="1"/>
  <c r="BAK8" i="15" s="1"/>
  <c r="BAL8" i="15" s="1"/>
  <c r="BAM8" i="15" s="1"/>
  <c r="Q8" i="15"/>
  <c r="AC19" i="31"/>
  <c r="AJ20" i="31" s="1"/>
  <c r="X19" i="31"/>
  <c r="AE20" i="31" s="1"/>
  <c r="W19" i="31"/>
  <c r="AD20" i="31" s="1"/>
  <c r="Z19" i="31"/>
  <c r="AG20" i="31" s="1"/>
  <c r="Y19" i="31"/>
  <c r="AF20" i="31" s="1"/>
  <c r="AA19" i="31"/>
  <c r="AH20" i="31" s="1"/>
  <c r="AB19" i="31"/>
  <c r="AI20" i="31" s="1"/>
  <c r="H20" i="32"/>
  <c r="O21" i="32" s="1"/>
  <c r="D20" i="32"/>
  <c r="K21" i="32" s="1"/>
  <c r="B20" i="32"/>
  <c r="I21" i="32" s="1"/>
  <c r="E20" i="32"/>
  <c r="L21" i="32" s="1"/>
  <c r="C20" i="32"/>
  <c r="J21" i="32" s="1"/>
  <c r="F20" i="32"/>
  <c r="M21" i="32" s="1"/>
  <c r="G20" i="32"/>
  <c r="N21" i="32" s="1"/>
  <c r="BH19" i="32"/>
  <c r="BO20" i="32" s="1"/>
  <c r="BK19" i="32"/>
  <c r="BR20" i="32" s="1"/>
  <c r="BF19" i="32"/>
  <c r="BM20" i="32" s="1"/>
  <c r="BG19" i="32"/>
  <c r="BN20" i="32" s="1"/>
  <c r="BJ19" i="32"/>
  <c r="BQ20" i="32" s="1"/>
  <c r="BL19" i="32"/>
  <c r="BS20" i="32" s="1"/>
  <c r="BI19" i="32"/>
  <c r="BP20" i="32" s="1"/>
  <c r="C23" i="23" l="1"/>
  <c r="D24" i="23"/>
  <c r="X15" i="17"/>
  <c r="W11" i="15"/>
  <c r="W16" i="17"/>
  <c r="X16" i="17" s="1"/>
  <c r="W9" i="17"/>
  <c r="V10" i="17"/>
  <c r="BR22" i="31"/>
  <c r="BY23" i="31" s="1"/>
  <c r="BS22" i="31"/>
  <c r="BZ23" i="31" s="1"/>
  <c r="BM22" i="31"/>
  <c r="BT23" i="31" s="1"/>
  <c r="BO22" i="31"/>
  <c r="BV23" i="31" s="1"/>
  <c r="BN22" i="31"/>
  <c r="BU23" i="31" s="1"/>
  <c r="BP22" i="31"/>
  <c r="BW23" i="31" s="1"/>
  <c r="BQ22" i="31"/>
  <c r="BX23" i="31" s="1"/>
  <c r="C21" i="31"/>
  <c r="J22" i="31" s="1"/>
  <c r="B21" i="31"/>
  <c r="I22" i="31" s="1"/>
  <c r="G21" i="31"/>
  <c r="N22" i="31" s="1"/>
  <c r="H21" i="31"/>
  <c r="O22" i="31" s="1"/>
  <c r="D21" i="31"/>
  <c r="K22" i="31" s="1"/>
  <c r="E21" i="31"/>
  <c r="L22" i="31" s="1"/>
  <c r="F21" i="31"/>
  <c r="M22" i="31" s="1"/>
  <c r="CM20" i="31"/>
  <c r="CT21" i="31" s="1"/>
  <c r="CK20" i="31"/>
  <c r="CR21" i="31" s="1"/>
  <c r="CJ20" i="31"/>
  <c r="CQ21" i="31" s="1"/>
  <c r="CL20" i="31"/>
  <c r="CS21" i="31" s="1"/>
  <c r="CH20" i="31"/>
  <c r="CO21" i="31" s="1"/>
  <c r="CI20" i="31"/>
  <c r="CP21" i="31" s="1"/>
  <c r="CN20" i="31"/>
  <c r="CU21" i="31" s="1"/>
  <c r="DD20" i="31"/>
  <c r="DK21" i="31" s="1"/>
  <c r="DE20" i="31"/>
  <c r="DL21" i="31" s="1"/>
  <c r="DH20" i="31"/>
  <c r="DO21" i="31" s="1"/>
  <c r="DI20" i="31"/>
  <c r="DP21" i="31" s="1"/>
  <c r="DG20" i="31"/>
  <c r="DN21" i="31" s="1"/>
  <c r="DC20" i="31"/>
  <c r="DJ21" i="31" s="1"/>
  <c r="DF20" i="31"/>
  <c r="DM21" i="31" s="1"/>
  <c r="AR19" i="31"/>
  <c r="AY20" i="31" s="1"/>
  <c r="AS19" i="31"/>
  <c r="AZ20" i="31" s="1"/>
  <c r="AV19" i="31"/>
  <c r="BC20" i="31" s="1"/>
  <c r="AX19" i="31"/>
  <c r="BE20" i="31" s="1"/>
  <c r="AT19" i="31"/>
  <c r="BA20" i="31" s="1"/>
  <c r="AW19" i="31"/>
  <c r="BD20" i="31" s="1"/>
  <c r="AU19" i="31"/>
  <c r="BB20" i="31" s="1"/>
  <c r="AD24" i="32"/>
  <c r="AK25" i="32" s="1"/>
  <c r="AJ24" i="32"/>
  <c r="AQ25" i="32" s="1"/>
  <c r="AG24" i="32"/>
  <c r="AN25" i="32" s="1"/>
  <c r="AI24" i="32"/>
  <c r="AP25" i="32" s="1"/>
  <c r="AH24" i="32"/>
  <c r="AO25" i="32" s="1"/>
  <c r="AE24" i="32"/>
  <c r="AL25" i="32" s="1"/>
  <c r="AF24" i="32"/>
  <c r="AM25" i="32" s="1"/>
  <c r="BF20" i="32"/>
  <c r="BM21" i="32" s="1"/>
  <c r="BJ20" i="32"/>
  <c r="BQ21" i="32" s="1"/>
  <c r="BH20" i="32"/>
  <c r="BO21" i="32" s="1"/>
  <c r="BL20" i="32"/>
  <c r="BS21" i="32" s="1"/>
  <c r="BI20" i="32"/>
  <c r="BP21" i="32" s="1"/>
  <c r="BG20" i="32"/>
  <c r="BN21" i="32" s="1"/>
  <c r="BK20" i="32"/>
  <c r="BR21" i="32" s="1"/>
  <c r="ZG5" i="15"/>
  <c r="U163" i="4"/>
  <c r="Q5" i="15"/>
  <c r="Q4" i="14"/>
  <c r="AZV5" i="15"/>
  <c r="AZW5" i="15" s="1"/>
  <c r="AZX5" i="15" s="1"/>
  <c r="AZY5" i="15" s="1"/>
  <c r="AZZ5" i="15" s="1"/>
  <c r="BAA5" i="15" s="1"/>
  <c r="BAB5" i="15" s="1"/>
  <c r="BAC5" i="15" s="1"/>
  <c r="BAD5" i="15" s="1"/>
  <c r="BAE5" i="15" s="1"/>
  <c r="BAF5" i="15" s="1"/>
  <c r="BAG5" i="15" s="1"/>
  <c r="BAH5" i="15" s="1"/>
  <c r="BAI5" i="15" s="1"/>
  <c r="BAJ5" i="15" s="1"/>
  <c r="BAK5" i="15" s="1"/>
  <c r="BAL5" i="15" s="1"/>
  <c r="BAM5" i="15" s="1"/>
  <c r="X20" i="31"/>
  <c r="AE21" i="31" s="1"/>
  <c r="W20" i="31"/>
  <c r="AD21" i="31" s="1"/>
  <c r="AB20" i="31"/>
  <c r="AI21" i="31" s="1"/>
  <c r="Z20" i="31"/>
  <c r="AG21" i="31" s="1"/>
  <c r="AC20" i="31"/>
  <c r="AJ21" i="31" s="1"/>
  <c r="AA20" i="31"/>
  <c r="AH21" i="31" s="1"/>
  <c r="Y20" i="31"/>
  <c r="AF21" i="31" s="1"/>
  <c r="V158" i="4"/>
  <c r="ZH8" i="15"/>
  <c r="R8" i="15"/>
  <c r="B21" i="32"/>
  <c r="I22" i="32" s="1"/>
  <c r="F21" i="32"/>
  <c r="M22" i="32" s="1"/>
  <c r="H21" i="32"/>
  <c r="O22" i="32" s="1"/>
  <c r="G21" i="32"/>
  <c r="N22" i="32" s="1"/>
  <c r="E21" i="32"/>
  <c r="L22" i="32" s="1"/>
  <c r="D21" i="32"/>
  <c r="K22" i="32" s="1"/>
  <c r="C21" i="32"/>
  <c r="J22" i="32" s="1"/>
  <c r="C24" i="23" l="1"/>
  <c r="D25" i="23"/>
  <c r="X11" i="15"/>
  <c r="Y15" i="17"/>
  <c r="X9" i="17"/>
  <c r="W10" i="17"/>
  <c r="W11" i="17"/>
  <c r="X11" i="17" s="1"/>
  <c r="B22" i="31"/>
  <c r="I23" i="31" s="1"/>
  <c r="H22" i="31"/>
  <c r="O23" i="31" s="1"/>
  <c r="D22" i="31"/>
  <c r="K23" i="31" s="1"/>
  <c r="G22" i="31"/>
  <c r="N23" i="31" s="1"/>
  <c r="C22" i="31"/>
  <c r="J23" i="31" s="1"/>
  <c r="F22" i="31"/>
  <c r="M23" i="31" s="1"/>
  <c r="E22" i="31"/>
  <c r="L23" i="31" s="1"/>
  <c r="BM23" i="31"/>
  <c r="BT24" i="31" s="1"/>
  <c r="BQ23" i="31"/>
  <c r="BX24" i="31" s="1"/>
  <c r="BR23" i="31"/>
  <c r="BY24" i="31" s="1"/>
  <c r="BP23" i="31"/>
  <c r="BW24" i="31" s="1"/>
  <c r="BN23" i="31"/>
  <c r="BU24" i="31" s="1"/>
  <c r="BO23" i="31"/>
  <c r="BV24" i="31" s="1"/>
  <c r="BS23" i="31"/>
  <c r="BZ24" i="31" s="1"/>
  <c r="AR20" i="31"/>
  <c r="AY21" i="31" s="1"/>
  <c r="AT20" i="31"/>
  <c r="BA21" i="31" s="1"/>
  <c r="AU20" i="31"/>
  <c r="BB21" i="31" s="1"/>
  <c r="AX20" i="31"/>
  <c r="BE21" i="31" s="1"/>
  <c r="AV20" i="31"/>
  <c r="BC21" i="31" s="1"/>
  <c r="AS20" i="31"/>
  <c r="AZ21" i="31" s="1"/>
  <c r="AW20" i="31"/>
  <c r="BD21" i="31" s="1"/>
  <c r="DF21" i="31"/>
  <c r="DM22" i="31" s="1"/>
  <c r="DD21" i="31"/>
  <c r="DK22" i="31" s="1"/>
  <c r="DI21" i="31"/>
  <c r="DP22" i="31" s="1"/>
  <c r="DC21" i="31"/>
  <c r="DJ22" i="31" s="1"/>
  <c r="DE21" i="31"/>
  <c r="DL22" i="31" s="1"/>
  <c r="DG21" i="31"/>
  <c r="DN22" i="31" s="1"/>
  <c r="DH21" i="31"/>
  <c r="DO22" i="31" s="1"/>
  <c r="CI21" i="31"/>
  <c r="CP22" i="31" s="1"/>
  <c r="CJ21" i="31"/>
  <c r="CQ22" i="31" s="1"/>
  <c r="CM21" i="31"/>
  <c r="CT22" i="31" s="1"/>
  <c r="CL21" i="31"/>
  <c r="CS22" i="31" s="1"/>
  <c r="CK21" i="31"/>
  <c r="CR22" i="31" s="1"/>
  <c r="CH21" i="31"/>
  <c r="CO22" i="31" s="1"/>
  <c r="CN21" i="31"/>
  <c r="CU22" i="31" s="1"/>
  <c r="AB21" i="31"/>
  <c r="AI22" i="31" s="1"/>
  <c r="AA21" i="31"/>
  <c r="AH22" i="31" s="1"/>
  <c r="Y21" i="31"/>
  <c r="AF22" i="31" s="1"/>
  <c r="W21" i="31"/>
  <c r="AD22" i="31" s="1"/>
  <c r="X21" i="31"/>
  <c r="AE22" i="31" s="1"/>
  <c r="Z21" i="31"/>
  <c r="AG22" i="31" s="1"/>
  <c r="AC21" i="31"/>
  <c r="AJ22" i="31" s="1"/>
  <c r="V163" i="4"/>
  <c r="R5" i="15"/>
  <c r="ZH5" i="15"/>
  <c r="B22" i="32"/>
  <c r="I23" i="32" s="1"/>
  <c r="H22" i="32"/>
  <c r="O23" i="32" s="1"/>
  <c r="F22" i="32"/>
  <c r="M23" i="32" s="1"/>
  <c r="G22" i="32"/>
  <c r="N23" i="32" s="1"/>
  <c r="E22" i="32"/>
  <c r="L23" i="32" s="1"/>
  <c r="C22" i="32"/>
  <c r="J23" i="32" s="1"/>
  <c r="D22" i="32"/>
  <c r="K23" i="32" s="1"/>
  <c r="BF21" i="32"/>
  <c r="BM22" i="32" s="1"/>
  <c r="BG21" i="32"/>
  <c r="BN22" i="32" s="1"/>
  <c r="BK21" i="32"/>
  <c r="BR22" i="32" s="1"/>
  <c r="BL21" i="32"/>
  <c r="BS22" i="32" s="1"/>
  <c r="BJ21" i="32"/>
  <c r="BQ22" i="32" s="1"/>
  <c r="BI21" i="32"/>
  <c r="BP22" i="32" s="1"/>
  <c r="BH21" i="32"/>
  <c r="BO22" i="32" s="1"/>
  <c r="W158" i="4"/>
  <c r="S8" i="15"/>
  <c r="ZI8" i="15"/>
  <c r="AD25" i="32"/>
  <c r="AK26" i="32" s="1"/>
  <c r="AF25" i="32"/>
  <c r="AM26" i="32" s="1"/>
  <c r="AE25" i="32"/>
  <c r="AL26" i="32" s="1"/>
  <c r="AH25" i="32"/>
  <c r="AO26" i="32" s="1"/>
  <c r="AI25" i="32"/>
  <c r="AP26" i="32" s="1"/>
  <c r="AG25" i="32"/>
  <c r="AN26" i="32" s="1"/>
  <c r="AJ25" i="32"/>
  <c r="AQ26" i="32" s="1"/>
  <c r="C25" i="23" l="1"/>
  <c r="D26" i="23"/>
  <c r="Y11" i="15"/>
  <c r="Z15" i="17"/>
  <c r="Y16" i="17"/>
  <c r="X10" i="17"/>
  <c r="Y9" i="17"/>
  <c r="BS24" i="31"/>
  <c r="BZ25" i="31" s="1"/>
  <c r="BR24" i="31"/>
  <c r="BY25" i="31" s="1"/>
  <c r="BP24" i="31"/>
  <c r="BW25" i="31" s="1"/>
  <c r="BN24" i="31"/>
  <c r="BU25" i="31" s="1"/>
  <c r="BQ24" i="31"/>
  <c r="BX25" i="31" s="1"/>
  <c r="BM24" i="31"/>
  <c r="BT25" i="31" s="1"/>
  <c r="BO24" i="31"/>
  <c r="BV25" i="31" s="1"/>
  <c r="AV21" i="31"/>
  <c r="BC22" i="31" s="1"/>
  <c r="AR21" i="31"/>
  <c r="AY22" i="31" s="1"/>
  <c r="AW21" i="31"/>
  <c r="BD22" i="31" s="1"/>
  <c r="AU21" i="31"/>
  <c r="BB22" i="31" s="1"/>
  <c r="AS21" i="31"/>
  <c r="AZ22" i="31" s="1"/>
  <c r="AX21" i="31"/>
  <c r="BE22" i="31" s="1"/>
  <c r="AT21" i="31"/>
  <c r="BA22" i="31" s="1"/>
  <c r="DH22" i="31"/>
  <c r="DO23" i="31" s="1"/>
  <c r="DE22" i="31"/>
  <c r="DL23" i="31" s="1"/>
  <c r="DI22" i="31"/>
  <c r="DP23" i="31" s="1"/>
  <c r="DC22" i="31"/>
  <c r="DJ23" i="31" s="1"/>
  <c r="DF22" i="31"/>
  <c r="DM23" i="31" s="1"/>
  <c r="DG22" i="31"/>
  <c r="DN23" i="31" s="1"/>
  <c r="DD22" i="31"/>
  <c r="DK23" i="31" s="1"/>
  <c r="CM22" i="31"/>
  <c r="CT23" i="31" s="1"/>
  <c r="CK22" i="31"/>
  <c r="CR23" i="31" s="1"/>
  <c r="CL22" i="31"/>
  <c r="CS23" i="31" s="1"/>
  <c r="CN22" i="31"/>
  <c r="CU23" i="31" s="1"/>
  <c r="CH22" i="31"/>
  <c r="CO23" i="31" s="1"/>
  <c r="CI22" i="31"/>
  <c r="CP23" i="31" s="1"/>
  <c r="CJ22" i="31"/>
  <c r="CQ23" i="31" s="1"/>
  <c r="G23" i="31"/>
  <c r="N24" i="31" s="1"/>
  <c r="C23" i="31"/>
  <c r="J24" i="31" s="1"/>
  <c r="H23" i="31"/>
  <c r="O24" i="31" s="1"/>
  <c r="E23" i="31"/>
  <c r="L24" i="31" s="1"/>
  <c r="D23" i="31"/>
  <c r="K24" i="31" s="1"/>
  <c r="F23" i="31"/>
  <c r="M24" i="31" s="1"/>
  <c r="B23" i="31"/>
  <c r="I24" i="31" s="1"/>
  <c r="W163" i="4"/>
  <c r="ZI5" i="15"/>
  <c r="S4" i="14"/>
  <c r="S5" i="15"/>
  <c r="AH26" i="32"/>
  <c r="AO27" i="32" s="1"/>
  <c r="AD26" i="32"/>
  <c r="AK27" i="32" s="1"/>
  <c r="AI26" i="32"/>
  <c r="AP27" i="32" s="1"/>
  <c r="AJ26" i="32"/>
  <c r="AQ27" i="32" s="1"/>
  <c r="AF26" i="32"/>
  <c r="AM27" i="32" s="1"/>
  <c r="AE26" i="32"/>
  <c r="AL27" i="32" s="1"/>
  <c r="AG26" i="32"/>
  <c r="AN27" i="32" s="1"/>
  <c r="X158" i="4"/>
  <c r="T8" i="15"/>
  <c r="ZJ8" i="15"/>
  <c r="X22" i="31"/>
  <c r="AE23" i="31" s="1"/>
  <c r="W22" i="31"/>
  <c r="AD23" i="31" s="1"/>
  <c r="AC22" i="31"/>
  <c r="AJ23" i="31" s="1"/>
  <c r="Y22" i="31"/>
  <c r="AF23" i="31" s="1"/>
  <c r="Z22" i="31"/>
  <c r="AG23" i="31" s="1"/>
  <c r="AB22" i="31"/>
  <c r="AI23" i="31" s="1"/>
  <c r="AA22" i="31"/>
  <c r="AH23" i="31" s="1"/>
  <c r="BF22" i="32"/>
  <c r="BM23" i="32" s="1"/>
  <c r="BH22" i="32"/>
  <c r="BO23" i="32" s="1"/>
  <c r="BG22" i="32"/>
  <c r="BN23" i="32" s="1"/>
  <c r="BI22" i="32"/>
  <c r="BP23" i="32" s="1"/>
  <c r="BL22" i="32"/>
  <c r="BS23" i="32" s="1"/>
  <c r="BJ22" i="32"/>
  <c r="BQ23" i="32" s="1"/>
  <c r="BK22" i="32"/>
  <c r="BR23" i="32" s="1"/>
  <c r="B23" i="32"/>
  <c r="I24" i="32" s="1"/>
  <c r="C23" i="32"/>
  <c r="J24" i="32" s="1"/>
  <c r="D23" i="32"/>
  <c r="K24" i="32" s="1"/>
  <c r="F23" i="32"/>
  <c r="M24" i="32" s="1"/>
  <c r="E23" i="32"/>
  <c r="L24" i="32" s="1"/>
  <c r="G23" i="32"/>
  <c r="N24" i="32" s="1"/>
  <c r="H23" i="32"/>
  <c r="O24" i="32" s="1"/>
  <c r="C26" i="23" l="1"/>
  <c r="D27" i="23"/>
  <c r="Z11" i="15"/>
  <c r="AA15" i="17"/>
  <c r="Z16" i="17"/>
  <c r="AA16" i="17" s="1"/>
  <c r="Z9" i="17"/>
  <c r="Y10" i="17"/>
  <c r="Y11" i="17"/>
  <c r="Z11" i="17" s="1"/>
  <c r="AU22" i="31"/>
  <c r="BB23" i="31" s="1"/>
  <c r="AR22" i="31"/>
  <c r="AY23" i="31" s="1"/>
  <c r="AW22" i="31"/>
  <c r="BD23" i="31" s="1"/>
  <c r="AX22" i="31"/>
  <c r="BE23" i="31" s="1"/>
  <c r="AV22" i="31"/>
  <c r="BC23" i="31" s="1"/>
  <c r="AT22" i="31"/>
  <c r="BA23" i="31" s="1"/>
  <c r="AS22" i="31"/>
  <c r="AZ23" i="31" s="1"/>
  <c r="BM25" i="31"/>
  <c r="BT26" i="31" s="1"/>
  <c r="BQ25" i="31"/>
  <c r="BX26" i="31" s="1"/>
  <c r="BS25" i="31"/>
  <c r="BZ26" i="31" s="1"/>
  <c r="BO25" i="31"/>
  <c r="BV26" i="31" s="1"/>
  <c r="BP25" i="31"/>
  <c r="BW26" i="31" s="1"/>
  <c r="BN25" i="31"/>
  <c r="BU26" i="31" s="1"/>
  <c r="BR25" i="31"/>
  <c r="BY26" i="31" s="1"/>
  <c r="B24" i="31"/>
  <c r="I25" i="31" s="1"/>
  <c r="F24" i="31"/>
  <c r="M25" i="31" s="1"/>
  <c r="H24" i="31"/>
  <c r="O25" i="31" s="1"/>
  <c r="D24" i="31"/>
  <c r="K25" i="31" s="1"/>
  <c r="G24" i="31"/>
  <c r="N25" i="31" s="1"/>
  <c r="C24" i="31"/>
  <c r="J25" i="31" s="1"/>
  <c r="E24" i="31"/>
  <c r="L25" i="31" s="1"/>
  <c r="CI23" i="31"/>
  <c r="CP24" i="31" s="1"/>
  <c r="CL23" i="31"/>
  <c r="CS24" i="31" s="1"/>
  <c r="CH23" i="31"/>
  <c r="CO24" i="31" s="1"/>
  <c r="CM23" i="31"/>
  <c r="CT24" i="31" s="1"/>
  <c r="CJ23" i="31"/>
  <c r="CQ24" i="31" s="1"/>
  <c r="CN23" i="31"/>
  <c r="CU24" i="31" s="1"/>
  <c r="CK23" i="31"/>
  <c r="CR24" i="31" s="1"/>
  <c r="DD23" i="31"/>
  <c r="DK24" i="31" s="1"/>
  <c r="DC23" i="31"/>
  <c r="DJ24" i="31" s="1"/>
  <c r="DE23" i="31"/>
  <c r="DL24" i="31" s="1"/>
  <c r="DH23" i="31"/>
  <c r="DO24" i="31" s="1"/>
  <c r="DI23" i="31"/>
  <c r="DP24" i="31" s="1"/>
  <c r="DG23" i="31"/>
  <c r="DN24" i="31" s="1"/>
  <c r="DF23" i="31"/>
  <c r="DM24" i="31" s="1"/>
  <c r="Y23" i="31"/>
  <c r="AF24" i="31" s="1"/>
  <c r="W23" i="31"/>
  <c r="AD24" i="31" s="1"/>
  <c r="X23" i="31"/>
  <c r="AE24" i="31" s="1"/>
  <c r="AA23" i="31"/>
  <c r="AH24" i="31" s="1"/>
  <c r="AC23" i="31"/>
  <c r="AJ24" i="31" s="1"/>
  <c r="Z23" i="31"/>
  <c r="AG24" i="31" s="1"/>
  <c r="AB23" i="31"/>
  <c r="AI24" i="31" s="1"/>
  <c r="Y158" i="4"/>
  <c r="U8" i="15"/>
  <c r="ZK8" i="15"/>
  <c r="BG23" i="32"/>
  <c r="BN24" i="32" s="1"/>
  <c r="BI23" i="32"/>
  <c r="BP24" i="32" s="1"/>
  <c r="BK23" i="32"/>
  <c r="BR24" i="32" s="1"/>
  <c r="BL23" i="32"/>
  <c r="BS24" i="32" s="1"/>
  <c r="BH23" i="32"/>
  <c r="BO24" i="32" s="1"/>
  <c r="BJ23" i="32"/>
  <c r="BQ24" i="32" s="1"/>
  <c r="BF23" i="32"/>
  <c r="BM24" i="32" s="1"/>
  <c r="B24" i="32"/>
  <c r="I25" i="32" s="1"/>
  <c r="D24" i="32"/>
  <c r="K25" i="32" s="1"/>
  <c r="H24" i="32"/>
  <c r="O25" i="32" s="1"/>
  <c r="E24" i="32"/>
  <c r="L25" i="32" s="1"/>
  <c r="C24" i="32"/>
  <c r="J25" i="32" s="1"/>
  <c r="G24" i="32"/>
  <c r="N25" i="32" s="1"/>
  <c r="F24" i="32"/>
  <c r="M25" i="32" s="1"/>
  <c r="AF27" i="32"/>
  <c r="AM28" i="32" s="1"/>
  <c r="AD27" i="32"/>
  <c r="AK28" i="32" s="1"/>
  <c r="AH27" i="32"/>
  <c r="AO28" i="32" s="1"/>
  <c r="AE27" i="32"/>
  <c r="AL28" i="32" s="1"/>
  <c r="AG27" i="32"/>
  <c r="AN28" i="32" s="1"/>
  <c r="AI27" i="32"/>
  <c r="AP28" i="32" s="1"/>
  <c r="AJ27" i="32"/>
  <c r="AQ28" i="32" s="1"/>
  <c r="X163" i="4"/>
  <c r="T5" i="15"/>
  <c r="T4" i="14"/>
  <c r="ZJ5" i="15"/>
  <c r="C27" i="23" l="1"/>
  <c r="D28" i="23"/>
  <c r="AB15" i="17"/>
  <c r="AB16" i="17" s="1"/>
  <c r="AA11" i="15"/>
  <c r="AA9" i="17"/>
  <c r="Z10" i="17"/>
  <c r="CJ24" i="31"/>
  <c r="CQ25" i="31" s="1"/>
  <c r="CL24" i="31"/>
  <c r="CS25" i="31" s="1"/>
  <c r="CK24" i="31"/>
  <c r="CR25" i="31" s="1"/>
  <c r="CI24" i="31"/>
  <c r="CP25" i="31" s="1"/>
  <c r="CN24" i="31"/>
  <c r="CU25" i="31" s="1"/>
  <c r="CH24" i="31"/>
  <c r="CO25" i="31" s="1"/>
  <c r="CM24" i="31"/>
  <c r="CT25" i="31" s="1"/>
  <c r="DG24" i="31"/>
  <c r="DN25" i="31" s="1"/>
  <c r="DD24" i="31"/>
  <c r="DK25" i="31" s="1"/>
  <c r="DI24" i="31"/>
  <c r="DP25" i="31" s="1"/>
  <c r="DC24" i="31"/>
  <c r="DJ25" i="31" s="1"/>
  <c r="DF24" i="31"/>
  <c r="DM25" i="31" s="1"/>
  <c r="DH24" i="31"/>
  <c r="DO25" i="31" s="1"/>
  <c r="DE24" i="31"/>
  <c r="DL25" i="31" s="1"/>
  <c r="BM26" i="31"/>
  <c r="BT27" i="31" s="1"/>
  <c r="BS26" i="31"/>
  <c r="BZ27" i="31" s="1"/>
  <c r="BN26" i="31"/>
  <c r="BU27" i="31" s="1"/>
  <c r="BP26" i="31"/>
  <c r="BW27" i="31" s="1"/>
  <c r="BR26" i="31"/>
  <c r="BY27" i="31" s="1"/>
  <c r="BQ26" i="31"/>
  <c r="BX27" i="31" s="1"/>
  <c r="BO26" i="31"/>
  <c r="BV27" i="31" s="1"/>
  <c r="AV23" i="31"/>
  <c r="BC24" i="31" s="1"/>
  <c r="AS23" i="31"/>
  <c r="AZ24" i="31" s="1"/>
  <c r="AX23" i="31"/>
  <c r="BE24" i="31" s="1"/>
  <c r="AW23" i="31"/>
  <c r="BD24" i="31" s="1"/>
  <c r="AU23" i="31"/>
  <c r="BB24" i="31" s="1"/>
  <c r="AT23" i="31"/>
  <c r="BA24" i="31" s="1"/>
  <c r="AR23" i="31"/>
  <c r="AY24" i="31" s="1"/>
  <c r="C25" i="31"/>
  <c r="J26" i="31" s="1"/>
  <c r="H25" i="31"/>
  <c r="O26" i="31" s="1"/>
  <c r="G25" i="31"/>
  <c r="N26" i="31" s="1"/>
  <c r="D25" i="31"/>
  <c r="K26" i="31" s="1"/>
  <c r="E25" i="31"/>
  <c r="L26" i="31" s="1"/>
  <c r="B25" i="31"/>
  <c r="I26" i="31" s="1"/>
  <c r="F25" i="31"/>
  <c r="M26" i="31" s="1"/>
  <c r="Y24" i="31"/>
  <c r="AF25" i="31" s="1"/>
  <c r="W24" i="31"/>
  <c r="AD25" i="31" s="1"/>
  <c r="AA24" i="31"/>
  <c r="AH25" i="31" s="1"/>
  <c r="Z24" i="31"/>
  <c r="AG25" i="31" s="1"/>
  <c r="AC24" i="31"/>
  <c r="AJ25" i="31" s="1"/>
  <c r="AB24" i="31"/>
  <c r="AI25" i="31" s="1"/>
  <c r="X24" i="31"/>
  <c r="AE25" i="31" s="1"/>
  <c r="Y163" i="4"/>
  <c r="ZK5" i="15"/>
  <c r="U5" i="15"/>
  <c r="U4" i="14"/>
  <c r="B25" i="32"/>
  <c r="I26" i="32" s="1"/>
  <c r="E25" i="32"/>
  <c r="L26" i="32" s="1"/>
  <c r="C25" i="32"/>
  <c r="J26" i="32" s="1"/>
  <c r="H25" i="32"/>
  <c r="O26" i="32" s="1"/>
  <c r="F25" i="32"/>
  <c r="M26" i="32" s="1"/>
  <c r="D25" i="32"/>
  <c r="K26" i="32" s="1"/>
  <c r="G25" i="32"/>
  <c r="N26" i="32" s="1"/>
  <c r="Z158" i="4"/>
  <c r="ZL8" i="15"/>
  <c r="V8" i="15"/>
  <c r="BL24" i="32"/>
  <c r="BS25" i="32" s="1"/>
  <c r="BG24" i="32"/>
  <c r="BN25" i="32" s="1"/>
  <c r="BK24" i="32"/>
  <c r="BR25" i="32" s="1"/>
  <c r="BH24" i="32"/>
  <c r="BO25" i="32" s="1"/>
  <c r="BJ24" i="32"/>
  <c r="BQ25" i="32" s="1"/>
  <c r="BF24" i="32"/>
  <c r="BM25" i="32" s="1"/>
  <c r="BI24" i="32"/>
  <c r="BP25" i="32" s="1"/>
  <c r="AJ28" i="32"/>
  <c r="AQ29" i="32" s="1"/>
  <c r="AH28" i="32"/>
  <c r="AO29" i="32" s="1"/>
  <c r="AG28" i="32"/>
  <c r="AN29" i="32" s="1"/>
  <c r="AI28" i="32"/>
  <c r="AP29" i="32" s="1"/>
  <c r="AE28" i="32"/>
  <c r="AL29" i="32" s="1"/>
  <c r="AF28" i="32"/>
  <c r="AM29" i="32" s="1"/>
  <c r="AD28" i="32"/>
  <c r="AK29" i="32" s="1"/>
  <c r="C28" i="23" l="1"/>
  <c r="D29" i="23"/>
  <c r="AC15" i="17"/>
  <c r="AB11" i="15"/>
  <c r="AB9" i="17"/>
  <c r="AA10" i="17"/>
  <c r="AA11" i="17"/>
  <c r="AB11" i="17" s="1"/>
  <c r="BP27" i="31"/>
  <c r="BW28" i="31" s="1"/>
  <c r="BR27" i="31"/>
  <c r="BY28" i="31" s="1"/>
  <c r="BQ27" i="31"/>
  <c r="BX28" i="31" s="1"/>
  <c r="BS27" i="31"/>
  <c r="BZ28" i="31" s="1"/>
  <c r="BN27" i="31"/>
  <c r="BU28" i="31" s="1"/>
  <c r="BO27" i="31"/>
  <c r="BV28" i="31" s="1"/>
  <c r="BM27" i="31"/>
  <c r="BT28" i="31" s="1"/>
  <c r="AR24" i="31"/>
  <c r="AY25" i="31" s="1"/>
  <c r="AX24" i="31"/>
  <c r="BE25" i="31" s="1"/>
  <c r="AT24" i="31"/>
  <c r="BA25" i="31" s="1"/>
  <c r="AW24" i="31"/>
  <c r="BD25" i="31" s="1"/>
  <c r="AS24" i="31"/>
  <c r="AZ25" i="31" s="1"/>
  <c r="AU24" i="31"/>
  <c r="BB25" i="31" s="1"/>
  <c r="AV24" i="31"/>
  <c r="BC25" i="31" s="1"/>
  <c r="CN25" i="31"/>
  <c r="CU26" i="31" s="1"/>
  <c r="CJ25" i="31"/>
  <c r="CQ26" i="31" s="1"/>
  <c r="CH25" i="31"/>
  <c r="CO26" i="31" s="1"/>
  <c r="CI25" i="31"/>
  <c r="CP26" i="31" s="1"/>
  <c r="CM25" i="31"/>
  <c r="CT26" i="31" s="1"/>
  <c r="CL25" i="31"/>
  <c r="CS26" i="31" s="1"/>
  <c r="CK25" i="31"/>
  <c r="CR26" i="31" s="1"/>
  <c r="H26" i="31"/>
  <c r="O27" i="31" s="1"/>
  <c r="G26" i="31"/>
  <c r="N27" i="31" s="1"/>
  <c r="B26" i="31"/>
  <c r="I27" i="31" s="1"/>
  <c r="F26" i="31"/>
  <c r="M27" i="31" s="1"/>
  <c r="E26" i="31"/>
  <c r="L27" i="31" s="1"/>
  <c r="D26" i="31"/>
  <c r="K27" i="31" s="1"/>
  <c r="C26" i="31"/>
  <c r="J27" i="31" s="1"/>
  <c r="DI25" i="31"/>
  <c r="DP26" i="31" s="1"/>
  <c r="DE25" i="31"/>
  <c r="DL26" i="31" s="1"/>
  <c r="DD25" i="31"/>
  <c r="DK26" i="31" s="1"/>
  <c r="DG25" i="31"/>
  <c r="DN26" i="31" s="1"/>
  <c r="DH25" i="31"/>
  <c r="DO26" i="31" s="1"/>
  <c r="DC25" i="31"/>
  <c r="DJ26" i="31" s="1"/>
  <c r="DF25" i="31"/>
  <c r="DM26" i="31" s="1"/>
  <c r="BH25" i="32"/>
  <c r="BO26" i="32" s="1"/>
  <c r="BI25" i="32"/>
  <c r="BP26" i="32" s="1"/>
  <c r="BK25" i="32"/>
  <c r="BR26" i="32" s="1"/>
  <c r="BF25" i="32"/>
  <c r="BM26" i="32" s="1"/>
  <c r="BG25" i="32"/>
  <c r="BN26" i="32" s="1"/>
  <c r="BJ25" i="32"/>
  <c r="BQ26" i="32" s="1"/>
  <c r="BL25" i="32"/>
  <c r="BS26" i="32" s="1"/>
  <c r="Z163" i="4"/>
  <c r="V4" i="14"/>
  <c r="ZL5" i="15"/>
  <c r="V5" i="15"/>
  <c r="AA25" i="31"/>
  <c r="AH26" i="31" s="1"/>
  <c r="Y25" i="31"/>
  <c r="AF26" i="31" s="1"/>
  <c r="AB25" i="31"/>
  <c r="AI26" i="31" s="1"/>
  <c r="AC25" i="31"/>
  <c r="AJ26" i="31" s="1"/>
  <c r="W25" i="31"/>
  <c r="AD26" i="31" s="1"/>
  <c r="Z25" i="31"/>
  <c r="AG26" i="31" s="1"/>
  <c r="X25" i="31"/>
  <c r="AE26" i="31" s="1"/>
  <c r="B26" i="32"/>
  <c r="I27" i="32" s="1"/>
  <c r="G26" i="32"/>
  <c r="N27" i="32" s="1"/>
  <c r="C26" i="32"/>
  <c r="J27" i="32" s="1"/>
  <c r="F26" i="32"/>
  <c r="M27" i="32" s="1"/>
  <c r="D26" i="32"/>
  <c r="K27" i="32" s="1"/>
  <c r="E26" i="32"/>
  <c r="L27" i="32" s="1"/>
  <c r="H26" i="32"/>
  <c r="O27" i="32" s="1"/>
  <c r="AD29" i="32"/>
  <c r="AK30" i="32" s="1"/>
  <c r="AG29" i="32"/>
  <c r="AN30" i="32" s="1"/>
  <c r="AI29" i="32"/>
  <c r="AP30" i="32" s="1"/>
  <c r="AH29" i="32"/>
  <c r="AO30" i="32" s="1"/>
  <c r="AF29" i="32"/>
  <c r="AM30" i="32" s="1"/>
  <c r="AE29" i="32"/>
  <c r="AL30" i="32" s="1"/>
  <c r="AJ29" i="32"/>
  <c r="AQ30" i="32" s="1"/>
  <c r="AA158" i="4"/>
  <c r="W8" i="15"/>
  <c r="ZM8" i="15"/>
  <c r="C29" i="23" l="1"/>
  <c r="D30" i="23"/>
  <c r="AC11" i="15"/>
  <c r="AD15" i="17"/>
  <c r="AC16" i="17"/>
  <c r="AD16" i="17" s="1"/>
  <c r="AC9" i="17"/>
  <c r="AB10" i="17"/>
  <c r="BS28" i="31"/>
  <c r="BZ29" i="31" s="1"/>
  <c r="BQ28" i="31"/>
  <c r="BX29" i="31" s="1"/>
  <c r="BO28" i="31"/>
  <c r="BV29" i="31" s="1"/>
  <c r="BR28" i="31"/>
  <c r="BY29" i="31" s="1"/>
  <c r="BM28" i="31"/>
  <c r="BT29" i="31" s="1"/>
  <c r="BP28" i="31"/>
  <c r="BW29" i="31" s="1"/>
  <c r="BN28" i="31"/>
  <c r="BU29" i="31" s="1"/>
  <c r="AR25" i="31"/>
  <c r="AY26" i="31" s="1"/>
  <c r="AX25" i="31"/>
  <c r="BE26" i="31" s="1"/>
  <c r="AU25" i="31"/>
  <c r="BB26" i="31" s="1"/>
  <c r="AV25" i="31"/>
  <c r="BC26" i="31" s="1"/>
  <c r="AW25" i="31"/>
  <c r="BD26" i="31" s="1"/>
  <c r="AT25" i="31"/>
  <c r="BA26" i="31" s="1"/>
  <c r="AS25" i="31"/>
  <c r="AZ26" i="31" s="1"/>
  <c r="DI26" i="31"/>
  <c r="DP27" i="31" s="1"/>
  <c r="DG26" i="31"/>
  <c r="DN27" i="31" s="1"/>
  <c r="DD26" i="31"/>
  <c r="DK27" i="31" s="1"/>
  <c r="DE26" i="31"/>
  <c r="DL27" i="31" s="1"/>
  <c r="DH26" i="31"/>
  <c r="DO27" i="31" s="1"/>
  <c r="DC26" i="31"/>
  <c r="DJ27" i="31" s="1"/>
  <c r="DF26" i="31"/>
  <c r="DM27" i="31" s="1"/>
  <c r="E27" i="31"/>
  <c r="L28" i="31" s="1"/>
  <c r="C27" i="31"/>
  <c r="J28" i="31" s="1"/>
  <c r="F27" i="31"/>
  <c r="M28" i="31" s="1"/>
  <c r="B27" i="31"/>
  <c r="I28" i="31" s="1"/>
  <c r="G27" i="31"/>
  <c r="N28" i="31" s="1"/>
  <c r="D27" i="31"/>
  <c r="K28" i="31" s="1"/>
  <c r="H27" i="31"/>
  <c r="O28" i="31" s="1"/>
  <c r="CL26" i="31"/>
  <c r="CS27" i="31" s="1"/>
  <c r="CH26" i="31"/>
  <c r="CO27" i="31" s="1"/>
  <c r="CI26" i="31"/>
  <c r="CP27" i="31" s="1"/>
  <c r="CJ26" i="31"/>
  <c r="CQ27" i="31" s="1"/>
  <c r="CN26" i="31"/>
  <c r="CU27" i="31" s="1"/>
  <c r="CK26" i="31"/>
  <c r="CR27" i="31" s="1"/>
  <c r="CM26" i="31"/>
  <c r="CT27" i="31" s="1"/>
  <c r="AB158" i="4"/>
  <c r="X8" i="15"/>
  <c r="ZN8" i="15"/>
  <c r="AC26" i="31"/>
  <c r="AJ27" i="31" s="1"/>
  <c r="Y26" i="31"/>
  <c r="AF27" i="31" s="1"/>
  <c r="AB26" i="31"/>
  <c r="AI27" i="31" s="1"/>
  <c r="Z26" i="31"/>
  <c r="AG27" i="31" s="1"/>
  <c r="AA26" i="31"/>
  <c r="AH27" i="31" s="1"/>
  <c r="X26" i="31"/>
  <c r="AE27" i="31" s="1"/>
  <c r="W26" i="31"/>
  <c r="AD27" i="31" s="1"/>
  <c r="BH26" i="32"/>
  <c r="BO27" i="32" s="1"/>
  <c r="BG26" i="32"/>
  <c r="BN27" i="32" s="1"/>
  <c r="BL26" i="32"/>
  <c r="BS27" i="32" s="1"/>
  <c r="BJ26" i="32"/>
  <c r="BQ27" i="32" s="1"/>
  <c r="BK26" i="32"/>
  <c r="BR27" i="32" s="1"/>
  <c r="BI26" i="32"/>
  <c r="BP27" i="32" s="1"/>
  <c r="BF26" i="32"/>
  <c r="BM27" i="32" s="1"/>
  <c r="AA163" i="4"/>
  <c r="W5" i="15"/>
  <c r="ZM5" i="15"/>
  <c r="W4" i="14"/>
  <c r="AE30" i="32"/>
  <c r="AL31" i="32" s="1"/>
  <c r="AD30" i="32"/>
  <c r="AK31" i="32" s="1"/>
  <c r="AH30" i="32"/>
  <c r="AO31" i="32" s="1"/>
  <c r="AJ30" i="32"/>
  <c r="AQ31" i="32" s="1"/>
  <c r="AF30" i="32"/>
  <c r="AM31" i="32" s="1"/>
  <c r="AG30" i="32"/>
  <c r="AN31" i="32" s="1"/>
  <c r="AI30" i="32"/>
  <c r="AP31" i="32" s="1"/>
  <c r="B27" i="32"/>
  <c r="I28" i="32" s="1"/>
  <c r="F27" i="32"/>
  <c r="M28" i="32" s="1"/>
  <c r="D27" i="32"/>
  <c r="K28" i="32" s="1"/>
  <c r="C27" i="32"/>
  <c r="J28" i="32" s="1"/>
  <c r="G27" i="32"/>
  <c r="N28" i="32" s="1"/>
  <c r="E27" i="32"/>
  <c r="L28" i="32" s="1"/>
  <c r="H27" i="32"/>
  <c r="O28" i="32" s="1"/>
  <c r="C30" i="23" l="1"/>
  <c r="D31" i="23"/>
  <c r="AD11" i="15"/>
  <c r="AE15" i="17"/>
  <c r="AD9" i="17"/>
  <c r="AC10" i="17"/>
  <c r="AC11" i="17"/>
  <c r="AD11" i="17" s="1"/>
  <c r="BM29" i="31"/>
  <c r="BT30" i="31" s="1"/>
  <c r="BP29" i="31"/>
  <c r="BW30" i="31" s="1"/>
  <c r="BN29" i="31"/>
  <c r="BU30" i="31" s="1"/>
  <c r="BQ29" i="31"/>
  <c r="BX30" i="31" s="1"/>
  <c r="BR29" i="31"/>
  <c r="BY30" i="31" s="1"/>
  <c r="BO29" i="31"/>
  <c r="BV30" i="31" s="1"/>
  <c r="BS29" i="31"/>
  <c r="BZ30" i="31" s="1"/>
  <c r="CM27" i="31"/>
  <c r="CT28" i="31" s="1"/>
  <c r="CL27" i="31"/>
  <c r="CS28" i="31" s="1"/>
  <c r="CI27" i="31"/>
  <c r="CP28" i="31" s="1"/>
  <c r="CK27" i="31"/>
  <c r="CR28" i="31" s="1"/>
  <c r="CN27" i="31"/>
  <c r="CU28" i="31" s="1"/>
  <c r="CJ27" i="31"/>
  <c r="CQ28" i="31" s="1"/>
  <c r="CH27" i="31"/>
  <c r="CO28" i="31" s="1"/>
  <c r="B28" i="31"/>
  <c r="I29" i="31" s="1"/>
  <c r="G28" i="31"/>
  <c r="N29" i="31" s="1"/>
  <c r="F28" i="31"/>
  <c r="M29" i="31" s="1"/>
  <c r="C28" i="31"/>
  <c r="J29" i="31" s="1"/>
  <c r="D28" i="31"/>
  <c r="K29" i="31" s="1"/>
  <c r="H28" i="31"/>
  <c r="O29" i="31" s="1"/>
  <c r="E28" i="31"/>
  <c r="L29" i="31" s="1"/>
  <c r="DI27" i="31"/>
  <c r="DP28" i="31" s="1"/>
  <c r="DF27" i="31"/>
  <c r="DM28" i="31" s="1"/>
  <c r="DH27" i="31"/>
  <c r="DO28" i="31" s="1"/>
  <c r="DE27" i="31"/>
  <c r="DL28" i="31" s="1"/>
  <c r="DC27" i="31"/>
  <c r="DJ28" i="31" s="1"/>
  <c r="DD27" i="31"/>
  <c r="DK28" i="31" s="1"/>
  <c r="DG27" i="31"/>
  <c r="DN28" i="31" s="1"/>
  <c r="AS26" i="31"/>
  <c r="AZ27" i="31" s="1"/>
  <c r="AU26" i="31"/>
  <c r="BB27" i="31" s="1"/>
  <c r="AX26" i="31"/>
  <c r="BE27" i="31" s="1"/>
  <c r="AV26" i="31"/>
  <c r="BC27" i="31" s="1"/>
  <c r="AT26" i="31"/>
  <c r="BA27" i="31" s="1"/>
  <c r="AR26" i="31"/>
  <c r="AY27" i="31" s="1"/>
  <c r="AW26" i="31"/>
  <c r="BD27" i="31" s="1"/>
  <c r="AD31" i="32"/>
  <c r="AK32" i="32" s="1"/>
  <c r="AJ31" i="32"/>
  <c r="AQ32" i="32" s="1"/>
  <c r="AF31" i="32"/>
  <c r="AM32" i="32" s="1"/>
  <c r="AI31" i="32"/>
  <c r="AP32" i="32" s="1"/>
  <c r="AE31" i="32"/>
  <c r="AL32" i="32" s="1"/>
  <c r="AH31" i="32"/>
  <c r="AO32" i="32" s="1"/>
  <c r="AG31" i="32"/>
  <c r="AN32" i="32" s="1"/>
  <c r="X27" i="31"/>
  <c r="AE28" i="31" s="1"/>
  <c r="Y27" i="31"/>
  <c r="AF28" i="31" s="1"/>
  <c r="AA27" i="31"/>
  <c r="AH28" i="31" s="1"/>
  <c r="AC27" i="31"/>
  <c r="AJ28" i="31" s="1"/>
  <c r="Z27" i="31"/>
  <c r="AG28" i="31" s="1"/>
  <c r="W27" i="31"/>
  <c r="AD28" i="31" s="1"/>
  <c r="AB27" i="31"/>
  <c r="AI28" i="31" s="1"/>
  <c r="AB163" i="4"/>
  <c r="X4" i="14"/>
  <c r="ZN5" i="15"/>
  <c r="X5" i="15"/>
  <c r="G28" i="32"/>
  <c r="N29" i="32" s="1"/>
  <c r="D28" i="32"/>
  <c r="K29" i="32" s="1"/>
  <c r="B28" i="32"/>
  <c r="I29" i="32" s="1"/>
  <c r="E28" i="32"/>
  <c r="L29" i="32" s="1"/>
  <c r="H28" i="32"/>
  <c r="O29" i="32" s="1"/>
  <c r="C28" i="32"/>
  <c r="J29" i="32" s="1"/>
  <c r="F28" i="32"/>
  <c r="M29" i="32" s="1"/>
  <c r="BG27" i="32"/>
  <c r="BN28" i="32" s="1"/>
  <c r="BI27" i="32"/>
  <c r="BP28" i="32" s="1"/>
  <c r="BL27" i="32"/>
  <c r="BS28" i="32" s="1"/>
  <c r="BF27" i="32"/>
  <c r="BM28" i="32" s="1"/>
  <c r="BH27" i="32"/>
  <c r="BO28" i="32" s="1"/>
  <c r="BK27" i="32"/>
  <c r="BR28" i="32" s="1"/>
  <c r="BJ27" i="32"/>
  <c r="BQ28" i="32" s="1"/>
  <c r="AC158" i="4"/>
  <c r="ZO8" i="15"/>
  <c r="Y8" i="15"/>
  <c r="C31" i="23" l="1"/>
  <c r="D32" i="23"/>
  <c r="AF15" i="17"/>
  <c r="AE11" i="15"/>
  <c r="AE16" i="17"/>
  <c r="AF16" i="17" s="1"/>
  <c r="AE9" i="17"/>
  <c r="AD10" i="17"/>
  <c r="CN28" i="31"/>
  <c r="CU29" i="31" s="1"/>
  <c r="CM28" i="31"/>
  <c r="CT29" i="31" s="1"/>
  <c r="CK28" i="31"/>
  <c r="CR29" i="31" s="1"/>
  <c r="CL28" i="31"/>
  <c r="CS29" i="31" s="1"/>
  <c r="CJ28" i="31"/>
  <c r="CQ29" i="31" s="1"/>
  <c r="CI28" i="31"/>
  <c r="CP29" i="31" s="1"/>
  <c r="CH28" i="31"/>
  <c r="CO29" i="31" s="1"/>
  <c r="B29" i="31"/>
  <c r="I30" i="31" s="1"/>
  <c r="D29" i="31"/>
  <c r="K30" i="31" s="1"/>
  <c r="F29" i="31"/>
  <c r="M30" i="31" s="1"/>
  <c r="C29" i="31"/>
  <c r="J30" i="31" s="1"/>
  <c r="E29" i="31"/>
  <c r="L30" i="31" s="1"/>
  <c r="G29" i="31"/>
  <c r="N30" i="31" s="1"/>
  <c r="H29" i="31"/>
  <c r="O30" i="31" s="1"/>
  <c r="DC28" i="31"/>
  <c r="DJ29" i="31" s="1"/>
  <c r="DE28" i="31"/>
  <c r="DL29" i="31" s="1"/>
  <c r="DH28" i="31"/>
  <c r="DO29" i="31" s="1"/>
  <c r="DI28" i="31"/>
  <c r="DP29" i="31" s="1"/>
  <c r="DG28" i="31"/>
  <c r="DN29" i="31" s="1"/>
  <c r="DF28" i="31"/>
  <c r="DM29" i="31" s="1"/>
  <c r="DD28" i="31"/>
  <c r="DK29" i="31" s="1"/>
  <c r="AX27" i="31"/>
  <c r="BE28" i="31" s="1"/>
  <c r="AS27" i="31"/>
  <c r="AZ28" i="31" s="1"/>
  <c r="AU27" i="31"/>
  <c r="BB28" i="31" s="1"/>
  <c r="AT27" i="31"/>
  <c r="BA28" i="31" s="1"/>
  <c r="AW27" i="31"/>
  <c r="BD28" i="31" s="1"/>
  <c r="AV27" i="31"/>
  <c r="BC28" i="31" s="1"/>
  <c r="AR27" i="31"/>
  <c r="AY28" i="31" s="1"/>
  <c r="BS30" i="31"/>
  <c r="BZ31" i="31" s="1"/>
  <c r="BQ30" i="31"/>
  <c r="BX31" i="31" s="1"/>
  <c r="BO30" i="31"/>
  <c r="BV31" i="31" s="1"/>
  <c r="BR30" i="31"/>
  <c r="BY31" i="31" s="1"/>
  <c r="BP30" i="31"/>
  <c r="BW31" i="31" s="1"/>
  <c r="BN30" i="31"/>
  <c r="BU31" i="31" s="1"/>
  <c r="BM30" i="31"/>
  <c r="BT31" i="31" s="1"/>
  <c r="AC163" i="4"/>
  <c r="ZO5" i="15"/>
  <c r="Y4" i="14"/>
  <c r="Y5" i="15"/>
  <c r="W28" i="31"/>
  <c r="AD29" i="31" s="1"/>
  <c r="Y28" i="31"/>
  <c r="AF29" i="31" s="1"/>
  <c r="Z28" i="31"/>
  <c r="AG29" i="31" s="1"/>
  <c r="AB28" i="31"/>
  <c r="AI29" i="31" s="1"/>
  <c r="AC28" i="31"/>
  <c r="AJ29" i="31" s="1"/>
  <c r="AA28" i="31"/>
  <c r="AH29" i="31" s="1"/>
  <c r="X28" i="31"/>
  <c r="AE29" i="31" s="1"/>
  <c r="BF28" i="32"/>
  <c r="BM29" i="32" s="1"/>
  <c r="BI28" i="32"/>
  <c r="BP29" i="32" s="1"/>
  <c r="BL28" i="32"/>
  <c r="BS29" i="32" s="1"/>
  <c r="BG28" i="32"/>
  <c r="BN29" i="32" s="1"/>
  <c r="BH28" i="32"/>
  <c r="BO29" i="32" s="1"/>
  <c r="BK28" i="32"/>
  <c r="BR29" i="32" s="1"/>
  <c r="BJ28" i="32"/>
  <c r="BQ29" i="32" s="1"/>
  <c r="AD158" i="4"/>
  <c r="Z8" i="15"/>
  <c r="ZP8" i="15"/>
  <c r="B29" i="32"/>
  <c r="I30" i="32" s="1"/>
  <c r="E29" i="32"/>
  <c r="L30" i="32" s="1"/>
  <c r="H29" i="32"/>
  <c r="O30" i="32" s="1"/>
  <c r="C29" i="32"/>
  <c r="J30" i="32" s="1"/>
  <c r="F29" i="32"/>
  <c r="M30" i="32" s="1"/>
  <c r="D29" i="32"/>
  <c r="K30" i="32" s="1"/>
  <c r="G29" i="32"/>
  <c r="N30" i="32" s="1"/>
  <c r="AD32" i="32"/>
  <c r="AK33" i="32" s="1"/>
  <c r="AJ32" i="32"/>
  <c r="AQ33" i="32" s="1"/>
  <c r="AI32" i="32"/>
  <c r="AP33" i="32" s="1"/>
  <c r="AG32" i="32"/>
  <c r="AN33" i="32" s="1"/>
  <c r="AH32" i="32"/>
  <c r="AO33" i="32" s="1"/>
  <c r="AF32" i="32"/>
  <c r="AM33" i="32" s="1"/>
  <c r="AE32" i="32"/>
  <c r="AL33" i="32" s="1"/>
  <c r="C32" i="23" l="1"/>
  <c r="D33" i="23"/>
  <c r="AG15" i="17"/>
  <c r="AF11" i="15"/>
  <c r="AF9" i="17"/>
  <c r="AE10" i="17"/>
  <c r="AE11" i="17"/>
  <c r="AW28" i="31"/>
  <c r="BD29" i="31" s="1"/>
  <c r="AR28" i="31"/>
  <c r="AY29" i="31" s="1"/>
  <c r="AT28" i="31"/>
  <c r="BA29" i="31" s="1"/>
  <c r="AX28" i="31"/>
  <c r="BE29" i="31" s="1"/>
  <c r="AS28" i="31"/>
  <c r="AZ29" i="31" s="1"/>
  <c r="AU28" i="31"/>
  <c r="BB29" i="31" s="1"/>
  <c r="AV28" i="31"/>
  <c r="BC29" i="31" s="1"/>
  <c r="B30" i="31"/>
  <c r="I31" i="31" s="1"/>
  <c r="F30" i="31"/>
  <c r="M31" i="31" s="1"/>
  <c r="C30" i="31"/>
  <c r="J31" i="31" s="1"/>
  <c r="H30" i="31"/>
  <c r="O31" i="31" s="1"/>
  <c r="G30" i="31"/>
  <c r="N31" i="31" s="1"/>
  <c r="E30" i="31"/>
  <c r="L31" i="31" s="1"/>
  <c r="D30" i="31"/>
  <c r="K31" i="31" s="1"/>
  <c r="CH29" i="31"/>
  <c r="CO30" i="31" s="1"/>
  <c r="CJ29" i="31"/>
  <c r="CQ30" i="31" s="1"/>
  <c r="CI29" i="31"/>
  <c r="CP30" i="31" s="1"/>
  <c r="CL29" i="31"/>
  <c r="CS30" i="31" s="1"/>
  <c r="CK29" i="31"/>
  <c r="CR30" i="31" s="1"/>
  <c r="CM29" i="31"/>
  <c r="CT30" i="31" s="1"/>
  <c r="CN29" i="31"/>
  <c r="CU30" i="31" s="1"/>
  <c r="DC29" i="31"/>
  <c r="DJ30" i="31" s="1"/>
  <c r="DD29" i="31"/>
  <c r="DK30" i="31" s="1"/>
  <c r="DI29" i="31"/>
  <c r="DP30" i="31" s="1"/>
  <c r="DF29" i="31"/>
  <c r="DM30" i="31" s="1"/>
  <c r="DG29" i="31"/>
  <c r="DN30" i="31" s="1"/>
  <c r="DE29" i="31"/>
  <c r="DL30" i="31" s="1"/>
  <c r="DH29" i="31"/>
  <c r="DO30" i="31" s="1"/>
  <c r="BR31" i="31"/>
  <c r="BY32" i="31" s="1"/>
  <c r="BQ31" i="31"/>
  <c r="BX32" i="31" s="1"/>
  <c r="BS31" i="31"/>
  <c r="BZ32" i="31" s="1"/>
  <c r="BN31" i="31"/>
  <c r="BU32" i="31" s="1"/>
  <c r="BO31" i="31"/>
  <c r="BV32" i="31" s="1"/>
  <c r="BP31" i="31"/>
  <c r="BW32" i="31" s="1"/>
  <c r="BM31" i="31"/>
  <c r="BT32" i="31" s="1"/>
  <c r="W29" i="31"/>
  <c r="AD30" i="31" s="1"/>
  <c r="X29" i="31"/>
  <c r="AE30" i="31" s="1"/>
  <c r="Z29" i="31"/>
  <c r="AG30" i="31" s="1"/>
  <c r="AC29" i="31"/>
  <c r="AJ30" i="31" s="1"/>
  <c r="AB29" i="31"/>
  <c r="AI30" i="31" s="1"/>
  <c r="AA29" i="31"/>
  <c r="AH30" i="31" s="1"/>
  <c r="Y29" i="31"/>
  <c r="AF30" i="31" s="1"/>
  <c r="AD33" i="32"/>
  <c r="AG33" i="32"/>
  <c r="AI33" i="32"/>
  <c r="AJ33" i="32"/>
  <c r="AH33" i="32"/>
  <c r="AE33" i="32"/>
  <c r="AF33" i="32"/>
  <c r="BJ29" i="32"/>
  <c r="BQ30" i="32" s="1"/>
  <c r="BF29" i="32"/>
  <c r="BM30" i="32" s="1"/>
  <c r="BL29" i="32"/>
  <c r="BS30" i="32" s="1"/>
  <c r="BK29" i="32"/>
  <c r="BR30" i="32" s="1"/>
  <c r="BI29" i="32"/>
  <c r="BP30" i="32" s="1"/>
  <c r="BH29" i="32"/>
  <c r="BO30" i="32" s="1"/>
  <c r="BG29" i="32"/>
  <c r="BN30" i="32" s="1"/>
  <c r="B30" i="32"/>
  <c r="I31" i="32" s="1"/>
  <c r="G30" i="32"/>
  <c r="N31" i="32" s="1"/>
  <c r="E30" i="32"/>
  <c r="L31" i="32" s="1"/>
  <c r="C30" i="32"/>
  <c r="J31" i="32" s="1"/>
  <c r="H30" i="32"/>
  <c r="O31" i="32" s="1"/>
  <c r="F30" i="32"/>
  <c r="M31" i="32" s="1"/>
  <c r="D30" i="32"/>
  <c r="K31" i="32" s="1"/>
  <c r="AE158" i="4"/>
  <c r="AA8" i="15"/>
  <c r="ZQ8" i="15"/>
  <c r="AD163" i="4"/>
  <c r="Z5" i="15"/>
  <c r="Z4" i="14"/>
  <c r="ZP5" i="15"/>
  <c r="AF11" i="17" l="1"/>
  <c r="C33" i="23"/>
  <c r="D34" i="23"/>
  <c r="AG11" i="15"/>
  <c r="AH11" i="15" s="1"/>
  <c r="AH15" i="17"/>
  <c r="AI15" i="17"/>
  <c r="F10" i="1" s="1"/>
  <c r="AG16" i="17"/>
  <c r="AG9" i="17"/>
  <c r="AF10" i="17"/>
  <c r="CK30" i="31"/>
  <c r="CR31" i="31" s="1"/>
  <c r="CM30" i="31"/>
  <c r="CT31" i="31" s="1"/>
  <c r="CJ30" i="31"/>
  <c r="CQ31" i="31" s="1"/>
  <c r="CL30" i="31"/>
  <c r="CS31" i="31" s="1"/>
  <c r="CI30" i="31"/>
  <c r="CP31" i="31" s="1"/>
  <c r="CN30" i="31"/>
  <c r="CU31" i="31" s="1"/>
  <c r="CH30" i="31"/>
  <c r="CO31" i="31" s="1"/>
  <c r="D31" i="31"/>
  <c r="K32" i="31" s="1"/>
  <c r="E31" i="31"/>
  <c r="L32" i="31" s="1"/>
  <c r="G31" i="31"/>
  <c r="N32" i="31" s="1"/>
  <c r="C31" i="31"/>
  <c r="J32" i="31" s="1"/>
  <c r="B31" i="31"/>
  <c r="I32" i="31" s="1"/>
  <c r="F31" i="31"/>
  <c r="M32" i="31" s="1"/>
  <c r="H31" i="31"/>
  <c r="O32" i="31" s="1"/>
  <c r="DH30" i="31"/>
  <c r="DO31" i="31" s="1"/>
  <c r="DI30" i="31"/>
  <c r="DP31" i="31" s="1"/>
  <c r="DE30" i="31"/>
  <c r="DL31" i="31" s="1"/>
  <c r="DF30" i="31"/>
  <c r="DM31" i="31" s="1"/>
  <c r="DD30" i="31"/>
  <c r="DK31" i="31" s="1"/>
  <c r="DC30" i="31"/>
  <c r="DJ31" i="31" s="1"/>
  <c r="DG30" i="31"/>
  <c r="DN31" i="31" s="1"/>
  <c r="AT29" i="31"/>
  <c r="BA30" i="31" s="1"/>
  <c r="AX29" i="31"/>
  <c r="BE30" i="31" s="1"/>
  <c r="AS29" i="31"/>
  <c r="AZ30" i="31" s="1"/>
  <c r="AV29" i="31"/>
  <c r="BC30" i="31" s="1"/>
  <c r="AU29" i="31"/>
  <c r="BB30" i="31" s="1"/>
  <c r="AR29" i="31"/>
  <c r="AY30" i="31" s="1"/>
  <c r="AW29" i="31"/>
  <c r="BD30" i="31" s="1"/>
  <c r="BM32" i="31"/>
  <c r="BT33" i="31" s="1"/>
  <c r="BQ32" i="31"/>
  <c r="BX33" i="31" s="1"/>
  <c r="BS32" i="31"/>
  <c r="BZ33" i="31" s="1"/>
  <c r="BO32" i="31"/>
  <c r="BV33" i="31" s="1"/>
  <c r="BR32" i="31"/>
  <c r="BY33" i="31" s="1"/>
  <c r="BP32" i="31"/>
  <c r="BW33" i="31" s="1"/>
  <c r="BN32" i="31"/>
  <c r="BU33" i="31" s="1"/>
  <c r="AE163" i="4"/>
  <c r="AA4" i="14"/>
  <c r="ZQ5" i="15"/>
  <c r="AA5" i="15"/>
  <c r="AF158" i="4"/>
  <c r="ZR8" i="15"/>
  <c r="AB8" i="15"/>
  <c r="BH30" i="32"/>
  <c r="BO31" i="32" s="1"/>
  <c r="BI30" i="32"/>
  <c r="BP31" i="32" s="1"/>
  <c r="BF30" i="32"/>
  <c r="BM31" i="32" s="1"/>
  <c r="BG30" i="32"/>
  <c r="BN31" i="32" s="1"/>
  <c r="BK30" i="32"/>
  <c r="BR31" i="32" s="1"/>
  <c r="BJ30" i="32"/>
  <c r="BQ31" i="32" s="1"/>
  <c r="BL30" i="32"/>
  <c r="BS31" i="32" s="1"/>
  <c r="B31" i="32"/>
  <c r="I32" i="32" s="1"/>
  <c r="E31" i="32"/>
  <c r="L32" i="32" s="1"/>
  <c r="C31" i="32"/>
  <c r="J32" i="32" s="1"/>
  <c r="F31" i="32"/>
  <c r="M32" i="32" s="1"/>
  <c r="D31" i="32"/>
  <c r="K32" i="32" s="1"/>
  <c r="H31" i="32"/>
  <c r="O32" i="32" s="1"/>
  <c r="G31" i="32"/>
  <c r="N32" i="32" s="1"/>
  <c r="AC30" i="31"/>
  <c r="AJ31" i="31" s="1"/>
  <c r="Y30" i="31"/>
  <c r="AF31" i="31" s="1"/>
  <c r="AB30" i="31"/>
  <c r="AI31" i="31" s="1"/>
  <c r="AA30" i="31"/>
  <c r="AH31" i="31" s="1"/>
  <c r="Z30" i="31"/>
  <c r="AG31" i="31" s="1"/>
  <c r="X30" i="31"/>
  <c r="AE31" i="31" s="1"/>
  <c r="W30" i="31"/>
  <c r="AD31" i="31" s="1"/>
  <c r="C34" i="23" l="1"/>
  <c r="D35" i="23"/>
  <c r="AH16" i="17"/>
  <c r="AI16" i="17"/>
  <c r="F11" i="1" s="1"/>
  <c r="I26" i="20" s="1"/>
  <c r="R10" i="1"/>
  <c r="S10" i="1" s="1"/>
  <c r="I22" i="20"/>
  <c r="K22" i="20" s="1"/>
  <c r="G10" i="1"/>
  <c r="AG10" i="17"/>
  <c r="AH9" i="17"/>
  <c r="AI9" i="17"/>
  <c r="F5" i="1" s="1"/>
  <c r="AG11" i="17"/>
  <c r="E32" i="31"/>
  <c r="L33" i="31" s="1"/>
  <c r="D32" i="31"/>
  <c r="K33" i="31" s="1"/>
  <c r="F32" i="31"/>
  <c r="M33" i="31" s="1"/>
  <c r="B32" i="31"/>
  <c r="I33" i="31" s="1"/>
  <c r="C32" i="31"/>
  <c r="J33" i="31" s="1"/>
  <c r="H32" i="31"/>
  <c r="O33" i="31" s="1"/>
  <c r="G32" i="31"/>
  <c r="N33" i="31" s="1"/>
  <c r="BM33" i="31"/>
  <c r="B111" i="31" s="1"/>
  <c r="BN33" i="31"/>
  <c r="C111" i="31" s="1"/>
  <c r="BQ33" i="31"/>
  <c r="F111" i="31" s="1"/>
  <c r="BP33" i="31"/>
  <c r="E111" i="31" s="1"/>
  <c r="BO33" i="31"/>
  <c r="D111" i="31" s="1"/>
  <c r="BR33" i="31"/>
  <c r="G111" i="31" s="1"/>
  <c r="BS33" i="31"/>
  <c r="H111" i="31" s="1"/>
  <c r="AV30" i="31"/>
  <c r="BC31" i="31" s="1"/>
  <c r="AR30" i="31"/>
  <c r="AY31" i="31" s="1"/>
  <c r="AT30" i="31"/>
  <c r="BA31" i="31" s="1"/>
  <c r="AX30" i="31"/>
  <c r="BE31" i="31" s="1"/>
  <c r="AU30" i="31"/>
  <c r="BB31" i="31" s="1"/>
  <c r="AW30" i="31"/>
  <c r="BD31" i="31" s="1"/>
  <c r="AS30" i="31"/>
  <c r="AZ31" i="31" s="1"/>
  <c r="CH31" i="31"/>
  <c r="CO32" i="31" s="1"/>
  <c r="CN31" i="31"/>
  <c r="CU32" i="31" s="1"/>
  <c r="CI31" i="31"/>
  <c r="CP32" i="31" s="1"/>
  <c r="CL31" i="31"/>
  <c r="CS32" i="31" s="1"/>
  <c r="CJ31" i="31"/>
  <c r="CQ32" i="31" s="1"/>
  <c r="CM31" i="31"/>
  <c r="CT32" i="31" s="1"/>
  <c r="CK31" i="31"/>
  <c r="CR32" i="31" s="1"/>
  <c r="DE31" i="31"/>
  <c r="DL32" i="31" s="1"/>
  <c r="DF31" i="31"/>
  <c r="DM32" i="31" s="1"/>
  <c r="DH31" i="31"/>
  <c r="DO32" i="31" s="1"/>
  <c r="DI31" i="31"/>
  <c r="DP32" i="31" s="1"/>
  <c r="DG31" i="31"/>
  <c r="DN32" i="31" s="1"/>
  <c r="DC31" i="31"/>
  <c r="DJ32" i="31" s="1"/>
  <c r="DD31" i="31"/>
  <c r="DK32" i="31" s="1"/>
  <c r="B32" i="32"/>
  <c r="I33" i="32" s="1"/>
  <c r="D32" i="32"/>
  <c r="K33" i="32" s="1"/>
  <c r="F32" i="32"/>
  <c r="M33" i="32" s="1"/>
  <c r="H32" i="32"/>
  <c r="O33" i="32" s="1"/>
  <c r="E32" i="32"/>
  <c r="L33" i="32" s="1"/>
  <c r="C32" i="32"/>
  <c r="J33" i="32" s="1"/>
  <c r="G32" i="32"/>
  <c r="N33" i="32" s="1"/>
  <c r="AG158" i="4"/>
  <c r="ZS8" i="15"/>
  <c r="AC8" i="15"/>
  <c r="Y31" i="31"/>
  <c r="AF32" i="31" s="1"/>
  <c r="AB31" i="31"/>
  <c r="AI32" i="31" s="1"/>
  <c r="X31" i="31"/>
  <c r="AE32" i="31" s="1"/>
  <c r="W31" i="31"/>
  <c r="AD32" i="31" s="1"/>
  <c r="Z31" i="31"/>
  <c r="AG32" i="31" s="1"/>
  <c r="AA31" i="31"/>
  <c r="AH32" i="31" s="1"/>
  <c r="AC31" i="31"/>
  <c r="AJ32" i="31" s="1"/>
  <c r="BJ31" i="32"/>
  <c r="BQ32" i="32" s="1"/>
  <c r="BL31" i="32"/>
  <c r="BS32" i="32" s="1"/>
  <c r="BK31" i="32"/>
  <c r="BR32" i="32" s="1"/>
  <c r="BF31" i="32"/>
  <c r="BM32" i="32" s="1"/>
  <c r="BH31" i="32"/>
  <c r="BO32" i="32" s="1"/>
  <c r="BG31" i="32"/>
  <c r="BN32" i="32" s="1"/>
  <c r="BI31" i="32"/>
  <c r="BP32" i="32" s="1"/>
  <c r="AF163" i="4"/>
  <c r="AB5" i="15"/>
  <c r="AB4" i="14"/>
  <c r="ZR5" i="15"/>
  <c r="C35" i="23" l="1"/>
  <c r="D36" i="23"/>
  <c r="C36" i="23" s="1"/>
  <c r="G42" i="22"/>
  <c r="H42" i="22"/>
  <c r="I14" i="20"/>
  <c r="R5" i="1"/>
  <c r="F6" i="1"/>
  <c r="G6" i="1" s="1"/>
  <c r="G5" i="1"/>
  <c r="AH11" i="17"/>
  <c r="AI11" i="17"/>
  <c r="F8" i="1" s="1"/>
  <c r="I24" i="20" s="1"/>
  <c r="CI32" i="31"/>
  <c r="CP33" i="31" s="1"/>
  <c r="CH32" i="31"/>
  <c r="CO33" i="31" s="1"/>
  <c r="CM32" i="31"/>
  <c r="CT33" i="31" s="1"/>
  <c r="CK32" i="31"/>
  <c r="CR33" i="31" s="1"/>
  <c r="CN32" i="31"/>
  <c r="CU33" i="31" s="1"/>
  <c r="CJ32" i="31"/>
  <c r="CQ33" i="31" s="1"/>
  <c r="CL32" i="31"/>
  <c r="CS33" i="31" s="1"/>
  <c r="D33" i="31"/>
  <c r="D105" i="31" s="1"/>
  <c r="B33" i="31"/>
  <c r="B105" i="31" s="1"/>
  <c r="Q76" i="20" s="1"/>
  <c r="F33" i="31"/>
  <c r="F105" i="31" s="1"/>
  <c r="U76" i="20" s="1"/>
  <c r="H33" i="31"/>
  <c r="H105" i="31" s="1"/>
  <c r="S76" i="20" s="1"/>
  <c r="C33" i="31"/>
  <c r="C105" i="31" s="1"/>
  <c r="Y76" i="20" s="1"/>
  <c r="G33" i="31"/>
  <c r="G105" i="31" s="1"/>
  <c r="E33" i="31"/>
  <c r="E105" i="31" s="1"/>
  <c r="W76" i="20" s="1"/>
  <c r="DH32" i="31"/>
  <c r="DO33" i="31" s="1"/>
  <c r="DD32" i="31"/>
  <c r="DK33" i="31" s="1"/>
  <c r="DE32" i="31"/>
  <c r="DL33" i="31" s="1"/>
  <c r="DC32" i="31"/>
  <c r="DJ33" i="31" s="1"/>
  <c r="DG32" i="31"/>
  <c r="DN33" i="31" s="1"/>
  <c r="DF32" i="31"/>
  <c r="DM33" i="31" s="1"/>
  <c r="DI32" i="31"/>
  <c r="DP33" i="31" s="1"/>
  <c r="AR31" i="31"/>
  <c r="AY32" i="31" s="1"/>
  <c r="AS31" i="31"/>
  <c r="AZ32" i="31" s="1"/>
  <c r="AX31" i="31"/>
  <c r="BE32" i="31" s="1"/>
  <c r="AV31" i="31"/>
  <c r="BC32" i="31" s="1"/>
  <c r="AU31" i="31"/>
  <c r="BB32" i="31" s="1"/>
  <c r="AW31" i="31"/>
  <c r="BD32" i="31" s="1"/>
  <c r="AT31" i="31"/>
  <c r="BA32" i="31" s="1"/>
  <c r="Z32" i="31"/>
  <c r="AG33" i="31" s="1"/>
  <c r="Y32" i="31"/>
  <c r="AF33" i="31" s="1"/>
  <c r="AC32" i="31"/>
  <c r="AJ33" i="31" s="1"/>
  <c r="AB32" i="31"/>
  <c r="AI33" i="31" s="1"/>
  <c r="AA32" i="31"/>
  <c r="AH33" i="31" s="1"/>
  <c r="W32" i="31"/>
  <c r="AD33" i="31" s="1"/>
  <c r="X32" i="31"/>
  <c r="AE33" i="31" s="1"/>
  <c r="AG163" i="4"/>
  <c r="AC4" i="14"/>
  <c r="ZS5" i="15"/>
  <c r="AC5" i="15"/>
  <c r="AH158" i="4"/>
  <c r="ZT8" i="15"/>
  <c r="AD8" i="15"/>
  <c r="BJ32" i="32"/>
  <c r="BQ33" i="32" s="1"/>
  <c r="BK32" i="32"/>
  <c r="BR33" i="32" s="1"/>
  <c r="BF32" i="32"/>
  <c r="BM33" i="32" s="1"/>
  <c r="BH32" i="32"/>
  <c r="BO33" i="32" s="1"/>
  <c r="BL32" i="32"/>
  <c r="BS33" i="32" s="1"/>
  <c r="BG32" i="32"/>
  <c r="BN33" i="32" s="1"/>
  <c r="BI32" i="32"/>
  <c r="BP33" i="32" s="1"/>
  <c r="B33" i="32"/>
  <c r="B104" i="32" s="1"/>
  <c r="G33" i="32"/>
  <c r="H33" i="32"/>
  <c r="C33" i="32"/>
  <c r="E33" i="32"/>
  <c r="F33" i="32"/>
  <c r="D33" i="32"/>
  <c r="B48" i="22" l="1"/>
  <c r="R6" i="1"/>
  <c r="S6" i="1" s="1"/>
  <c r="S5" i="1"/>
  <c r="G40" i="22"/>
  <c r="H40" i="22"/>
  <c r="I16" i="20"/>
  <c r="K16" i="20" s="1"/>
  <c r="K14" i="20"/>
  <c r="AW32" i="31"/>
  <c r="BD33" i="31" s="1"/>
  <c r="AT32" i="31"/>
  <c r="BA33" i="31" s="1"/>
  <c r="AX32" i="31"/>
  <c r="BE33" i="31" s="1"/>
  <c r="AU32" i="31"/>
  <c r="BB33" i="31" s="1"/>
  <c r="AR32" i="31"/>
  <c r="AY33" i="31" s="1"/>
  <c r="AS32" i="31"/>
  <c r="AZ33" i="31" s="1"/>
  <c r="AV32" i="31"/>
  <c r="BC33" i="31" s="1"/>
  <c r="DE33" i="31"/>
  <c r="D113" i="31" s="1"/>
  <c r="DC33" i="31"/>
  <c r="B113" i="31" s="1"/>
  <c r="DI33" i="31"/>
  <c r="H113" i="31" s="1"/>
  <c r="DF33" i="31"/>
  <c r="E113" i="31" s="1"/>
  <c r="DD33" i="31"/>
  <c r="C113" i="31" s="1"/>
  <c r="DH33" i="31"/>
  <c r="G113" i="31" s="1"/>
  <c r="DG33" i="31"/>
  <c r="F113" i="31" s="1"/>
  <c r="CH33" i="31"/>
  <c r="B112" i="31" s="1"/>
  <c r="CL33" i="31"/>
  <c r="F112" i="31" s="1"/>
  <c r="CK33" i="31"/>
  <c r="E112" i="31" s="1"/>
  <c r="CJ33" i="31"/>
  <c r="D112" i="31" s="1"/>
  <c r="CI33" i="31"/>
  <c r="C112" i="31" s="1"/>
  <c r="CM33" i="31"/>
  <c r="G112" i="31" s="1"/>
  <c r="CN33" i="31"/>
  <c r="H112" i="31" s="1"/>
  <c r="AI158" i="4"/>
  <c r="AE8" i="15"/>
  <c r="ZU8" i="15"/>
  <c r="ZV8" i="15" s="1"/>
  <c r="ZW8" i="15" s="1"/>
  <c r="ZX8" i="15" s="1"/>
  <c r="BJ33" i="32"/>
  <c r="F110" i="32" s="1"/>
  <c r="BF33" i="32"/>
  <c r="B110" i="32" s="1"/>
  <c r="B114" i="32" s="1"/>
  <c r="BI33" i="32"/>
  <c r="E110" i="32" s="1"/>
  <c r="BK33" i="32"/>
  <c r="G110" i="32" s="1"/>
  <c r="BG33" i="32"/>
  <c r="C110" i="32" s="1"/>
  <c r="BL33" i="32"/>
  <c r="H110" i="32" s="1"/>
  <c r="BH33" i="32"/>
  <c r="D110" i="32" s="1"/>
  <c r="AH163" i="4"/>
  <c r="AD4" i="14"/>
  <c r="ZT5" i="15"/>
  <c r="AD5" i="15"/>
  <c r="AC33" i="31"/>
  <c r="H106" i="31" s="1"/>
  <c r="AA33" i="31"/>
  <c r="F106" i="31" s="1"/>
  <c r="Z33" i="31"/>
  <c r="E106" i="31" s="1"/>
  <c r="Y33" i="31"/>
  <c r="D106" i="31" s="1"/>
  <c r="W33" i="31"/>
  <c r="B106" i="31" s="1"/>
  <c r="AB33" i="31"/>
  <c r="G106" i="31" s="1"/>
  <c r="X33" i="31"/>
  <c r="C106" i="31" s="1"/>
  <c r="B46" i="22" l="1"/>
  <c r="G114" i="32"/>
  <c r="C114" i="32"/>
  <c r="E114" i="32"/>
  <c r="B115" i="31"/>
  <c r="Q78" i="20" s="1"/>
  <c r="AU33" i="31"/>
  <c r="E107" i="31" s="1"/>
  <c r="W77" i="20" s="1"/>
  <c r="AX33" i="31"/>
  <c r="H107" i="31" s="1"/>
  <c r="S77" i="20" s="1"/>
  <c r="AV33" i="31"/>
  <c r="F107" i="31" s="1"/>
  <c r="U77" i="20" s="1"/>
  <c r="AR33" i="31"/>
  <c r="B107" i="31" s="1"/>
  <c r="Q77" i="20" s="1"/>
  <c r="AS33" i="31"/>
  <c r="C107" i="31" s="1"/>
  <c r="Y77" i="20" s="1"/>
  <c r="AW33" i="31"/>
  <c r="G107" i="31" s="1"/>
  <c r="AT33" i="31"/>
  <c r="D107" i="31" s="1"/>
  <c r="P84" i="20"/>
  <c r="R84" i="20" s="1"/>
  <c r="T84" i="20" s="1"/>
  <c r="V84" i="20" s="1"/>
  <c r="X84" i="20" s="1"/>
  <c r="Q84" i="20"/>
  <c r="H114" i="32"/>
  <c r="F114" i="32"/>
  <c r="B105" i="32"/>
  <c r="AI163" i="4"/>
  <c r="AE5" i="15"/>
  <c r="AE4" i="14"/>
  <c r="ZU5" i="15"/>
  <c r="ZV5" i="15" s="1"/>
  <c r="ZW5" i="15" s="1"/>
  <c r="ZX5" i="15" s="1"/>
  <c r="D114" i="32"/>
  <c r="AF8" i="15"/>
  <c r="AJ158" i="4"/>
  <c r="E115" i="31" l="1"/>
  <c r="W78" i="20" s="1"/>
  <c r="F115" i="31"/>
  <c r="C115" i="31"/>
  <c r="H115" i="31"/>
  <c r="G115" i="31"/>
  <c r="D115" i="31"/>
  <c r="P79" i="20"/>
  <c r="Q79" i="20"/>
  <c r="B109" i="31"/>
  <c r="G109" i="31" s="1"/>
  <c r="Y78" i="20"/>
  <c r="U78" i="20"/>
  <c r="S78" i="20"/>
  <c r="AJ163" i="4"/>
  <c r="AF4" i="14"/>
  <c r="AG4" i="14" s="1"/>
  <c r="AI4" i="14" s="1"/>
  <c r="AJ4" i="14" s="1"/>
  <c r="AK4" i="14" s="1"/>
  <c r="AL4" i="14" s="1"/>
  <c r="AM4" i="14" s="1"/>
  <c r="AN4" i="14" s="1"/>
  <c r="AO4" i="14" s="1"/>
  <c r="AP4" i="14" s="1"/>
  <c r="AQ4" i="14" s="1"/>
  <c r="AR4" i="14" s="1"/>
  <c r="AS4" i="14" s="1"/>
  <c r="AT4" i="14" s="1"/>
  <c r="AU4" i="14" s="1"/>
  <c r="AV4" i="14" s="1"/>
  <c r="AW4" i="14" s="1"/>
  <c r="AX4" i="14" s="1"/>
  <c r="AY4" i="14" s="1"/>
  <c r="AZ4" i="14" s="1"/>
  <c r="BA4" i="14" s="1"/>
  <c r="BB4" i="14" s="1"/>
  <c r="BC4" i="14" s="1"/>
  <c r="BD4" i="14" s="1"/>
  <c r="BE4" i="14" s="1"/>
  <c r="BF4" i="14" s="1"/>
  <c r="BG4" i="14" s="1"/>
  <c r="BH4" i="14" s="1"/>
  <c r="BI4" i="14" s="1"/>
  <c r="BJ4" i="14" s="1"/>
  <c r="BK4" i="14" s="1"/>
  <c r="BL4" i="14" s="1"/>
  <c r="BN4" i="14" s="1"/>
  <c r="BO4" i="14" s="1"/>
  <c r="BP4" i="14" s="1"/>
  <c r="BQ4" i="14" s="1"/>
  <c r="BR4" i="14" s="1"/>
  <c r="BS4" i="14" s="1"/>
  <c r="BT4" i="14" s="1"/>
  <c r="BU4" i="14" s="1"/>
  <c r="BV4" i="14" s="1"/>
  <c r="BW4" i="14" s="1"/>
  <c r="BX4" i="14" s="1"/>
  <c r="BY4" i="14" s="1"/>
  <c r="BZ4" i="14" s="1"/>
  <c r="CA4" i="14" s="1"/>
  <c r="CB4" i="14" s="1"/>
  <c r="CC4" i="14" s="1"/>
  <c r="CD4" i="14" s="1"/>
  <c r="CE4" i="14" s="1"/>
  <c r="CF4" i="14" s="1"/>
  <c r="CG4" i="14" s="1"/>
  <c r="CH4" i="14" s="1"/>
  <c r="CI4" i="14" s="1"/>
  <c r="CJ4" i="14" s="1"/>
  <c r="CK4" i="14" s="1"/>
  <c r="CL4" i="14" s="1"/>
  <c r="CM4" i="14" s="1"/>
  <c r="CN4" i="14" s="1"/>
  <c r="CO4" i="14" s="1"/>
  <c r="CP4" i="14" s="1"/>
  <c r="CQ4" i="14" s="1"/>
  <c r="CR4" i="14" s="1"/>
  <c r="CT4" i="14" s="1"/>
  <c r="AF5" i="15"/>
  <c r="AL158" i="4"/>
  <c r="AG8" i="15"/>
  <c r="AH8" i="15" s="1"/>
  <c r="AK158" i="4"/>
  <c r="H108" i="32"/>
  <c r="R83" i="20" s="1"/>
  <c r="D108" i="32"/>
  <c r="B108" i="32"/>
  <c r="F108" i="32"/>
  <c r="T83" i="20" s="1"/>
  <c r="C108" i="32"/>
  <c r="X83" i="20" s="1"/>
  <c r="E108" i="32"/>
  <c r="V83" i="20" s="1"/>
  <c r="G108" i="32"/>
  <c r="R79" i="20" l="1"/>
  <c r="T79" i="20"/>
  <c r="V79" i="20"/>
  <c r="X79" i="20"/>
  <c r="F109" i="31"/>
  <c r="D109" i="31"/>
  <c r="H109" i="31"/>
  <c r="C109" i="31"/>
  <c r="E109" i="31"/>
  <c r="P83" i="20"/>
  <c r="Q83" i="20"/>
  <c r="D8" i="1"/>
  <c r="E24" i="20" s="1"/>
  <c r="E8" i="1"/>
  <c r="Q8" i="1"/>
  <c r="M8" i="1"/>
  <c r="P8" i="1" s="1"/>
  <c r="AL163" i="4"/>
  <c r="AG5" i="15"/>
  <c r="AH5" i="15" s="1"/>
  <c r="AK163" i="4"/>
  <c r="C4" i="19" s="1"/>
  <c r="C9" i="19" s="1"/>
  <c r="E9" i="19" l="1"/>
  <c r="H9" i="19"/>
  <c r="D9" i="19"/>
  <c r="I9" i="19"/>
  <c r="G9" i="19"/>
  <c r="F9" i="19"/>
  <c r="Q11" i="1"/>
  <c r="E11" i="1"/>
  <c r="D11" i="1"/>
  <c r="E26" i="20" s="1"/>
  <c r="M11" i="1"/>
  <c r="P11" i="1" s="1"/>
  <c r="Q24" i="20"/>
  <c r="U8" i="1"/>
  <c r="S8" i="1"/>
  <c r="I8" i="1"/>
  <c r="G8" i="1"/>
  <c r="G24" i="20"/>
  <c r="K24" i="20" s="1"/>
  <c r="P85" i="20"/>
  <c r="Q85" i="20"/>
  <c r="V85" i="20" s="1"/>
  <c r="X85" i="20" l="1"/>
  <c r="T85" i="20"/>
  <c r="R85" i="20"/>
  <c r="U11" i="1"/>
  <c r="S11" i="1"/>
  <c r="Q26" i="20"/>
  <c r="G11" i="1"/>
  <c r="I11" i="1"/>
  <c r="G26" i="20"/>
  <c r="K26" i="20" s="1"/>
  <c r="Q40" i="5"/>
  <c r="R14" i="5"/>
  <c r="V10" i="1" s="1"/>
  <c r="X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SEVIANA DWI HUSNITA</author>
  </authors>
  <commentList>
    <comment ref="AW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SEVIANA DWI HUSNITA:</t>
        </r>
        <r>
          <rPr>
            <sz val="9"/>
            <color indexed="81"/>
            <rFont val="Tahoma"/>
            <family val="2"/>
          </rPr>
          <t xml:space="preserve">
Ganti klo ada outlook baru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Wisnu Murti Herman Saputro</author>
  </authors>
  <commentList>
    <comment ref="B15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ROM Stock Upd EoM Survey</t>
        </r>
      </text>
    </comment>
    <comment ref="B16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FC Stock Upd Survey
</t>
        </r>
      </text>
    </comment>
    <comment ref="B16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ROM Stock Upd Survey</t>
        </r>
      </text>
    </comment>
    <comment ref="B16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ROM Stock Upd Survey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Wisnu Murti Herman Saputro</author>
  </authors>
  <commentList>
    <comment ref="B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Update bulanan</t>
        </r>
      </text>
    </comment>
    <comment ref="B1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Update bulanan</t>
        </r>
      </text>
    </comment>
    <comment ref="B1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Wisnu Murti Herman Saputro:</t>
        </r>
        <r>
          <rPr>
            <sz val="9"/>
            <color indexed="81"/>
            <rFont val="Tahoma"/>
            <family val="2"/>
          </rPr>
          <t xml:space="preserve">
Update bulanan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SEVIANA DWI HUSNITA</author>
  </authors>
  <commentList>
    <comment ref="ABQ1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SEVIANA DWI HUSNITA:</t>
        </r>
        <r>
          <rPr>
            <sz val="9"/>
            <color indexed="81"/>
            <rFont val="Tahoma"/>
            <family val="2"/>
          </rPr>
          <t xml:space="preserve">
1st Vessel</t>
        </r>
      </text>
    </comment>
    <comment ref="ABV1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SEVIANA DWI HUSNITA:</t>
        </r>
        <r>
          <rPr>
            <sz val="9"/>
            <color indexed="81"/>
            <rFont val="Tahoma"/>
            <family val="2"/>
          </rPr>
          <t xml:space="preserve">
2nd Vessel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PT. Trubaindo Coal Mining</author>
    <author>nurul_f</author>
  </authors>
  <commentList>
    <comment ref="AG36" authorId="0" shapeId="0" xr:uid="{00000000-0006-0000-0800-000001000000}">
      <text>
        <r>
          <rPr>
            <b/>
            <sz val="10"/>
            <color indexed="12"/>
            <rFont val="Tahoma"/>
            <family val="2"/>
          </rPr>
          <t>Correction by Moisture (15%)</t>
        </r>
      </text>
    </comment>
    <comment ref="AH36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nurul_f: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Correction Moisture 16 %</t>
        </r>
      </text>
    </comment>
    <comment ref="AI36" authorId="0" shapeId="0" xr:uid="{00000000-0006-0000-0800-000003000000}">
      <text>
        <r>
          <rPr>
            <b/>
            <sz val="10"/>
            <color indexed="12"/>
            <rFont val="Tahoma"/>
            <family val="2"/>
          </rPr>
          <t>Correction by Moisture (17%)</t>
        </r>
      </text>
    </comment>
  </commentList>
</comments>
</file>

<file path=xl/sharedStrings.xml><?xml version="1.0" encoding="utf-8"?>
<sst xmlns="http://schemas.openxmlformats.org/spreadsheetml/2006/main" count="2849" uniqueCount="619">
  <si>
    <t xml:space="preserve"> </t>
  </si>
  <si>
    <t>Yearly</t>
  </si>
  <si>
    <t>Actual</t>
  </si>
  <si>
    <t>OB</t>
  </si>
  <si>
    <t>OB PIT 1</t>
  </si>
  <si>
    <t>Date</t>
  </si>
  <si>
    <t>MTD</t>
  </si>
  <si>
    <t>Total Month</t>
  </si>
  <si>
    <t>Total Year to Date</t>
  </si>
  <si>
    <t>ROM</t>
  </si>
  <si>
    <t>FC</t>
  </si>
  <si>
    <t>ROM PIT 1</t>
  </si>
  <si>
    <t>Plan</t>
  </si>
  <si>
    <t>% Diff</t>
  </si>
  <si>
    <t>Outlook</t>
  </si>
  <si>
    <t>Budget</t>
  </si>
  <si>
    <t>Loading</t>
  </si>
  <si>
    <r>
      <rPr>
        <b/>
        <sz val="12"/>
        <color theme="1"/>
        <rFont val="Calibri"/>
        <family val="2"/>
        <scheme val="minor"/>
      </rPr>
      <t>OB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(BCM)</t>
    </r>
  </si>
  <si>
    <r>
      <rPr>
        <b/>
        <sz val="12"/>
        <color theme="1"/>
        <rFont val="Calibri"/>
        <family val="2"/>
        <scheme val="minor"/>
      </rPr>
      <t>ROM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(TON)</t>
    </r>
  </si>
  <si>
    <t>Monthly</t>
  </si>
  <si>
    <r>
      <rPr>
        <b/>
        <sz val="12"/>
        <color theme="1"/>
        <rFont val="Calibri"/>
        <family val="2"/>
        <scheme val="minor"/>
      </rPr>
      <t>SR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(BCM/TON)</t>
    </r>
  </si>
  <si>
    <r>
      <rPr>
        <b/>
        <sz val="12"/>
        <color theme="1"/>
        <rFont val="Calibri"/>
        <family val="2"/>
        <scheme val="minor"/>
      </rPr>
      <t>Outpit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(BCM)</t>
    </r>
  </si>
  <si>
    <r>
      <rPr>
        <b/>
        <sz val="12"/>
        <color theme="1"/>
        <rFont val="Calibri"/>
        <family val="2"/>
        <scheme val="minor"/>
      </rPr>
      <t>FC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(TON)</t>
    </r>
  </si>
  <si>
    <r>
      <rPr>
        <b/>
        <sz val="12"/>
        <color theme="1"/>
        <rFont val="Calibri"/>
        <family val="2"/>
        <scheme val="minor"/>
      </rPr>
      <t>FC LOAD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(TON)</t>
    </r>
  </si>
  <si>
    <t>Coal Loading</t>
  </si>
  <si>
    <r>
      <rPr>
        <b/>
        <sz val="12"/>
        <color theme="1"/>
        <rFont val="Calibri"/>
        <family val="2"/>
        <scheme val="minor"/>
      </rPr>
      <t>ROM STOCK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(TON)</t>
    </r>
  </si>
  <si>
    <t>Road to Bonus Q1</t>
  </si>
  <si>
    <r>
      <rPr>
        <b/>
        <sz val="12"/>
        <color theme="1"/>
        <rFont val="Calibri"/>
        <family val="2"/>
        <scheme val="minor"/>
      </rPr>
      <t>FC STOCK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(TON)</t>
    </r>
  </si>
  <si>
    <t>ROM Prod</t>
  </si>
  <si>
    <r>
      <rPr>
        <b/>
        <sz val="12"/>
        <color theme="1"/>
        <rFont val="Calibri"/>
        <family val="2"/>
        <scheme val="minor"/>
      </rPr>
      <t>OB DISTANCE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(KM)</t>
    </r>
  </si>
  <si>
    <r>
      <rPr>
        <b/>
        <sz val="12"/>
        <color theme="1"/>
        <rFont val="Calibri"/>
        <family val="2"/>
        <scheme val="minor"/>
      </rPr>
      <t>ROM DISTANCE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(KM)</t>
    </r>
  </si>
  <si>
    <t>FC Production</t>
  </si>
  <si>
    <t>WEATHER</t>
  </si>
  <si>
    <r>
      <rPr>
        <b/>
        <sz val="12"/>
        <color theme="1"/>
        <rFont val="Calibri"/>
        <family val="2"/>
        <scheme val="minor"/>
      </rPr>
      <t>Rainfall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(mm)</t>
    </r>
  </si>
  <si>
    <r>
      <rPr>
        <b/>
        <sz val="12"/>
        <color theme="1"/>
        <rFont val="Calibri"/>
        <family val="2"/>
        <scheme val="minor"/>
      </rPr>
      <t>Rain Duration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(hrs)</t>
    </r>
  </si>
  <si>
    <r>
      <rPr>
        <b/>
        <sz val="12"/>
        <color theme="1"/>
        <rFont val="Calibri"/>
        <family val="2"/>
        <scheme val="minor"/>
      </rPr>
      <t>Slippery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(hrs)</t>
    </r>
  </si>
  <si>
    <t>Weather</t>
  </si>
  <si>
    <t xml:space="preserve"> Contractor Performance</t>
  </si>
  <si>
    <t>OB REMOVAL</t>
  </si>
  <si>
    <t>COAL GETTING</t>
  </si>
  <si>
    <t>Main Equipment Performance</t>
  </si>
  <si>
    <t>Number,PA, UA, Productivity</t>
  </si>
  <si>
    <t>Support Equipment Performance</t>
  </si>
  <si>
    <t>Lack of Operator</t>
  </si>
  <si>
    <t>Sliding</t>
  </si>
  <si>
    <t>Long Distance</t>
  </si>
  <si>
    <t>Today</t>
  </si>
  <si>
    <t>Achievement</t>
  </si>
  <si>
    <t>% Progress</t>
  </si>
  <si>
    <t>Blockade</t>
  </si>
  <si>
    <t xml:space="preserve">Working area </t>
  </si>
  <si>
    <t>Road Condition</t>
  </si>
  <si>
    <t>Crowded</t>
  </si>
  <si>
    <t>hauling Road Condition</t>
  </si>
  <si>
    <t>- Idle activity in Pit by rain &amp; slippery from 6:00 AM till 1:00 PM &amp; from 12:15 AM till 2:00 AM</t>
  </si>
  <si>
    <t>- Idle activity in hauling road by rain &amp; slippery from 6:00 AM till 1:00 PM &amp; from 12:15 AM till 2:00 AM</t>
  </si>
  <si>
    <t>-SLS coal winning data has been updated</t>
  </si>
  <si>
    <t xml:space="preserve">                                                                                                                                            </t>
  </si>
  <si>
    <t>Remark</t>
  </si>
  <si>
    <r>
      <t xml:space="preserve">- No barging activity, waiting for the update loading plan and a rise in the WL downstream. </t>
    </r>
    <r>
      <rPr>
        <b/>
        <sz val="11"/>
        <color theme="1"/>
        <rFont val="Calibri"/>
        <family val="2"/>
        <scheme val="minor"/>
      </rPr>
      <t xml:space="preserve"> </t>
    </r>
  </si>
  <si>
    <t>- No coal hauling &amp; crushing activity due to full stock in ROM - PSY area</t>
  </si>
  <si>
    <r>
      <t xml:space="preserve">- Water level Port </t>
    </r>
    <r>
      <rPr>
        <b/>
        <i/>
        <sz val="11"/>
        <color theme="1"/>
        <rFont val="Calibri"/>
        <family val="2"/>
        <scheme val="minor"/>
      </rPr>
      <t>4.90m</t>
    </r>
  </si>
  <si>
    <t xml:space="preserve">ROM Stock </t>
  </si>
  <si>
    <t>Quantity (KTon)</t>
  </si>
  <si>
    <t>Quality</t>
  </si>
  <si>
    <t>CV (gar)</t>
  </si>
  <si>
    <t>Sulfur (adb)</t>
  </si>
  <si>
    <t>Ash (adb)</t>
  </si>
  <si>
    <t>TM (%)</t>
  </si>
  <si>
    <t>ROM 1 GRA</t>
  </si>
  <si>
    <t>ROM 1 TUK</t>
  </si>
  <si>
    <t xml:space="preserve">ROM 2 </t>
  </si>
  <si>
    <t>TOTAL</t>
  </si>
  <si>
    <t xml:space="preserve">FC Stock </t>
  </si>
  <si>
    <t>FC Low Ash</t>
  </si>
  <si>
    <t>FC High Ash</t>
  </si>
  <si>
    <t>Yesterday</t>
  </si>
  <si>
    <t>Quarterly 3</t>
  </si>
  <si>
    <t xml:space="preserve">YTD </t>
  </si>
  <si>
    <t>Total Year</t>
  </si>
  <si>
    <t>07-Sep-26</t>
  </si>
  <si>
    <t>%Diff</t>
  </si>
  <si>
    <t>Act + Outlook</t>
  </si>
  <si>
    <t>Road to 2 Mil</t>
  </si>
  <si>
    <t>BCM</t>
  </si>
  <si>
    <t>Ton</t>
  </si>
  <si>
    <t>days</t>
  </si>
  <si>
    <t>SR</t>
  </si>
  <si>
    <t>BCM/Ton</t>
  </si>
  <si>
    <t>Outpit</t>
  </si>
  <si>
    <t>ROM Stock</t>
  </si>
  <si>
    <t>FC LOAD</t>
  </si>
  <si>
    <t>barge</t>
  </si>
  <si>
    <t>FC Stock</t>
  </si>
  <si>
    <t>Uncovered Coal</t>
  </si>
  <si>
    <t>OB Distance</t>
  </si>
  <si>
    <t>KM</t>
  </si>
  <si>
    <t>ROM Distance</t>
  </si>
  <si>
    <t>Rain fall</t>
  </si>
  <si>
    <t>mm.</t>
  </si>
  <si>
    <t>Rain fall Duration</t>
  </si>
  <si>
    <t>hr.</t>
  </si>
  <si>
    <t>Slippery time</t>
  </si>
  <si>
    <t>JBG Fuel stock</t>
  </si>
  <si>
    <t>Liter</t>
  </si>
  <si>
    <t xml:space="preserve">  </t>
  </si>
  <si>
    <t>OB TJP</t>
  </si>
  <si>
    <t>OB SNS</t>
  </si>
  <si>
    <t>ROM TJP</t>
  </si>
  <si>
    <t>ROM SNS</t>
  </si>
  <si>
    <t>ROM Production</t>
  </si>
  <si>
    <t>Rainfall (mm)</t>
  </si>
  <si>
    <t>Rainfall (hr)</t>
  </si>
  <si>
    <t>Unit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</si>
  <si>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</si>
  <si>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</si>
  <si>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</si>
  <si>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</si>
  <si>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</si>
  <si>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</si>
  <si>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</si>
  <si>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</si>
  <si>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</si>
  <si>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</si>
  <si>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</si>
  <si>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</si>
  <si>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Total</t>
  </si>
  <si>
    <t>Tons</t>
  </si>
  <si>
    <t>hrs.</t>
  </si>
  <si>
    <t>GPK Fuel stock</t>
  </si>
  <si>
    <t>Liters</t>
  </si>
  <si>
    <t xml:space="preserve">Remark! </t>
  </si>
  <si>
    <t>Data actual rainfall 2013 - 2023</t>
  </si>
  <si>
    <t>unit : mm.</t>
  </si>
  <si>
    <t>Note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</si>
  <si>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</si>
  <si>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</si>
  <si>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</si>
  <si>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</si>
  <si>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</si>
  <si>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</si>
  <si>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</si>
  <si>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</si>
  <si>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</si>
  <si>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</si>
  <si>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</si>
  <si>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</si>
  <si>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BEK/Biangan</t>
  </si>
  <si>
    <t>(1-6) BEK/Biangan &amp; (7-12)TCM PJPN</t>
  </si>
  <si>
    <t>TCM/PJPN</t>
  </si>
  <si>
    <t>GPK (Jan-Dec)</t>
  </si>
  <si>
    <t>TCM/PJPN (Jan-Apr), GPK Port (May - Aug), GPK Pit (Sept), Outlook (Oct-Dec)</t>
  </si>
  <si>
    <t>Average</t>
  </si>
  <si>
    <t>Max</t>
  </si>
  <si>
    <t>Min</t>
  </si>
  <si>
    <t>1.OB Actual Sep'26</t>
  </si>
  <si>
    <t>Total day ---&gt;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</si>
  <si>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</si>
  <si>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</si>
  <si>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</si>
  <si>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</si>
  <si>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</si>
  <si>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</si>
  <si>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</si>
  <si>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</si>
  <si>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</si>
  <si>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</si>
  <si>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</si>
  <si>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</si>
  <si>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</si>
  <si>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</si>
  <si>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</si>
  <si>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</si>
  <si>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</si>
  <si>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</si>
  <si>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</si>
  <si>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</si>
  <si>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</si>
  <si>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</si>
  <si>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</si>
  <si>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</si>
  <si>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</si>
  <si>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</si>
  <si>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</si>
  <si>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</si>
  <si>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</si>
  <si>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</si>
  <si>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</si>
  <si>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by Pit</t>
  </si>
  <si>
    <t>EOP by clasification</t>
  </si>
  <si>
    <t>ARKA</t>
  </si>
  <si>
    <t>PIT 1 
(Source)</t>
  </si>
  <si>
    <t>PAF(BCM)</t>
  </si>
  <si>
    <t>NAF(BCM)</t>
  </si>
  <si>
    <t>MUD (BCM)</t>
  </si>
  <si>
    <t>HAC (BCM)</t>
  </si>
  <si>
    <t>Top Soil (BCM)</t>
  </si>
  <si>
    <t>Total by day</t>
  </si>
  <si>
    <t>OUTPIT 
(Source)</t>
  </si>
  <si>
    <t>In-Pit Dump</t>
  </si>
  <si>
    <t>Out-Pit Dump</t>
  </si>
  <si>
    <t>Outpit (BCM)</t>
  </si>
  <si>
    <t>OB katal - katal</t>
  </si>
  <si>
    <t>Total by Clasification</t>
  </si>
  <si>
    <t>Pit to rom1</t>
  </si>
  <si>
    <t>Pit to rom2</t>
  </si>
  <si>
    <t>Total by Seam</t>
  </si>
  <si>
    <t>EOP by seam</t>
  </si>
  <si>
    <t>GRA1</t>
  </si>
  <si>
    <t>GRA</t>
  </si>
  <si>
    <t>TUK</t>
  </si>
  <si>
    <t>PIT 1</t>
  </si>
  <si>
    <t>Crushed</t>
  </si>
  <si>
    <t>ROM 1</t>
  </si>
  <si>
    <t>ROM 2</t>
  </si>
  <si>
    <t>HAC</t>
  </si>
  <si>
    <t>SLS</t>
  </si>
  <si>
    <t>IWJ</t>
  </si>
  <si>
    <t>SUB TOTAL GRA1</t>
  </si>
  <si>
    <t>SUB TOTAL GRA</t>
  </si>
  <si>
    <t>SUB TOTAL TUK</t>
  </si>
  <si>
    <t>Direct to Crushed</t>
  </si>
  <si>
    <t>EOP ROM</t>
  </si>
  <si>
    <t>ROM1</t>
  </si>
  <si>
    <t>ROM2</t>
  </si>
  <si>
    <t>Coal</t>
  </si>
  <si>
    <t>Total by Contractor</t>
  </si>
  <si>
    <t xml:space="preserve">Total </t>
  </si>
  <si>
    <t>Shift 1</t>
  </si>
  <si>
    <t>Shift 2</t>
  </si>
  <si>
    <t>Pit….</t>
  </si>
  <si>
    <t>Pit…</t>
  </si>
  <si>
    <t>Sub Total</t>
  </si>
  <si>
    <t>Total STS</t>
  </si>
  <si>
    <t xml:space="preserve">EOP </t>
  </si>
  <si>
    <t>Rom Production</t>
  </si>
  <si>
    <t>ROM to Stock</t>
  </si>
  <si>
    <t>Crushed Coal</t>
  </si>
  <si>
    <t>PIT Direct Crushed</t>
  </si>
  <si>
    <t>ROM 1 Re-Handling</t>
  </si>
  <si>
    <t>Barge loading</t>
  </si>
  <si>
    <t>Uncovered coal</t>
  </si>
  <si>
    <t xml:space="preserve">ROM 1 Production </t>
  </si>
  <si>
    <t xml:space="preserve">ROM 2 Production </t>
  </si>
  <si>
    <t>ROM 1 Stock</t>
  </si>
  <si>
    <t xml:space="preserve">ROM 2 Stock </t>
  </si>
  <si>
    <t>ROM 2 Re-Handling</t>
  </si>
  <si>
    <t>ROM 2 to ROM 1</t>
  </si>
  <si>
    <t>Location</t>
  </si>
  <si>
    <t>Total by Location</t>
  </si>
  <si>
    <t>Eastean Area</t>
  </si>
  <si>
    <t>Port</t>
  </si>
  <si>
    <t xml:space="preserve">Rainfall </t>
  </si>
  <si>
    <t xml:space="preserve">Rainfall Duration </t>
  </si>
  <si>
    <t xml:space="preserve">Slippery </t>
  </si>
  <si>
    <t>Customer</t>
  </si>
  <si>
    <t>Total by Customer</t>
  </si>
  <si>
    <t>CHINA</t>
  </si>
  <si>
    <t>GUNDBUSTER</t>
  </si>
  <si>
    <t>XINDIAN</t>
  </si>
  <si>
    <t>SHENHUA</t>
  </si>
  <si>
    <t>ADANI</t>
  </si>
  <si>
    <t>BNJ</t>
  </si>
  <si>
    <t>PLN</t>
  </si>
  <si>
    <t>ZHEJIANG</t>
  </si>
  <si>
    <t>OSS</t>
  </si>
  <si>
    <t>TJ JATI -IMM</t>
  </si>
  <si>
    <t>TJ JATI -BEK</t>
  </si>
  <si>
    <t>TRAFIGURA</t>
  </si>
  <si>
    <t>Thailand</t>
  </si>
  <si>
    <t>Accumulate dist</t>
  </si>
  <si>
    <t>Distance OB</t>
  </si>
  <si>
    <t>Distance Coal</t>
  </si>
  <si>
    <t>Equipment</t>
  </si>
  <si>
    <t>Shift 1 (06:00-18:00)</t>
  </si>
  <si>
    <t>Shift 2 (18:00-06:00)</t>
  </si>
  <si>
    <t>DT IWJ</t>
  </si>
  <si>
    <t>DT SLS</t>
  </si>
  <si>
    <t>DT ARKA</t>
  </si>
  <si>
    <t>EXC COAL</t>
  </si>
  <si>
    <t>Rom Production (Ton)</t>
  </si>
  <si>
    <t>Rom Prod MtD (Ton)</t>
  </si>
  <si>
    <t xml:space="preserve">Exc. OB </t>
  </si>
  <si>
    <t xml:space="preserve">DT OB </t>
  </si>
  <si>
    <t>ADT OB</t>
  </si>
  <si>
    <t>OHT OB</t>
  </si>
  <si>
    <t xml:space="preserve">Exc. Coal </t>
  </si>
  <si>
    <t xml:space="preserve">DT Coal </t>
  </si>
  <si>
    <t>Dozer</t>
  </si>
  <si>
    <t>Gradder</t>
  </si>
  <si>
    <t>Compactor</t>
  </si>
  <si>
    <t>W.Truck</t>
  </si>
  <si>
    <t>Exc.OB</t>
  </si>
  <si>
    <t>shift 1</t>
  </si>
  <si>
    <t>shift 2</t>
  </si>
  <si>
    <t>01-Sep-26</t>
  </si>
  <si>
    <t>02-Sep-26</t>
  </si>
  <si>
    <t>03-Sep-26</t>
  </si>
  <si>
    <t>04-Sep-26</t>
  </si>
  <si>
    <t>05-Sep-26</t>
  </si>
  <si>
    <t>06-Sep-26</t>
  </si>
  <si>
    <t>08-Sep-26</t>
  </si>
  <si>
    <t>09-Sep-26</t>
  </si>
  <si>
    <t>10-Sep-26</t>
  </si>
  <si>
    <t>11-Sep-26</t>
  </si>
  <si>
    <t>12-Sep-26</t>
  </si>
  <si>
    <t>13-Sep-26</t>
  </si>
  <si>
    <t>14-Sep-26</t>
  </si>
  <si>
    <t>15-Sep-26</t>
  </si>
  <si>
    <t>16-Sep-26</t>
  </si>
  <si>
    <t>17-Sep-26</t>
  </si>
  <si>
    <t>18-Sep-26</t>
  </si>
  <si>
    <t>19-Sep-26</t>
  </si>
  <si>
    <t>20-Sep-26</t>
  </si>
  <si>
    <t>21-Sep-26</t>
  </si>
  <si>
    <t>22-Sep-26</t>
  </si>
  <si>
    <t>23-Sep-26</t>
  </si>
  <si>
    <t>24-Sep-26</t>
  </si>
  <si>
    <t>25-Sep-26</t>
  </si>
  <si>
    <t>26-Sep-26</t>
  </si>
  <si>
    <t>27-Sep-26</t>
  </si>
  <si>
    <t>28-Sep-26</t>
  </si>
  <si>
    <t>29-Sep-26</t>
  </si>
  <si>
    <t>30-Sep-26</t>
  </si>
  <si>
    <t>31-Sep-26</t>
  </si>
  <si>
    <t>Avg.</t>
  </si>
  <si>
    <t>Rom Prod to Achv Outlook / day</t>
  </si>
  <si>
    <t>Plan Equipment</t>
  </si>
  <si>
    <t>Pit 1</t>
  </si>
  <si>
    <t>OB Production</t>
  </si>
  <si>
    <t>Plan OB</t>
  </si>
  <si>
    <t>% OB Achievement</t>
  </si>
  <si>
    <t>Plan ROM</t>
  </si>
  <si>
    <t>% ROM Achievement</t>
  </si>
  <si>
    <t>ROM stock</t>
  </si>
  <si>
    <t>Crushed coal</t>
  </si>
  <si>
    <t>% FC Prod. Achievement</t>
  </si>
  <si>
    <t>F/C stock</t>
  </si>
  <si>
    <t>OB Working Hour</t>
  </si>
  <si>
    <t>ROM Working Hour</t>
  </si>
  <si>
    <t xml:space="preserve">Rain Duration </t>
  </si>
  <si>
    <t>Pit UEW</t>
  </si>
  <si>
    <t>Duration Time</t>
  </si>
  <si>
    <t>Slippery Time</t>
  </si>
  <si>
    <t>ITEM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</si>
  <si>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</si>
  <si>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</si>
  <si>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</si>
  <si>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</si>
  <si>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</si>
  <si>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</si>
  <si>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</si>
  <si>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</si>
  <si>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</si>
  <si>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</si>
  <si>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Stock FC</t>
  </si>
  <si>
    <t>Production FC</t>
  </si>
  <si>
    <t>Direct from pit</t>
  </si>
  <si>
    <t>ROM rehandling</t>
  </si>
  <si>
    <t>Plan&amp;Outlook Loading</t>
  </si>
  <si>
    <t>Load Actual</t>
  </si>
  <si>
    <t xml:space="preserve">Plan&amp;Outlook Philippine </t>
  </si>
  <si>
    <t xml:space="preserve">Load Actual Philippine </t>
  </si>
  <si>
    <t>Plan&amp;Outlook Glow</t>
  </si>
  <si>
    <t>Load Actual Glow</t>
  </si>
  <si>
    <t>Plan&amp;Outlook BoCT</t>
  </si>
  <si>
    <t>-</t>
  </si>
  <si>
    <t>Load Actual BoCT</t>
  </si>
  <si>
    <t>Plan&amp;Outlook Muara Berau</t>
  </si>
  <si>
    <t>Load Actual Muara Berau</t>
  </si>
  <si>
    <t>Plan &amp; Outlook SMI</t>
  </si>
  <si>
    <t>Load Actual SMI</t>
  </si>
  <si>
    <t>Plan &amp; Outlook Shenhua</t>
  </si>
  <si>
    <t>Load Actual Shenhua</t>
  </si>
  <si>
    <t>Avg. FC prod</t>
  </si>
  <si>
    <t>FC Prod Plan</t>
  </si>
  <si>
    <t>PLAN OB</t>
  </si>
  <si>
    <t>PLAN ROM</t>
  </si>
  <si>
    <t>TUNNEL</t>
  </si>
  <si>
    <t>TM (arb)</t>
  </si>
  <si>
    <t>IM (adb)</t>
  </si>
  <si>
    <t>CV (adb)</t>
  </si>
  <si>
    <t>Sampling Date</t>
  </si>
  <si>
    <t>GPK LCV-LS</t>
  </si>
  <si>
    <t>GPK LCV-HS</t>
  </si>
  <si>
    <t xml:space="preserve">stock </t>
  </si>
  <si>
    <t>Sampling Date Up To</t>
  </si>
  <si>
    <t xml:space="preserve">    CV    (ADB)</t>
  </si>
  <si>
    <t xml:space="preserve">    CV    &gt; 3700 (GAR)</t>
  </si>
  <si>
    <t xml:space="preserve">    Sul   &lt; 0.20 (ADB</t>
  </si>
  <si>
    <t xml:space="preserve">    ASH  &lt; 8% (ADB)</t>
  </si>
  <si>
    <t xml:space="preserve">    Tm    &lt; 40% (GAR)</t>
  </si>
  <si>
    <t xml:space="preserve">    Im %</t>
  </si>
  <si>
    <t xml:space="preserve">    Vm %</t>
  </si>
  <si>
    <t xml:space="preserve">MTD </t>
  </si>
  <si>
    <t>FC Prodution</t>
  </si>
  <si>
    <t xml:space="preserve">ROM Production </t>
  </si>
  <si>
    <t>ROM 1 GRA1</t>
  </si>
  <si>
    <t>Direct GRA1</t>
  </si>
  <si>
    <t>outlook</t>
  </si>
  <si>
    <t>Direct GRA</t>
  </si>
  <si>
    <t>Direct TUK</t>
  </si>
  <si>
    <t>High Ash Coal</t>
  </si>
  <si>
    <t>GRA - PIT (Ton)</t>
  </si>
  <si>
    <t>GRA - PSY (Ton)</t>
  </si>
  <si>
    <t>GRA Rehandling ROM 1 (Ton)</t>
  </si>
  <si>
    <t>TUK-PIT (Ton)</t>
  </si>
  <si>
    <t>TUK-FSY (Ton)</t>
  </si>
  <si>
    <t>TUK Rehandling ROM 1 (Ton)</t>
  </si>
  <si>
    <t>TUK Rehandling ROM 2 (Ton)</t>
  </si>
  <si>
    <t>GRA-1 Rehandling ROM 1 (Ton)</t>
  </si>
  <si>
    <t>GRA-1 Rehandling ROM 2 (Ton)</t>
  </si>
  <si>
    <t>GRA-1 Direct PIT (Ton)</t>
  </si>
  <si>
    <t>GRA-1 FSY (Ton)</t>
  </si>
  <si>
    <t>TUK Sub Crop Rehandling ROM 1 (Ton)</t>
  </si>
  <si>
    <t>TUK Sub Crop (Ton) FSY</t>
  </si>
  <si>
    <t>TM</t>
  </si>
  <si>
    <t>M</t>
  </si>
  <si>
    <t>ASH</t>
  </si>
  <si>
    <t>VM</t>
  </si>
  <si>
    <t>TS</t>
  </si>
  <si>
    <t>CV (Kcal/Kg)</t>
  </si>
  <si>
    <t>%arb</t>
  </si>
  <si>
    <t>%adb</t>
  </si>
  <si>
    <t>%db</t>
  </si>
  <si>
    <t>%daf</t>
  </si>
  <si>
    <t>%ad(15)</t>
  </si>
  <si>
    <t>%ad(16)</t>
  </si>
  <si>
    <t>%ad(17)</t>
  </si>
  <si>
    <t>CP.063/25</t>
  </si>
  <si>
    <t>Monthly ROM Prod. 2024</t>
  </si>
  <si>
    <t>Mine</t>
  </si>
  <si>
    <t>Target (Outlook Jan 24)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</si>
  <si>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</si>
  <si>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</si>
  <si>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</si>
  <si>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</si>
  <si>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</si>
  <si>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</si>
  <si>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</si>
  <si>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</si>
  <si>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</si>
  <si>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</si>
  <si>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Sub  Sub Total</t>
  </si>
  <si>
    <t>GPK</t>
  </si>
  <si>
    <t>ROM Prod. removal TDS</t>
  </si>
  <si>
    <t>ROM Prod. TDS</t>
  </si>
  <si>
    <t>m</t>
  </si>
  <si>
    <t>ROM Prod (2024)</t>
  </si>
  <si>
    <t>ROM Prod. Site (2024)</t>
  </si>
  <si>
    <t>ROM production SDCS</t>
  </si>
  <si>
    <t>ROM Prod. removal Prod Plan</t>
  </si>
  <si>
    <t>KTon</t>
  </si>
  <si>
    <t>ROM production Prod Plan</t>
  </si>
  <si>
    <t>ROM Prod. production</t>
  </si>
  <si>
    <t>SR (ROM Prod.:ROM)</t>
  </si>
  <si>
    <t>Ton/Ton</t>
  </si>
  <si>
    <t>SR (ROM Prod.:ROM Prod.)</t>
  </si>
  <si>
    <t>Product type</t>
  </si>
  <si>
    <t>Rawrecmass</t>
  </si>
  <si>
    <t>CV (ADB)</t>
  </si>
  <si>
    <t xml:space="preserve">Kcal/kg </t>
  </si>
  <si>
    <t>CV (GAR)</t>
  </si>
  <si>
    <t>%</t>
  </si>
  <si>
    <t>Ash</t>
  </si>
  <si>
    <t>IM</t>
  </si>
  <si>
    <t>Moist</t>
  </si>
  <si>
    <t>GPK ROM Prod.</t>
  </si>
  <si>
    <t>ROM Prod.</t>
  </si>
  <si>
    <t>GPK ROM Prod. Jan</t>
  </si>
  <si>
    <t>GPK ROM Prod. Feb</t>
  </si>
  <si>
    <t>GPK ROM Prod. Mar</t>
  </si>
  <si>
    <t>GPK ROM Prod. April</t>
  </si>
  <si>
    <t>GPK ROM Prod. Mei</t>
  </si>
  <si>
    <t>GPK ROM Prod. Juni</t>
  </si>
  <si>
    <t>GPK ROM Prod. Juli</t>
  </si>
  <si>
    <t>GPK ROM Prod. Agustus</t>
  </si>
  <si>
    <t>GPK ROM Prod. September</t>
  </si>
  <si>
    <t>GPK ROM Prod. Oktober</t>
  </si>
  <si>
    <t>GPK ROM Prod. November</t>
  </si>
  <si>
    <t>GPK ROM Prod. Desember</t>
  </si>
  <si>
    <t>gra1</t>
  </si>
  <si>
    <t>gra</t>
  </si>
  <si>
    <t>tuk</t>
  </si>
  <si>
    <t>Oct'24</t>
  </si>
  <si>
    <t>date</t>
  </si>
  <si>
    <t>Total Per day</t>
  </si>
  <si>
    <t xml:space="preserve">ROM 1 </t>
  </si>
  <si>
    <t>GRA1 D</t>
  </si>
  <si>
    <t>GRA1 E</t>
  </si>
  <si>
    <t>GRA1 F</t>
  </si>
  <si>
    <t>GRA1 G</t>
  </si>
  <si>
    <t>GRA1 H</t>
  </si>
  <si>
    <t>GRA E</t>
  </si>
  <si>
    <t xml:space="preserve">    CV    &lt; (AD)</t>
  </si>
  <si>
    <t>GRA F</t>
  </si>
  <si>
    <t xml:space="preserve">    CV    &lt; 3850 (GAR)</t>
  </si>
  <si>
    <t>GRA G</t>
  </si>
  <si>
    <t xml:space="preserve">    Sul    &lt; 0.15</t>
  </si>
  <si>
    <t>GRA H</t>
  </si>
  <si>
    <t xml:space="preserve">    ASH  &lt; 5%</t>
  </si>
  <si>
    <t>TUK C</t>
  </si>
  <si>
    <t xml:space="preserve">    Tm    &lt; 40 %</t>
  </si>
  <si>
    <t>TUK D</t>
  </si>
  <si>
    <t>TUK E</t>
  </si>
  <si>
    <t>TUK F</t>
  </si>
  <si>
    <t>TUK G</t>
  </si>
  <si>
    <t>Outlook Production 2026</t>
  </si>
  <si>
    <t>EOP 2025</t>
  </si>
  <si>
    <t>ROM Rehandling</t>
  </si>
  <si>
    <t>ROM Direct Crushing</t>
  </si>
  <si>
    <t>Cilacap</t>
  </si>
  <si>
    <t>barge (n)</t>
  </si>
  <si>
    <t>Philippine</t>
  </si>
  <si>
    <t>Shipment (n)</t>
  </si>
  <si>
    <t>China</t>
  </si>
  <si>
    <t>Other</t>
  </si>
  <si>
    <t>Stock  FC GRA</t>
  </si>
  <si>
    <t>Stock  FC GRA (Day -1)</t>
  </si>
  <si>
    <t>Rehandling ROM 1 GRA</t>
  </si>
  <si>
    <t>PIT - CCP SEAM GRA</t>
  </si>
  <si>
    <t>Stock  FC TUK</t>
  </si>
  <si>
    <t>Stock  FC TUK (Day -1)</t>
  </si>
  <si>
    <t>Rehandling ROM 1 TUK</t>
  </si>
  <si>
    <t>PIT - CCP SEAM TUK</t>
  </si>
  <si>
    <t>Stock  FC high ash</t>
  </si>
  <si>
    <t>Stock  FC high ash (Day -1)</t>
  </si>
  <si>
    <t>Rehandling ROM 2 GRA1</t>
  </si>
  <si>
    <t>PIT - CCP SEAM GRA1</t>
  </si>
  <si>
    <t>Rehandling ROM 2 TUK</t>
  </si>
  <si>
    <t>Rehandling ROM 1 GRA1</t>
  </si>
  <si>
    <t xml:space="preserve">Quantity </t>
  </si>
  <si>
    <t>FC Loading</t>
  </si>
  <si>
    <t>Total TUK</t>
  </si>
  <si>
    <t>Total GRA</t>
  </si>
  <si>
    <t>FC GRA</t>
  </si>
  <si>
    <t>Update Week 2 August</t>
  </si>
  <si>
    <t>FC TUK</t>
  </si>
  <si>
    <t>FC H-ASH</t>
  </si>
  <si>
    <t>Stock ROM 1 GRA</t>
  </si>
  <si>
    <t>Stock ROM 1 GRA (day -1)</t>
  </si>
  <si>
    <t>PIT - ROM 1 SEAM GRA</t>
  </si>
  <si>
    <t>Stock ROM 1 GRA1 (day -1)</t>
  </si>
  <si>
    <t>PIT - Rom 1 SEAM GRA1</t>
  </si>
  <si>
    <t>Stock ROM 1 TUK (day -1)</t>
  </si>
  <si>
    <t>PIT - Rom 1 SEAM TUK</t>
  </si>
  <si>
    <t>Stock ROM 2 GRA</t>
  </si>
  <si>
    <t>Stock ROM 2 GRA (day -1)</t>
  </si>
  <si>
    <t>PIT - ROM 2 SEAM GRA</t>
  </si>
  <si>
    <t>ROM 2 GRA1</t>
  </si>
  <si>
    <t>Stock ROM 2 GRA1 (day -1)</t>
  </si>
  <si>
    <t>PIT - ROM 2 SEAM GRA1</t>
  </si>
  <si>
    <t>ROM 2 TUK</t>
  </si>
  <si>
    <t>Stock ROM 2 TUK (day -1)</t>
  </si>
  <si>
    <t>PIT - Rom 2 SEAM TUK</t>
  </si>
  <si>
    <t>Source (Crushing)
ROM 1-CCP</t>
  </si>
  <si>
    <t>ROM 2-CCP</t>
  </si>
  <si>
    <t xml:space="preserve"> GRA (Ton)</t>
  </si>
  <si>
    <t xml:space="preserve"> GRA-1
(Ton)</t>
  </si>
  <si>
    <t>TUK (Ton)</t>
  </si>
  <si>
    <t xml:space="preserve"> TUK-S (Ton)</t>
  </si>
  <si>
    <t>GRA-1</t>
  </si>
  <si>
    <t>ROM 2 GRA</t>
  </si>
  <si>
    <t>Direct to ROM</t>
  </si>
  <si>
    <t xml:space="preserve">Rom Stock </t>
  </si>
  <si>
    <t xml:space="preserve">    CV    &lt; 3700 (GAR)</t>
  </si>
  <si>
    <t xml:space="preserve">    Sul    &lt; 0.20</t>
  </si>
  <si>
    <t xml:space="preserve">    ASH  &lt; 13%</t>
  </si>
  <si>
    <t>oulook</t>
  </si>
  <si>
    <t xml:space="preserve">Waste Removal is </t>
  </si>
  <si>
    <t>BCM, MTD is</t>
  </si>
  <si>
    <t>BCM, or</t>
  </si>
  <si>
    <t xml:space="preserve">ROM production is </t>
  </si>
  <si>
    <t>Tons MTD is </t>
  </si>
  <si>
    <t xml:space="preserve">Tons, or </t>
  </si>
  <si>
    <t xml:space="preserve">Crushed Coal Production is </t>
  </si>
  <si>
    <t>Tons, MTD is</t>
  </si>
  <si>
    <t>Loading Barge is </t>
  </si>
  <si>
    <t>Tons, MTD is </t>
  </si>
  <si>
    <t>Comment</t>
  </si>
  <si>
    <t>Rain</t>
  </si>
  <si>
    <t>Sun</t>
  </si>
  <si>
    <t xml:space="preserve">Water Level Report </t>
  </si>
  <si>
    <t>GPK PORT</t>
  </si>
  <si>
    <t>No</t>
  </si>
  <si>
    <t>Day</t>
  </si>
  <si>
    <t>Hour</t>
  </si>
  <si>
    <t>Meter</t>
  </si>
  <si>
    <t>High water level tolerance</t>
  </si>
  <si>
    <t>Low water level tolerance</t>
  </si>
  <si>
    <t>Optimum Level for Loading Operation</t>
  </si>
  <si>
    <t>Actual Loading (KTon)</t>
  </si>
  <si>
    <t>R&amp;S Outlook</t>
  </si>
  <si>
    <t>R&amp;S Daily Plan</t>
  </si>
  <si>
    <t>R&amp;S Actual (Pit)</t>
  </si>
  <si>
    <t>R&amp;S Actual (Hauling Road)</t>
  </si>
  <si>
    <t>R&amp;S Actual</t>
  </si>
  <si>
    <t>Coal Act</t>
  </si>
  <si>
    <t>Forecast</t>
  </si>
  <si>
    <t>Coal Actual</t>
  </si>
  <si>
    <t>Coal Outlook</t>
  </si>
  <si>
    <t xml:space="preserve">Avg. Coal Actual </t>
  </si>
  <si>
    <t>Coal Loading Act</t>
  </si>
  <si>
    <t>MAY</t>
  </si>
  <si>
    <t>JUNE</t>
  </si>
  <si>
    <t>Plan&amp;Outlook Cilacap</t>
  </si>
  <si>
    <t>Load Actual Cilacap</t>
  </si>
  <si>
    <t xml:space="preserve">Plan&amp;Outlook SPDC </t>
  </si>
  <si>
    <t xml:space="preserve">Load Actual SPDC </t>
  </si>
  <si>
    <t>Plan Glow</t>
  </si>
  <si>
    <t>Load Actual &amp; Outlook Glow</t>
  </si>
  <si>
    <t>SPDC</t>
  </si>
  <si>
    <t>Grow</t>
  </si>
  <si>
    <t>From Pit to Stock (IN)</t>
  </si>
  <si>
    <t>From Stock to Crusher (OUT)</t>
  </si>
  <si>
    <t>END Stock</t>
  </si>
  <si>
    <t>Stock UCE</t>
  </si>
  <si>
    <t>Stock UCW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</si>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</sst>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\-mmm\-yy;@"/>
    <numFmt numFmtId="168" formatCode="#,##0_ ;[Red]\-#,##0\ "/>
    <numFmt numFmtId="169" formatCode="_-* #,##0_-;\-* #,##0_-;_-* &quot;-&quot;??_-;_-@_-"/>
    <numFmt numFmtId="170" formatCode="_(* #,##0.0_);_(* \(#,##0.0\);_(* &quot;-&quot;??_);_(@_)"/>
    <numFmt numFmtId="171" formatCode="#,##0.0"/>
    <numFmt numFmtId="172" formatCode="0.0"/>
    <numFmt numFmtId="173" formatCode="_(* #,##0_);[Red]_(* \(#,##0\);_(* &quot;-&quot;??_);_(@_)"/>
    <numFmt numFmtId="174" formatCode="0%;[Red]\-0%;_(* &quot;-&quot;??_)"/>
    <numFmt numFmtId="175" formatCode="_-* #,##0.0_-;\-* #,##0.0_-;_-* &quot;-&quot;??_-;_-@_-"/>
    <numFmt numFmtId="176" formatCode="_(* #,##0.00_);_(* \(#,##0.00\);_(* &quot;-&quot;_);_(@_)"/>
    <numFmt numFmtId="177" formatCode="m/d/yy;@"/>
    <numFmt numFmtId="178" formatCode="0.0000000000"/>
    <numFmt numFmtId="179" formatCode="h:mm:ss;@"/>
    <numFmt numFmtId="180" formatCode="&quot;Rp&quot;#,##0"/>
    <numFmt numFmtId="181" formatCode="#,##0_ ;\-#,##0\ "/>
    <numFmt numFmtId="182" formatCode="_-&quot;£&quot;* #,##0.00_-;\-&quot;£&quot;* #,##0.00_-;_-&quot;£&quot;* &quot;-&quot;??_-;_-@_-"/>
    <numFmt numFmtId="183" formatCode="000000"/>
    <numFmt numFmtId="184" formatCode="d\.mmm"/>
    <numFmt numFmtId="185" formatCode="&quot;IR£&quot;#,##0.00;[Red]\-&quot;IR£&quot;#,##0.00"/>
    <numFmt numFmtId="186" formatCode="&quot;IR£&quot;#,##0.00;[Red]&quot;-IR£&quot;#,##0.00"/>
    <numFmt numFmtId="187" formatCode="_(&quot;$&quot;* #,##0.0_);_(&quot;$&quot;* \(#,##0.0\);_(&quot;$&quot;* &quot;-&quot;?_);_(@_)"/>
    <numFmt numFmtId="188" formatCode="_(\$* #,##0.0_);_(\$* \(#,##0.0\);_(\$* \-?_);_(@_)"/>
    <numFmt numFmtId="189" formatCode="&quot;£&quot;#,##0.00;[Red]\-&quot;£&quot;#,##0.00"/>
    <numFmt numFmtId="190" formatCode="_-&quot;£&quot;* #,##0_-;\-&quot;£&quot;* #,##0_-;_-&quot;£&quot;* &quot;-&quot;_-;_-@_-"/>
    <numFmt numFmtId="191" formatCode="#,##0\ &quot;FB&quot;;\-#,##0\ &quot;FB&quot;"/>
    <numFmt numFmtId="192" formatCode="mmmm\ d\,\ yyyy"/>
    <numFmt numFmtId="193" formatCode="0.0000E+00"/>
    <numFmt numFmtId="194" formatCode="[$-409]mmm\-yy;@"/>
    <numFmt numFmtId="195" formatCode="_-* #,##0.0000_-;\-* #,##0.0000_-;_-* &quot;-&quot;??_-;_-@_-"/>
    <numFmt numFmtId="196" formatCode="0.0000000"/>
    <numFmt numFmtId="197" formatCode="[$-F800]dddd\,\ mmmm\ dd\,\ yyyy"/>
    <numFmt numFmtId="198" formatCode="_-* #,##0.000_-;\-* #,##0.000_-;_-* &quot;-&quot;??_-;_-@_-"/>
    <numFmt numFmtId="199" formatCode="[$-409]dd\-mmm\-yy;@"/>
    <numFmt numFmtId="200" formatCode="[$-409]mmmm\ d\,\ yyyy;@"/>
    <numFmt numFmtId="201" formatCode="h:mm;@"/>
    <numFmt numFmtId="202" formatCode="#,##0.0_ ;\-#,##0.0\ "/>
    <numFmt numFmtId="203" formatCode="dd"/>
    <numFmt numFmtId="204" formatCode="_-* #,##0.0000000_-;\-* #,##0.0000000_-;_-* &quot;-&quot;??_-;_-@_-"/>
    <numFmt numFmtId="205" formatCode="_(* #,##0.000_);_(* \(#,##0.000\);_(* &quot;-&quot;??_);_(@_)"/>
    <numFmt numFmtId="206" formatCode="[$-13809]d\ mmm\ yyyy;@"/>
    <numFmt numFmtId="207" formatCode="[$-409]d\-mmm\-yyyy;@"/>
    <numFmt numFmtId="208" formatCode="0.0000"/>
    <numFmt numFmtId="209" formatCode="_(* #,##0.0000_);_(* \(#,##0.0000\);_(* &quot;-&quot;??_);_(@_)"/>
    <numFmt numFmtId="210" formatCode="_-* #,##0.00000_-;\-* #,##0.00000_-;_-* &quot;-&quot;??_-;_-@_-"/>
    <numFmt numFmtId="211" formatCode="_(* #,##0.0000_);_(* \(#,##0.0000\);_(* &quot;-&quot;_);_(@_)"/>
    <numFmt numFmtId="212" formatCode="#,##0.000"/>
    <numFmt numFmtId="213" formatCode="0.0%"/>
  </numFmts>
  <fonts count="2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4"/>
      <name val="Cordia New"/>
      <family val="2"/>
    </font>
    <font>
      <sz val="10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b/>
      <sz val="14"/>
      <color indexed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12"/>
      <name val="Century Gothic"/>
      <family val="2"/>
    </font>
    <font>
      <sz val="10"/>
      <color indexed="12"/>
      <name val="Century Gothic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30"/>
      <name val="Calibri"/>
      <family val="2"/>
    </font>
    <font>
      <b/>
      <sz val="8"/>
      <color indexed="30"/>
      <name val="Calibri"/>
      <family val="2"/>
    </font>
    <font>
      <b/>
      <sz val="8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Century Gothic"/>
      <family val="2"/>
    </font>
    <font>
      <b/>
      <sz val="8"/>
      <color indexed="30"/>
      <name val="Century Gothic"/>
      <family val="2"/>
    </font>
    <font>
      <sz val="8"/>
      <name val="Calibri"/>
      <family val="2"/>
    </font>
    <font>
      <b/>
      <sz val="8"/>
      <color indexed="8"/>
      <name val="Calibri"/>
      <family val="2"/>
    </font>
    <font>
      <sz val="14"/>
      <name val="AngsanaUPC"/>
      <family val="1"/>
    </font>
    <font>
      <sz val="10"/>
      <name val="Arial"/>
      <family val="2"/>
    </font>
    <font>
      <u/>
      <sz val="8.5"/>
      <color indexed="12"/>
      <name val="Arial"/>
      <family val="2"/>
    </font>
    <font>
      <sz val="12"/>
      <name val="นูลมรผ"/>
      <charset val="129"/>
    </font>
    <font>
      <sz val="14"/>
      <name val="Cordia New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b/>
      <sz val="11"/>
      <color indexed="12"/>
      <name val="Century Gothic"/>
      <family val="2"/>
    </font>
    <font>
      <b/>
      <sz val="12"/>
      <color indexed="12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indexed="12"/>
      <name val="Century Gothic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4"/>
      <color indexed="28"/>
      <name val="Century Gothic"/>
      <family val="2"/>
    </font>
    <font>
      <sz val="20"/>
      <color indexed="8"/>
      <name val="Calibri"/>
      <family val="2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entury Gothic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FF"/>
      <name val="Century Gothic"/>
      <family val="2"/>
    </font>
    <font>
      <sz val="10"/>
      <color rgb="FFFF0000"/>
      <name val="Century Gothic"/>
      <family val="2"/>
    </font>
    <font>
      <sz val="10"/>
      <color rgb="FF0000FF"/>
      <name val="Century Gothic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theme="4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8.5"/>
      <color indexed="12"/>
      <name val="Century Gothic"/>
      <family val="2"/>
    </font>
    <font>
      <b/>
      <sz val="9"/>
      <color indexed="12"/>
      <name val="Century Gothic"/>
      <family val="2"/>
    </font>
    <font>
      <b/>
      <sz val="9"/>
      <color indexed="56"/>
      <name val="Century Gothic"/>
      <family val="2"/>
    </font>
    <font>
      <sz val="11"/>
      <color theme="1"/>
      <name val="Century Gothic"/>
      <family val="2"/>
    </font>
    <font>
      <b/>
      <sz val="7"/>
      <color indexed="30"/>
      <name val="Century Gothic"/>
      <family val="2"/>
    </font>
    <font>
      <b/>
      <sz val="7"/>
      <name val="Century Gothic"/>
      <family val="2"/>
    </font>
    <font>
      <b/>
      <sz val="7"/>
      <color indexed="36"/>
      <name val="Century Gothic"/>
      <family val="2"/>
    </font>
    <font>
      <b/>
      <sz val="7"/>
      <color indexed="10"/>
      <name val="Century Gothic"/>
      <family val="2"/>
    </font>
    <font>
      <b/>
      <sz val="9"/>
      <color indexed="60"/>
      <name val="Century Gothic"/>
      <family val="2"/>
    </font>
    <font>
      <b/>
      <sz val="9"/>
      <name val="Century Gothic"/>
      <family val="2"/>
    </font>
    <font>
      <b/>
      <sz val="9"/>
      <color indexed="30"/>
      <name val="Century Gothic"/>
      <family val="2"/>
    </font>
    <font>
      <b/>
      <sz val="9"/>
      <color indexed="36"/>
      <name val="Century Gothic"/>
      <family val="2"/>
    </font>
    <font>
      <u/>
      <sz val="11"/>
      <color theme="10"/>
      <name val="Century Gothic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</font>
    <font>
      <sz val="8"/>
      <color theme="1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FF"/>
      <name val="Calibri"/>
      <family val="2"/>
    </font>
    <font>
      <sz val="10"/>
      <color theme="0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rgb="FF002060"/>
      <name val="Calibri"/>
      <family val="2"/>
      <scheme val="minor"/>
    </font>
    <font>
      <sz val="8"/>
      <color rgb="FF6633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4"/>
      <name val="Cordia New"/>
      <family val="2"/>
    </font>
    <font>
      <u/>
      <sz val="10.5"/>
      <color indexed="12"/>
      <name val="Cordia New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¹ÙÅÁÃ¼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1"/>
      <color indexed="20"/>
      <name val="Calibri"/>
      <family val="2"/>
      <charset val="1"/>
    </font>
    <font>
      <sz val="11"/>
      <color indexed="20"/>
      <name val="Calibri"/>
      <family val="2"/>
    </font>
    <font>
      <b/>
      <sz val="11"/>
      <color indexed="52"/>
      <name val="Calibri"/>
      <family val="2"/>
      <charset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  <charset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  <charset val="1"/>
    </font>
    <font>
      <sz val="11"/>
      <color indexed="17"/>
      <name val="Calibri"/>
      <family val="2"/>
    </font>
    <font>
      <b/>
      <sz val="15"/>
      <color indexed="62"/>
      <name val="Calibri"/>
      <family val="2"/>
      <charset val="1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62"/>
      <name val="Calibri"/>
      <family val="2"/>
      <charset val="1"/>
    </font>
    <font>
      <b/>
      <sz val="13"/>
      <color indexed="56"/>
      <name val="Calibri"/>
      <family val="2"/>
    </font>
    <font>
      <b/>
      <sz val="11"/>
      <color indexed="62"/>
      <name val="Calibri"/>
      <family val="2"/>
      <charset val="1"/>
    </font>
    <font>
      <b/>
      <sz val="11"/>
      <color indexed="56"/>
      <name val="Calibri"/>
      <family val="2"/>
    </font>
    <font>
      <sz val="11"/>
      <color indexed="62"/>
      <name val="Calibri"/>
      <family val="2"/>
      <charset val="1"/>
    </font>
    <font>
      <sz val="11"/>
      <color indexed="62"/>
      <name val="Calibri"/>
      <family val="2"/>
    </font>
    <font>
      <sz val="11"/>
      <color indexed="52"/>
      <name val="Calibri"/>
      <family val="2"/>
      <charset val="1"/>
    </font>
    <font>
      <sz val="11"/>
      <color indexed="52"/>
      <name val="Calibri"/>
      <family val="2"/>
    </font>
    <font>
      <sz val="11"/>
      <color indexed="60"/>
      <name val="Calibri"/>
      <family val="2"/>
      <charset val="1"/>
    </font>
    <font>
      <sz val="11"/>
      <color indexed="60"/>
      <name val="Calibri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Calibri Light"/>
      <family val="2"/>
    </font>
    <font>
      <sz val="10"/>
      <color theme="1"/>
      <name val="Courier New"/>
      <family val="2"/>
    </font>
    <font>
      <b/>
      <sz val="11"/>
      <color indexed="63"/>
      <name val="Calibri"/>
      <family val="2"/>
      <charset val="1"/>
    </font>
    <font>
      <b/>
      <sz val="11"/>
      <color indexed="63"/>
      <name val="Calibri"/>
      <family val="2"/>
    </font>
    <font>
      <sz val="10"/>
      <color indexed="8"/>
      <name val="Calibri Light"/>
      <family val="2"/>
    </font>
    <font>
      <b/>
      <sz val="18"/>
      <color indexed="62"/>
      <name val="Cambria"/>
      <family val="2"/>
      <charset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indexed="10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Times New Roman"/>
      <family val="1"/>
      <charset val="222"/>
    </font>
    <font>
      <sz val="8"/>
      <color rgb="FFFF000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8"/>
      <name val="Calibri"/>
      <family val="2"/>
      <scheme val="minor"/>
    </font>
    <font>
      <sz val="10"/>
      <color rgb="FF22222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u/>
      <sz val="8.25"/>
      <color indexed="12"/>
      <name val="Times New Roman"/>
      <family val="1"/>
    </font>
    <font>
      <sz val="14"/>
      <name val="Cordia New"/>
      <family val="2"/>
    </font>
    <font>
      <sz val="10"/>
      <name val="Arial"/>
      <family val="2"/>
    </font>
    <font>
      <b/>
      <sz val="11"/>
      <name val="Bell MT"/>
      <family val="1"/>
    </font>
    <font>
      <sz val="13"/>
      <color rgb="FF252525"/>
      <name val="Trebuchet MS"/>
      <family val="2"/>
    </font>
    <font>
      <b/>
      <sz val="11"/>
      <color theme="1"/>
      <name val="Arial Black"/>
      <family val="2"/>
    </font>
    <font>
      <sz val="12"/>
      <color theme="0"/>
      <name val="Bahnschrift"/>
      <family val="2"/>
    </font>
    <font>
      <b/>
      <sz val="12"/>
      <color theme="1"/>
      <name val="Arial Black"/>
      <family val="2"/>
    </font>
    <font>
      <sz val="11"/>
      <color theme="1"/>
      <name val="Berlin Sans FB Demi"/>
      <family val="2"/>
    </font>
    <font>
      <b/>
      <sz val="11"/>
      <name val="Bahnschrift Light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Times New Roman"/>
      <family val="1"/>
    </font>
    <font>
      <b/>
      <sz val="9"/>
      <color rgb="FF0070C0"/>
      <name val="Century Gothic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8"/>
      <color rgb="FF1E1E1E"/>
      <name val="Segoe UI"/>
      <family val="2"/>
    </font>
    <font>
      <b/>
      <sz val="9.5"/>
      <color theme="0"/>
      <name val="Arial"/>
      <family val="2"/>
    </font>
    <font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sz val="14"/>
      <name val="Cordia New"/>
      <family val="2"/>
      <charset val="222"/>
    </font>
    <font>
      <sz val="11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name val="Bahnschrift"/>
      <family val="2"/>
    </font>
    <font>
      <sz val="12"/>
      <name val="Calibri"/>
      <family val="2"/>
      <scheme val="minor"/>
    </font>
    <font>
      <b/>
      <sz val="9"/>
      <name val="Bahnschrift Light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1205BB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 Black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8"/>
      <name val="Calibri"/>
      <family val="2"/>
    </font>
    <font>
      <b/>
      <sz val="11"/>
      <color theme="0"/>
      <name val="Calibri"/>
      <family val="2"/>
    </font>
    <font>
      <b/>
      <sz val="8"/>
      <color rgb="FF0066CC"/>
      <name val="Calibri"/>
      <family val="2"/>
    </font>
    <font>
      <b/>
      <sz val="11"/>
      <color rgb="FF0066CC"/>
      <name val="Calibri"/>
      <family val="2"/>
      <scheme val="minor"/>
    </font>
    <font>
      <b/>
      <sz val="9"/>
      <color theme="0"/>
      <name val="Yu Gothic"/>
      <family val="2"/>
    </font>
    <font>
      <b/>
      <sz val="11"/>
      <color theme="0"/>
      <name val="Aptos Narrow"/>
      <family val="2"/>
    </font>
    <font>
      <b/>
      <sz val="9"/>
      <color theme="1"/>
      <name val="Yu Gothic"/>
      <family val="2"/>
    </font>
    <font>
      <sz val="9"/>
      <color theme="1"/>
      <name val="Yu Gothic"/>
      <family val="2"/>
    </font>
    <font>
      <b/>
      <sz val="9"/>
      <color theme="1"/>
      <name val="Aptos Narrow"/>
      <family val="2"/>
    </font>
    <font>
      <b/>
      <sz val="9"/>
      <name val="Verdana"/>
      <family val="2"/>
    </font>
    <font>
      <b/>
      <sz val="10"/>
      <color indexed="12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rgb="FF000000"/>
      <name val="Yu Gothic"/>
      <family val="2"/>
    </font>
    <font>
      <b/>
      <sz val="8"/>
      <color rgb="FFFF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FFFF"/>
      <name val="Yu Gothic"/>
      <family val="2"/>
    </font>
    <font>
      <sz val="9"/>
      <color rgb="FF000000"/>
      <name val="Yu Gothic"/>
      <family val="2"/>
    </font>
    <font>
      <b/>
      <sz val="8"/>
      <color rgb="FFFF0000"/>
      <name val="Century Gothic"/>
      <family val="2"/>
    </font>
    <font>
      <sz val="10"/>
      <name val="Bahnschrift"/>
      <family val="2"/>
    </font>
    <font>
      <b/>
      <sz val="10"/>
      <name val="Bahnschrift"/>
      <family val="2"/>
    </font>
    <font>
      <sz val="11"/>
      <color theme="1"/>
      <name val="Bahnschrift"/>
      <family val="2"/>
    </font>
    <font>
      <i/>
      <sz val="10"/>
      <name val="Bahnschrift"/>
      <family val="2"/>
    </font>
    <font>
      <b/>
      <i/>
      <sz val="10"/>
      <name val="Arial"/>
      <family val="2"/>
    </font>
    <font>
      <b/>
      <i/>
      <sz val="10"/>
      <color theme="0"/>
      <name val="Arial"/>
      <family val="2"/>
    </font>
    <font>
      <b/>
      <i/>
      <sz val="10"/>
      <name val="Bahnschrift"/>
      <family val="2"/>
    </font>
    <font>
      <b/>
      <sz val="10"/>
      <color theme="1"/>
      <name val="Yu Gothic"/>
      <family val="2"/>
    </font>
    <font>
      <sz val="10"/>
      <color theme="1"/>
      <name val="Yu Gothic"/>
      <family val="2"/>
    </font>
    <font>
      <b/>
      <sz val="10"/>
      <color rgb="FF000000"/>
      <name val="Yu Gothic"/>
      <family val="2"/>
    </font>
    <font>
      <b/>
      <sz val="9"/>
      <color theme="1"/>
      <name val="Calibri"/>
      <family val="2"/>
      <scheme val="minor"/>
    </font>
    <font>
      <b/>
      <sz val="10"/>
      <color rgb="FF00B050"/>
      <name val="Calibri"/>
      <family val="2"/>
    </font>
    <font>
      <sz val="10"/>
      <name val="Calibri"/>
      <family val="2"/>
    </font>
    <font>
      <sz val="10"/>
      <color rgb="FF00B050"/>
      <name val="Calibri"/>
      <family val="2"/>
    </font>
    <font>
      <sz val="10"/>
      <color rgb="FFFF0000"/>
      <name val="Calibri"/>
      <family val="2"/>
    </font>
    <font>
      <b/>
      <i/>
      <sz val="11"/>
      <color theme="1"/>
      <name val="Calibri"/>
      <family val="2"/>
      <scheme val="minor"/>
    </font>
  </fonts>
  <fills count="1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9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8B3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FFA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7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 diagonalUp="1" diagonalDown="1">
      <left style="thin">
        <color theme="0"/>
      </left>
      <right/>
      <top style="thin">
        <color theme="0"/>
      </top>
      <bottom/>
      <diagonal style="thin">
        <color theme="0"/>
      </diagonal>
    </border>
    <border diagonalUp="1" diagonalDown="1">
      <left/>
      <right/>
      <top style="thin">
        <color theme="0"/>
      </top>
      <bottom/>
      <diagonal style="thin">
        <color theme="0"/>
      </diagonal>
    </border>
    <border diagonalUp="1" diagonalDown="1">
      <left/>
      <right style="thin">
        <color theme="0"/>
      </right>
      <top style="thin">
        <color theme="0"/>
      </top>
      <bottom/>
      <diagonal style="thin">
        <color theme="0"/>
      </diagonal>
    </border>
    <border diagonalUp="1" diagonalDown="1">
      <left style="thin">
        <color theme="0"/>
      </left>
      <right/>
      <top/>
      <bottom/>
      <diagonal style="thin">
        <color theme="0"/>
      </diagonal>
    </border>
    <border diagonalUp="1" diagonalDown="1">
      <left/>
      <right/>
      <top/>
      <bottom/>
      <diagonal style="thin">
        <color theme="0"/>
      </diagonal>
    </border>
    <border diagonalUp="1" diagonalDown="1">
      <left/>
      <right style="thin">
        <color theme="0"/>
      </right>
      <top/>
      <bottom/>
      <diagonal style="thin">
        <color theme="0"/>
      </diagonal>
    </border>
    <border diagonalUp="1" diagonalDown="1">
      <left style="thin">
        <color theme="0"/>
      </left>
      <right/>
      <top/>
      <bottom style="thin">
        <color theme="0"/>
      </bottom>
      <diagonal style="thin">
        <color theme="0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0144">
    <xf numFmtId="167" fontId="0" fillId="0" borderId="0"/>
    <xf numFmtId="9" fontId="24" fillId="0" borderId="0"/>
    <xf numFmtId="165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167" fontId="19" fillId="0" borderId="1" applyNumberFormat="0" applyAlignment="0" applyProtection="0">
      <alignment horizontal="left" vertical="center"/>
    </xf>
    <xf numFmtId="167" fontId="19" fillId="0" borderId="2">
      <alignment horizontal="left" vertical="center"/>
    </xf>
    <xf numFmtId="167" fontId="42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>
      <alignment vertical="top"/>
      <protection locked="0"/>
    </xf>
    <xf numFmtId="167" fontId="3" fillId="0" borderId="0"/>
    <xf numFmtId="167" fontId="25" fillId="0" borderId="0"/>
    <xf numFmtId="167" fontId="37" fillId="0" borderId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5" fillId="20" borderId="3">
      <alignment horizontal="center" vertical="center"/>
    </xf>
    <xf numFmtId="167" fontId="41" fillId="21" borderId="42" applyAlignment="0">
      <alignment horizontal="center" vertical="center"/>
    </xf>
    <xf numFmtId="165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167" fontId="28" fillId="0" borderId="0"/>
    <xf numFmtId="6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7" fontId="4" fillId="0" borderId="0" applyFont="0" applyFill="0" applyBorder="0" applyAlignment="0" applyProtection="0"/>
    <xf numFmtId="167" fontId="27" fillId="0" borderId="0"/>
    <xf numFmtId="41" fontId="50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/>
    <xf numFmtId="0" fontId="55" fillId="0" borderId="0"/>
    <xf numFmtId="0" fontId="55" fillId="0" borderId="0"/>
    <xf numFmtId="0" fontId="57" fillId="0" borderId="0"/>
    <xf numFmtId="43" fontId="57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/>
    <xf numFmtId="0" fontId="57" fillId="0" borderId="0"/>
    <xf numFmtId="0" fontId="60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63" fillId="0" borderId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8" fillId="0" borderId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50" fillId="0" borderId="0"/>
    <xf numFmtId="0" fontId="82" fillId="0" borderId="0"/>
    <xf numFmtId="43" fontId="82" fillId="0" borderId="0" applyFont="0" applyFill="0" applyBorder="0" applyAlignment="0" applyProtection="0"/>
    <xf numFmtId="0" fontId="83" fillId="0" borderId="0"/>
    <xf numFmtId="43" fontId="83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84" fillId="0" borderId="0"/>
    <xf numFmtId="43" fontId="84" fillId="0" borderId="0" applyFon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50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7" fillId="0" borderId="0"/>
    <xf numFmtId="43" fontId="87" fillId="0" borderId="0" applyFon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8" fillId="0" borderId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50" fillId="0" borderId="0"/>
    <xf numFmtId="0" fontId="89" fillId="0" borderId="0" applyNumberFormat="0" applyFill="0" applyBorder="0" applyAlignment="0" applyProtection="0"/>
    <xf numFmtId="0" fontId="91" fillId="0" borderId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2" fillId="0" borderId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50" fillId="0" borderId="0"/>
    <xf numFmtId="43" fontId="5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167" fontId="50" fillId="0" borderId="0"/>
    <xf numFmtId="165" fontId="2" fillId="0" borderId="0" applyFont="0" applyFill="0" applyBorder="0" applyAlignment="0" applyProtection="0"/>
    <xf numFmtId="167" fontId="4" fillId="0" borderId="0"/>
    <xf numFmtId="9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0" borderId="0"/>
    <xf numFmtId="165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7" fillId="0" borderId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50" fillId="0" borderId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0" borderId="0"/>
    <xf numFmtId="165" fontId="50" fillId="0" borderId="0" applyFont="0" applyFill="0" applyBorder="0" applyAlignment="0" applyProtection="0"/>
    <xf numFmtId="0" fontId="1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12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1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1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13" fillId="0" borderId="0"/>
    <xf numFmtId="43" fontId="4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50" fillId="0" borderId="0"/>
    <xf numFmtId="0" fontId="50" fillId="0" borderId="0"/>
    <xf numFmtId="43" fontId="5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1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5" fillId="0" borderId="0"/>
    <xf numFmtId="43" fontId="4" fillId="0" borderId="0" applyFont="0" applyFill="0" applyBorder="0" applyAlignment="0" applyProtection="0"/>
    <xf numFmtId="43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0" fillId="0" borderId="0"/>
    <xf numFmtId="165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0" borderId="0"/>
    <xf numFmtId="165" fontId="50" fillId="0" borderId="0" applyFont="0" applyFill="0" applyBorder="0" applyAlignment="0" applyProtection="0"/>
    <xf numFmtId="0" fontId="116" fillId="0" borderId="0"/>
    <xf numFmtId="43" fontId="4" fillId="0" borderId="0" applyFont="0" applyFill="0" applyBorder="0" applyAlignment="0" applyProtection="0"/>
    <xf numFmtId="0" fontId="117" fillId="0" borderId="0"/>
    <xf numFmtId="43" fontId="4" fillId="0" borderId="0" applyFont="0" applyFill="0" applyBorder="0" applyAlignment="0" applyProtection="0"/>
    <xf numFmtId="0" fontId="118" fillId="0" borderId="0"/>
    <xf numFmtId="43" fontId="4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5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4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7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7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9" fontId="119" fillId="0" borderId="0" applyFont="0" applyFill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20" fillId="63" borderId="0" applyNumberFormat="0" applyBorder="0" applyAlignment="0" applyProtection="0"/>
    <xf numFmtId="0" fontId="2" fillId="64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2" fillId="64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20" fillId="63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20" fillId="63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20" fillId="63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20" fillId="63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120" fillId="65" borderId="0" applyNumberFormat="0" applyBorder="0" applyAlignment="0" applyProtection="0"/>
    <xf numFmtId="0" fontId="2" fillId="6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2" fillId="6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120" fillId="65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120" fillId="65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120" fillId="65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120" fillId="65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20" fillId="66" borderId="0" applyNumberFormat="0" applyBorder="0" applyAlignment="0" applyProtection="0"/>
    <xf numFmtId="0" fontId="2" fillId="67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2" fillId="67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20" fillId="66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20" fillId="66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20" fillId="66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20" fillId="66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120" fillId="63" borderId="0" applyNumberFormat="0" applyBorder="0" applyAlignment="0" applyProtection="0"/>
    <xf numFmtId="0" fontId="2" fillId="68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2" fillId="68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120" fillId="63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120" fillId="63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120" fillId="63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120" fillId="63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20" fillId="69" borderId="0" applyNumberFormat="0" applyBorder="0" applyAlignment="0" applyProtection="0"/>
    <xf numFmtId="0" fontId="2" fillId="6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2" fillId="6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20" fillId="6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20" fillId="6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20" fillId="6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20" fillId="6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120" fillId="65" borderId="0" applyNumberFormat="0" applyBorder="0" applyAlignment="0" applyProtection="0"/>
    <xf numFmtId="0" fontId="2" fillId="6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2" fillId="6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120" fillId="6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120" fillId="6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120" fillId="6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120" fillId="65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2" fillId="70" borderId="0" applyNumberFormat="0" applyBorder="0" applyAlignment="0" applyProtection="0"/>
    <xf numFmtId="0" fontId="2" fillId="64" borderId="0" applyNumberFormat="0" applyBorder="0" applyAlignment="0" applyProtection="0"/>
    <xf numFmtId="0" fontId="2" fillId="71" borderId="0" applyNumberFormat="0" applyBorder="0" applyAlignment="0" applyProtection="0"/>
    <xf numFmtId="0" fontId="2" fillId="63" borderId="0" applyNumberFormat="0" applyBorder="0" applyAlignment="0" applyProtection="0"/>
    <xf numFmtId="0" fontId="2" fillId="72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68" borderId="0" applyNumberFormat="0" applyBorder="0" applyAlignment="0" applyProtection="0"/>
    <xf numFmtId="0" fontId="2" fillId="74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65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120" fillId="76" borderId="0" applyNumberFormat="0" applyBorder="0" applyAlignment="0" applyProtection="0"/>
    <xf numFmtId="0" fontId="2" fillId="77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2" fillId="77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120" fillId="76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120" fillId="76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120" fillId="76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120" fillId="76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20" fillId="78" borderId="0" applyNumberFormat="0" applyBorder="0" applyAlignment="0" applyProtection="0"/>
    <xf numFmtId="0" fontId="2" fillId="78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2" fillId="78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20" fillId="78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20" fillId="78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20" fillId="78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20" fillId="78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120" fillId="79" borderId="0" applyNumberFormat="0" applyBorder="0" applyAlignment="0" applyProtection="0"/>
    <xf numFmtId="0" fontId="2" fillId="80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2" fillId="80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120" fillId="79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120" fillId="79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120" fillId="79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120" fillId="79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20" fillId="76" borderId="0" applyNumberFormat="0" applyBorder="0" applyAlignment="0" applyProtection="0"/>
    <xf numFmtId="0" fontId="2" fillId="6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2" fillId="6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20" fillId="7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20" fillId="7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20" fillId="7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20" fillId="7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120" fillId="77" borderId="0" applyNumberFormat="0" applyBorder="0" applyAlignment="0" applyProtection="0"/>
    <xf numFmtId="0" fontId="2" fillId="77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2" fillId="77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120" fillId="77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120" fillId="77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120" fillId="77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120" fillId="77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20" fillId="65" borderId="0" applyNumberFormat="0" applyBorder="0" applyAlignment="0" applyProtection="0"/>
    <xf numFmtId="0" fontId="2" fillId="81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2" fillId="81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20" fillId="65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20" fillId="65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20" fillId="65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20" fillId="65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2" fillId="82" borderId="0" applyNumberFormat="0" applyBorder="0" applyAlignment="0" applyProtection="0"/>
    <xf numFmtId="0" fontId="2" fillId="77" borderId="0" applyNumberFormat="0" applyBorder="0" applyAlignment="0" applyProtection="0"/>
    <xf numFmtId="0" fontId="2" fillId="83" borderId="0" applyNumberFormat="0" applyBorder="0" applyAlignment="0" applyProtection="0"/>
    <xf numFmtId="0" fontId="2" fillId="78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73" borderId="0" applyNumberFormat="0" applyBorder="0" applyAlignment="0" applyProtection="0"/>
    <xf numFmtId="0" fontId="2" fillId="68" borderId="0" applyNumberFormat="0" applyBorder="0" applyAlignment="0" applyProtection="0"/>
    <xf numFmtId="0" fontId="2" fillId="82" borderId="0" applyNumberFormat="0" applyBorder="0" applyAlignment="0" applyProtection="0"/>
    <xf numFmtId="0" fontId="2" fillId="77" borderId="0" applyNumberFormat="0" applyBorder="0" applyAlignment="0" applyProtection="0"/>
    <xf numFmtId="0" fontId="2" fillId="85" borderId="0" applyNumberFormat="0" applyBorder="0" applyAlignment="0" applyProtection="0"/>
    <xf numFmtId="0" fontId="2" fillId="81" borderId="0" applyNumberFormat="0" applyBorder="0" applyAlignment="0" applyProtection="0"/>
    <xf numFmtId="0" fontId="121" fillId="86" borderId="0" applyNumberFormat="0" applyBorder="0" applyAlignment="0" applyProtection="0"/>
    <xf numFmtId="0" fontId="122" fillId="87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78" borderId="0" applyNumberFormat="0" applyBorder="0" applyAlignment="0" applyProtection="0"/>
    <xf numFmtId="0" fontId="122" fillId="78" borderId="0" applyNumberFormat="0" applyBorder="0" applyAlignment="0" applyProtection="0"/>
    <xf numFmtId="0" fontId="121" fillId="78" borderId="0" applyNumberFormat="0" applyBorder="0" applyAlignment="0" applyProtection="0"/>
    <xf numFmtId="0" fontId="121" fillId="78" borderId="0" applyNumberFormat="0" applyBorder="0" applyAlignment="0" applyProtection="0"/>
    <xf numFmtId="0" fontId="121" fillId="78" borderId="0" applyNumberFormat="0" applyBorder="0" applyAlignment="0" applyProtection="0"/>
    <xf numFmtId="0" fontId="121" fillId="78" borderId="0" applyNumberFormat="0" applyBorder="0" applyAlignment="0" applyProtection="0"/>
    <xf numFmtId="0" fontId="121" fillId="79" borderId="0" applyNumberFormat="0" applyBorder="0" applyAlignment="0" applyProtection="0"/>
    <xf numFmtId="0" fontId="122" fillId="80" borderId="0" applyNumberFormat="0" applyBorder="0" applyAlignment="0" applyProtection="0"/>
    <xf numFmtId="0" fontId="121" fillId="79" borderId="0" applyNumberFormat="0" applyBorder="0" applyAlignment="0" applyProtection="0"/>
    <xf numFmtId="0" fontId="121" fillId="79" borderId="0" applyNumberFormat="0" applyBorder="0" applyAlignment="0" applyProtection="0"/>
    <xf numFmtId="0" fontId="121" fillId="79" borderId="0" applyNumberFormat="0" applyBorder="0" applyAlignment="0" applyProtection="0"/>
    <xf numFmtId="0" fontId="121" fillId="79" borderId="0" applyNumberFormat="0" applyBorder="0" applyAlignment="0" applyProtection="0"/>
    <xf numFmtId="0" fontId="121" fillId="76" borderId="0" applyNumberFormat="0" applyBorder="0" applyAlignment="0" applyProtection="0"/>
    <xf numFmtId="0" fontId="122" fillId="88" borderId="0" applyNumberFormat="0" applyBorder="0" applyAlignment="0" applyProtection="0"/>
    <xf numFmtId="0" fontId="121" fillId="76" borderId="0" applyNumberFormat="0" applyBorder="0" applyAlignment="0" applyProtection="0"/>
    <xf numFmtId="0" fontId="121" fillId="76" borderId="0" applyNumberFormat="0" applyBorder="0" applyAlignment="0" applyProtection="0"/>
    <xf numFmtId="0" fontId="121" fillId="76" borderId="0" applyNumberFormat="0" applyBorder="0" applyAlignment="0" applyProtection="0"/>
    <xf numFmtId="0" fontId="121" fillId="76" borderId="0" applyNumberFormat="0" applyBorder="0" applyAlignment="0" applyProtection="0"/>
    <xf numFmtId="0" fontId="121" fillId="86" borderId="0" applyNumberFormat="0" applyBorder="0" applyAlignment="0" applyProtection="0"/>
    <xf numFmtId="0" fontId="122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65" borderId="0" applyNumberFormat="0" applyBorder="0" applyAlignment="0" applyProtection="0"/>
    <xf numFmtId="0" fontId="122" fillId="89" borderId="0" applyNumberFormat="0" applyBorder="0" applyAlignment="0" applyProtection="0"/>
    <xf numFmtId="0" fontId="121" fillId="65" borderId="0" applyNumberFormat="0" applyBorder="0" applyAlignment="0" applyProtection="0"/>
    <xf numFmtId="0" fontId="121" fillId="65" borderId="0" applyNumberFormat="0" applyBorder="0" applyAlignment="0" applyProtection="0"/>
    <xf numFmtId="0" fontId="121" fillId="65" borderId="0" applyNumberFormat="0" applyBorder="0" applyAlignment="0" applyProtection="0"/>
    <xf numFmtId="0" fontId="121" fillId="65" borderId="0" applyNumberFormat="0" applyBorder="0" applyAlignment="0" applyProtection="0"/>
    <xf numFmtId="0" fontId="122" fillId="90" borderId="0" applyNumberFormat="0" applyBorder="0" applyAlignment="0" applyProtection="0"/>
    <xf numFmtId="0" fontId="122" fillId="87" borderId="0" applyNumberFormat="0" applyBorder="0" applyAlignment="0" applyProtection="0"/>
    <xf numFmtId="0" fontId="122" fillId="83" borderId="0" applyNumberFormat="0" applyBorder="0" applyAlignment="0" applyProtection="0"/>
    <xf numFmtId="0" fontId="122" fillId="78" borderId="0" applyNumberFormat="0" applyBorder="0" applyAlignment="0" applyProtection="0"/>
    <xf numFmtId="0" fontId="122" fillId="84" borderId="0" applyNumberFormat="0" applyBorder="0" applyAlignment="0" applyProtection="0"/>
    <xf numFmtId="0" fontId="122" fillId="80" borderId="0" applyNumberFormat="0" applyBorder="0" applyAlignment="0" applyProtection="0"/>
    <xf numFmtId="0" fontId="122" fillId="91" borderId="0" applyNumberFormat="0" applyBorder="0" applyAlignment="0" applyProtection="0"/>
    <xf numFmtId="0" fontId="122" fillId="88" borderId="0" applyNumberFormat="0" applyBorder="0" applyAlignment="0" applyProtection="0"/>
    <xf numFmtId="0" fontId="122" fillId="92" borderId="0" applyNumberFormat="0" applyBorder="0" applyAlignment="0" applyProtection="0"/>
    <xf numFmtId="0" fontId="122" fillId="86" borderId="0" applyNumberFormat="0" applyBorder="0" applyAlignment="0" applyProtection="0"/>
    <xf numFmtId="0" fontId="122" fillId="93" borderId="0" applyNumberFormat="0" applyBorder="0" applyAlignment="0" applyProtection="0"/>
    <xf numFmtId="0" fontId="122" fillId="89" borderId="0" applyNumberFormat="0" applyBorder="0" applyAlignment="0" applyProtection="0"/>
    <xf numFmtId="9" fontId="123" fillId="0" borderId="0"/>
    <xf numFmtId="0" fontId="121" fillId="86" borderId="0" applyNumberFormat="0" applyBorder="0" applyAlignment="0" applyProtection="0"/>
    <xf numFmtId="0" fontId="122" fillId="94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95" borderId="0" applyNumberFormat="0" applyBorder="0" applyAlignment="0" applyProtection="0"/>
    <xf numFmtId="0" fontId="122" fillId="95" borderId="0" applyNumberFormat="0" applyBorder="0" applyAlignment="0" applyProtection="0"/>
    <xf numFmtId="0" fontId="121" fillId="95" borderId="0" applyNumberFormat="0" applyBorder="0" applyAlignment="0" applyProtection="0"/>
    <xf numFmtId="0" fontId="121" fillId="95" borderId="0" applyNumberFormat="0" applyBorder="0" applyAlignment="0" applyProtection="0"/>
    <xf numFmtId="0" fontId="121" fillId="95" borderId="0" applyNumberFormat="0" applyBorder="0" applyAlignment="0" applyProtection="0"/>
    <xf numFmtId="0" fontId="121" fillId="95" borderId="0" applyNumberFormat="0" applyBorder="0" applyAlignment="0" applyProtection="0"/>
    <xf numFmtId="0" fontId="121" fillId="96" borderId="0" applyNumberFormat="0" applyBorder="0" applyAlignment="0" applyProtection="0"/>
    <xf numFmtId="0" fontId="122" fillId="96" borderId="0" applyNumberFormat="0" applyBorder="0" applyAlignment="0" applyProtection="0"/>
    <xf numFmtId="0" fontId="121" fillId="96" borderId="0" applyNumberFormat="0" applyBorder="0" applyAlignment="0" applyProtection="0"/>
    <xf numFmtId="0" fontId="121" fillId="96" borderId="0" applyNumberFormat="0" applyBorder="0" applyAlignment="0" applyProtection="0"/>
    <xf numFmtId="0" fontId="121" fillId="96" borderId="0" applyNumberFormat="0" applyBorder="0" applyAlignment="0" applyProtection="0"/>
    <xf numFmtId="0" fontId="121" fillId="96" borderId="0" applyNumberFormat="0" applyBorder="0" applyAlignment="0" applyProtection="0"/>
    <xf numFmtId="0" fontId="121" fillId="97" borderId="0" applyNumberFormat="0" applyBorder="0" applyAlignment="0" applyProtection="0"/>
    <xf numFmtId="0" fontId="122" fillId="88" borderId="0" applyNumberFormat="0" applyBorder="0" applyAlignment="0" applyProtection="0"/>
    <xf numFmtId="0" fontId="121" fillId="97" borderId="0" applyNumberFormat="0" applyBorder="0" applyAlignment="0" applyProtection="0"/>
    <xf numFmtId="0" fontId="121" fillId="97" borderId="0" applyNumberFormat="0" applyBorder="0" applyAlignment="0" applyProtection="0"/>
    <xf numFmtId="0" fontId="121" fillId="97" borderId="0" applyNumberFormat="0" applyBorder="0" applyAlignment="0" applyProtection="0"/>
    <xf numFmtId="0" fontId="121" fillId="97" borderId="0" applyNumberFormat="0" applyBorder="0" applyAlignment="0" applyProtection="0"/>
    <xf numFmtId="0" fontId="121" fillId="86" borderId="0" applyNumberFormat="0" applyBorder="0" applyAlignment="0" applyProtection="0"/>
    <xf numFmtId="0" fontId="122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86" borderId="0" applyNumberFormat="0" applyBorder="0" applyAlignment="0" applyProtection="0"/>
    <xf numFmtId="0" fontId="121" fillId="98" borderId="0" applyNumberFormat="0" applyBorder="0" applyAlignment="0" applyProtection="0"/>
    <xf numFmtId="0" fontId="122" fillId="98" borderId="0" applyNumberFormat="0" applyBorder="0" applyAlignment="0" applyProtection="0"/>
    <xf numFmtId="0" fontId="121" fillId="98" borderId="0" applyNumberFormat="0" applyBorder="0" applyAlignment="0" applyProtection="0"/>
    <xf numFmtId="0" fontId="121" fillId="98" borderId="0" applyNumberFormat="0" applyBorder="0" applyAlignment="0" applyProtection="0"/>
    <xf numFmtId="0" fontId="121" fillId="98" borderId="0" applyNumberFormat="0" applyBorder="0" applyAlignment="0" applyProtection="0"/>
    <xf numFmtId="0" fontId="121" fillId="98" borderId="0" applyNumberFormat="0" applyBorder="0" applyAlignment="0" applyProtection="0"/>
    <xf numFmtId="189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124" fillId="68" borderId="0" applyNumberFormat="0" applyBorder="0" applyAlignment="0" applyProtection="0"/>
    <xf numFmtId="0" fontId="125" fillId="63" borderId="0" applyNumberFormat="0" applyBorder="0" applyAlignment="0" applyProtection="0"/>
    <xf numFmtId="0" fontId="124" fillId="68" borderId="0" applyNumberFormat="0" applyBorder="0" applyAlignment="0" applyProtection="0"/>
    <xf numFmtId="0" fontId="124" fillId="68" borderId="0" applyNumberFormat="0" applyBorder="0" applyAlignment="0" applyProtection="0"/>
    <xf numFmtId="0" fontId="124" fillId="68" borderId="0" applyNumberFormat="0" applyBorder="0" applyAlignment="0" applyProtection="0"/>
    <xf numFmtId="0" fontId="124" fillId="68" borderId="0" applyNumberFormat="0" applyBorder="0" applyAlignment="0" applyProtection="0"/>
    <xf numFmtId="0" fontId="119" fillId="0" borderId="0"/>
    <xf numFmtId="0" fontId="126" fillId="63" borderId="67" applyNumberFormat="0" applyAlignment="0" applyProtection="0"/>
    <xf numFmtId="0" fontId="127" fillId="76" borderId="67" applyNumberFormat="0" applyAlignment="0" applyProtection="0"/>
    <xf numFmtId="0" fontId="126" fillId="63" borderId="67" applyNumberFormat="0" applyAlignment="0" applyProtection="0"/>
    <xf numFmtId="0" fontId="126" fillId="63" borderId="67" applyNumberFormat="0" applyAlignment="0" applyProtection="0"/>
    <xf numFmtId="0" fontId="126" fillId="63" borderId="67" applyNumberFormat="0" applyAlignment="0" applyProtection="0"/>
    <xf numFmtId="0" fontId="126" fillId="63" borderId="67" applyNumberFormat="0" applyAlignment="0" applyProtection="0"/>
    <xf numFmtId="0" fontId="128" fillId="99" borderId="68" applyNumberFormat="0" applyAlignment="0" applyProtection="0"/>
    <xf numFmtId="0" fontId="129" fillId="99" borderId="68" applyNumberFormat="0" applyAlignment="0" applyProtection="0"/>
    <xf numFmtId="0" fontId="128" fillId="99" borderId="68" applyNumberFormat="0" applyAlignment="0" applyProtection="0"/>
    <xf numFmtId="0" fontId="128" fillId="99" borderId="68" applyNumberFormat="0" applyAlignment="0" applyProtection="0"/>
    <xf numFmtId="0" fontId="128" fillId="99" borderId="68" applyNumberFormat="0" applyAlignment="0" applyProtection="0"/>
    <xf numFmtId="0" fontId="128" fillId="99" borderId="68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ill="0" applyBorder="0" applyAlignment="0" applyProtection="0"/>
    <xf numFmtId="3" fontId="4" fillId="0" borderId="0" applyFill="0" applyBorder="0" applyAlignment="0" applyProtection="0"/>
    <xf numFmtId="3" fontId="4" fillId="0" borderId="0" applyFill="0" applyBorder="0" applyAlignment="0" applyProtection="0"/>
    <xf numFmtId="3" fontId="4" fillId="0" borderId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5" fontId="4" fillId="0" borderId="0" applyFill="0" applyBorder="0" applyAlignment="0" applyProtection="0"/>
    <xf numFmtId="5" fontId="4" fillId="0" borderId="0" applyFill="0" applyBorder="0" applyAlignment="0" applyProtection="0"/>
    <xf numFmtId="5" fontId="4" fillId="0" borderId="0" applyFill="0" applyBorder="0" applyAlignment="0" applyProtection="0"/>
    <xf numFmtId="5" fontId="4" fillId="0" borderId="0" applyFill="0" applyBorder="0" applyAlignment="0" applyProtection="0"/>
    <xf numFmtId="192" fontId="4" fillId="0" borderId="0" applyFill="0" applyBorder="0" applyAlignment="0" applyProtection="0"/>
    <xf numFmtId="192" fontId="4" fillId="0" borderId="0" applyFill="0" applyBorder="0" applyAlignment="0" applyProtection="0"/>
    <xf numFmtId="192" fontId="4" fillId="0" borderId="0" applyFill="0" applyBorder="0" applyAlignment="0" applyProtection="0"/>
    <xf numFmtId="192" fontId="4" fillId="0" borderId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2" fontId="4" fillId="0" borderId="0" applyFill="0" applyBorder="0" applyAlignment="0" applyProtection="0"/>
    <xf numFmtId="2" fontId="4" fillId="0" borderId="0" applyFill="0" applyBorder="0" applyAlignment="0" applyProtection="0"/>
    <xf numFmtId="2" fontId="4" fillId="0" borderId="0" applyFill="0" applyBorder="0" applyAlignment="0" applyProtection="0"/>
    <xf numFmtId="2" fontId="4" fillId="0" borderId="0" applyFill="0" applyBorder="0" applyAlignment="0" applyProtection="0"/>
    <xf numFmtId="0" fontId="132" fillId="67" borderId="0" applyNumberFormat="0" applyBorder="0" applyAlignment="0" applyProtection="0"/>
    <xf numFmtId="0" fontId="133" fillId="67" borderId="0" applyNumberFormat="0" applyBorder="0" applyAlignment="0" applyProtection="0"/>
    <xf numFmtId="0" fontId="132" fillId="67" borderId="0" applyNumberFormat="0" applyBorder="0" applyAlignment="0" applyProtection="0"/>
    <xf numFmtId="0" fontId="132" fillId="67" borderId="0" applyNumberFormat="0" applyBorder="0" applyAlignment="0" applyProtection="0"/>
    <xf numFmtId="0" fontId="132" fillId="67" borderId="0" applyNumberFormat="0" applyBorder="0" applyAlignment="0" applyProtection="0"/>
    <xf numFmtId="0" fontId="132" fillId="67" borderId="0" applyNumberFormat="0" applyBorder="0" applyAlignment="0" applyProtection="0"/>
    <xf numFmtId="38" fontId="29" fillId="9" borderId="0" applyNumberFormat="0" applyBorder="0" applyAlignment="0" applyProtection="0"/>
    <xf numFmtId="0" fontId="19" fillId="0" borderId="1" applyNumberFormat="0" applyAlignment="0" applyProtection="0">
      <alignment horizontal="left" vertical="center"/>
    </xf>
    <xf numFmtId="0" fontId="19" fillId="0" borderId="1" applyNumberFormat="0" applyAlignment="0" applyProtection="0">
      <alignment horizontal="left" vertical="center"/>
    </xf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19" fillId="0" borderId="2">
      <alignment horizontal="left" vertical="center"/>
    </xf>
    <xf numFmtId="0" fontId="19" fillId="0" borderId="2">
      <alignment horizontal="left" vertical="center"/>
    </xf>
    <xf numFmtId="0" fontId="19" fillId="0" borderId="2">
      <alignment horizontal="left" vertical="center"/>
    </xf>
    <xf numFmtId="0" fontId="19" fillId="0" borderId="2">
      <alignment horizontal="left" vertical="center"/>
    </xf>
    <xf numFmtId="0" fontId="134" fillId="0" borderId="69" applyNumberFormat="0" applyFill="0" applyAlignment="0" applyProtection="0"/>
    <xf numFmtId="0" fontId="135" fillId="0" borderId="70" applyNumberFormat="0" applyFill="0" applyAlignment="0" applyProtection="0"/>
    <xf numFmtId="0" fontId="134" fillId="0" borderId="69" applyNumberFormat="0" applyFill="0" applyAlignment="0" applyProtection="0"/>
    <xf numFmtId="0" fontId="136" fillId="0" borderId="0" applyNumberFormat="0" applyFill="0" applyBorder="0" applyAlignment="0" applyProtection="0"/>
    <xf numFmtId="0" fontId="134" fillId="0" borderId="69" applyNumberFormat="0" applyFill="0" applyAlignment="0" applyProtection="0"/>
    <xf numFmtId="0" fontId="134" fillId="0" borderId="69" applyNumberFormat="0" applyFill="0" applyAlignment="0" applyProtection="0"/>
    <xf numFmtId="0" fontId="134" fillId="0" borderId="69" applyNumberFormat="0" applyFill="0" applyAlignment="0" applyProtection="0"/>
    <xf numFmtId="0" fontId="137" fillId="0" borderId="71" applyNumberFormat="0" applyFill="0" applyAlignment="0" applyProtection="0"/>
    <xf numFmtId="0" fontId="138" fillId="0" borderId="71" applyNumberFormat="0" applyFill="0" applyAlignment="0" applyProtection="0"/>
    <xf numFmtId="0" fontId="19" fillId="0" borderId="0" applyNumberFormat="0" applyFill="0" applyBorder="0" applyAlignment="0" applyProtection="0"/>
    <xf numFmtId="0" fontId="137" fillId="0" borderId="71" applyNumberFormat="0" applyFill="0" applyAlignment="0" applyProtection="0"/>
    <xf numFmtId="0" fontId="19" fillId="0" borderId="0" applyNumberFormat="0" applyFill="0" applyBorder="0" applyAlignment="0" applyProtection="0"/>
    <xf numFmtId="0" fontId="137" fillId="0" borderId="71" applyNumberFormat="0" applyFill="0" applyAlignment="0" applyProtection="0"/>
    <xf numFmtId="0" fontId="137" fillId="0" borderId="71" applyNumberFormat="0" applyFill="0" applyAlignment="0" applyProtection="0"/>
    <xf numFmtId="0" fontId="137" fillId="0" borderId="71" applyNumberFormat="0" applyFill="0" applyAlignment="0" applyProtection="0"/>
    <xf numFmtId="0" fontId="139" fillId="0" borderId="72" applyNumberFormat="0" applyFill="0" applyAlignment="0" applyProtection="0"/>
    <xf numFmtId="0" fontId="140" fillId="0" borderId="73" applyNumberFormat="0" applyFill="0" applyAlignment="0" applyProtection="0"/>
    <xf numFmtId="0" fontId="139" fillId="0" borderId="72" applyNumberFormat="0" applyFill="0" applyAlignment="0" applyProtection="0"/>
    <xf numFmtId="0" fontId="139" fillId="0" borderId="72" applyNumberFormat="0" applyFill="0" applyAlignment="0" applyProtection="0"/>
    <xf numFmtId="0" fontId="139" fillId="0" borderId="72" applyNumberFormat="0" applyFill="0" applyAlignment="0" applyProtection="0"/>
    <xf numFmtId="0" fontId="139" fillId="0" borderId="72" applyNumberFormat="0" applyFill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83" fontId="4" fillId="0" borderId="0">
      <protection locked="0"/>
    </xf>
    <xf numFmtId="10" fontId="29" fillId="2" borderId="5" applyNumberFormat="0" applyBorder="0" applyAlignment="0" applyProtection="0"/>
    <xf numFmtId="0" fontId="141" fillId="65" borderId="67" applyNumberFormat="0" applyAlignment="0" applyProtection="0"/>
    <xf numFmtId="0" fontId="142" fillId="65" borderId="67" applyNumberFormat="0" applyAlignment="0" applyProtection="0"/>
    <xf numFmtId="0" fontId="141" fillId="65" borderId="67" applyNumberFormat="0" applyAlignment="0" applyProtection="0"/>
    <xf numFmtId="0" fontId="141" fillId="65" borderId="67" applyNumberFormat="0" applyAlignment="0" applyProtection="0"/>
    <xf numFmtId="0" fontId="141" fillId="65" borderId="67" applyNumberFormat="0" applyAlignment="0" applyProtection="0"/>
    <xf numFmtId="0" fontId="141" fillId="65" borderId="67" applyNumberFormat="0" applyAlignment="0" applyProtection="0"/>
    <xf numFmtId="0" fontId="143" fillId="0" borderId="74" applyNumberFormat="0" applyFill="0" applyAlignment="0" applyProtection="0"/>
    <xf numFmtId="0" fontId="144" fillId="0" borderId="74" applyNumberFormat="0" applyFill="0" applyAlignment="0" applyProtection="0"/>
    <xf numFmtId="0" fontId="143" fillId="0" borderId="74" applyNumberFormat="0" applyFill="0" applyAlignment="0" applyProtection="0"/>
    <xf numFmtId="0" fontId="143" fillId="0" borderId="74" applyNumberFormat="0" applyFill="0" applyAlignment="0" applyProtection="0"/>
    <xf numFmtId="0" fontId="143" fillId="0" borderId="74" applyNumberFormat="0" applyFill="0" applyAlignment="0" applyProtection="0"/>
    <xf numFmtId="0" fontId="143" fillId="0" borderId="74" applyNumberFormat="0" applyFill="0" applyAlignment="0" applyProtection="0"/>
    <xf numFmtId="0" fontId="145" fillId="79" borderId="0" applyNumberFormat="0" applyBorder="0" applyAlignment="0" applyProtection="0"/>
    <xf numFmtId="0" fontId="146" fillId="79" borderId="0" applyNumberFormat="0" applyBorder="0" applyAlignment="0" applyProtection="0"/>
    <xf numFmtId="0" fontId="145" fillId="79" borderId="0" applyNumberFormat="0" applyBorder="0" applyAlignment="0" applyProtection="0"/>
    <xf numFmtId="0" fontId="145" fillId="79" borderId="0" applyNumberFormat="0" applyBorder="0" applyAlignment="0" applyProtection="0"/>
    <xf numFmtId="0" fontId="145" fillId="79" borderId="0" applyNumberFormat="0" applyBorder="0" applyAlignment="0" applyProtection="0"/>
    <xf numFmtId="0" fontId="145" fillId="79" borderId="0" applyNumberFormat="0" applyBorder="0" applyAlignment="0" applyProtection="0"/>
    <xf numFmtId="0" fontId="147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94" fontId="50" fillId="0" borderId="0"/>
    <xf numFmtId="0" fontId="50" fillId="0" borderId="0"/>
    <xf numFmtId="0" fontId="148" fillId="0" borderId="0">
      <alignment vertical="top"/>
    </xf>
    <xf numFmtId="0" fontId="4" fillId="0" borderId="0"/>
    <xf numFmtId="0" fontId="50" fillId="0" borderId="0"/>
    <xf numFmtId="0" fontId="4" fillId="0" borderId="0"/>
    <xf numFmtId="0" fontId="14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151" fillId="63" borderId="75" applyNumberFormat="0" applyAlignment="0" applyProtection="0"/>
    <xf numFmtId="0" fontId="152" fillId="76" borderId="75" applyNumberFormat="0" applyAlignment="0" applyProtection="0"/>
    <xf numFmtId="0" fontId="151" fillId="63" borderId="75" applyNumberFormat="0" applyAlignment="0" applyProtection="0"/>
    <xf numFmtId="0" fontId="151" fillId="63" borderId="75" applyNumberFormat="0" applyAlignment="0" applyProtection="0"/>
    <xf numFmtId="0" fontId="151" fillId="63" borderId="75" applyNumberFormat="0" applyAlignment="0" applyProtection="0"/>
    <xf numFmtId="0" fontId="151" fillId="63" borderId="7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3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6" fillId="0" borderId="76" applyNumberFormat="0" applyFill="0" applyAlignment="0" applyProtection="0"/>
    <xf numFmtId="0" fontId="13" fillId="0" borderId="77" applyNumberFormat="0" applyFill="0" applyAlignment="0" applyProtection="0"/>
    <xf numFmtId="0" fontId="4" fillId="0" borderId="66" applyNumberFormat="0" applyFill="0" applyAlignment="0" applyProtection="0"/>
    <xf numFmtId="0" fontId="156" fillId="0" borderId="76" applyNumberFormat="0" applyFill="0" applyAlignment="0" applyProtection="0"/>
    <xf numFmtId="0" fontId="4" fillId="0" borderId="66" applyNumberFormat="0" applyFill="0" applyAlignment="0" applyProtection="0"/>
    <xf numFmtId="0" fontId="156" fillId="0" borderId="76" applyNumberFormat="0" applyFill="0" applyAlignment="0" applyProtection="0"/>
    <xf numFmtId="0" fontId="156" fillId="0" borderId="76" applyNumberFormat="0" applyFill="0" applyAlignment="0" applyProtection="0"/>
    <xf numFmtId="0" fontId="156" fillId="0" borderId="76" applyNumberFormat="0" applyFill="0" applyAlignment="0" applyProtection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9" fillId="0" borderId="19">
      <alignment horizontal="center"/>
    </xf>
    <xf numFmtId="43" fontId="4" fillId="0" borderId="0" applyFont="0" applyFill="0" applyBorder="0" applyAlignment="0" applyProtection="0"/>
    <xf numFmtId="0" fontId="129" fillId="99" borderId="68" applyNumberFormat="0" applyAlignment="0" applyProtection="0"/>
    <xf numFmtId="0" fontId="144" fillId="0" borderId="74" applyNumberFormat="0" applyFill="0" applyAlignment="0" applyProtection="0"/>
    <xf numFmtId="9" fontId="4" fillId="0" borderId="0" applyFont="0" applyFill="0" applyBorder="0" applyAlignment="0" applyProtection="0"/>
    <xf numFmtId="0" fontId="125" fillId="63" borderId="0" applyNumberFormat="0" applyBorder="0" applyAlignment="0" applyProtection="0"/>
    <xf numFmtId="0" fontId="152" fillId="76" borderId="75" applyNumberFormat="0" applyAlignment="0" applyProtection="0"/>
    <xf numFmtId="0" fontId="127" fillId="76" borderId="67" applyNumberFormat="0" applyAlignment="0" applyProtection="0"/>
    <xf numFmtId="0" fontId="158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33" fillId="67" borderId="0" applyNumberFormat="0" applyBorder="0" applyAlignment="0" applyProtection="0"/>
    <xf numFmtId="0" fontId="4" fillId="0" borderId="0"/>
    <xf numFmtId="0" fontId="142" fillId="65" borderId="67" applyNumberFormat="0" applyAlignment="0" applyProtection="0"/>
    <xf numFmtId="0" fontId="146" fillId="79" borderId="0" applyNumberFormat="0" applyBorder="0" applyAlignment="0" applyProtection="0"/>
    <xf numFmtId="0" fontId="13" fillId="0" borderId="77" applyNumberFormat="0" applyFill="0" applyAlignment="0" applyProtection="0"/>
    <xf numFmtId="0" fontId="122" fillId="94" borderId="0" applyNumberFormat="0" applyBorder="0" applyAlignment="0" applyProtection="0"/>
    <xf numFmtId="0" fontId="122" fillId="95" borderId="0" applyNumberFormat="0" applyBorder="0" applyAlignment="0" applyProtection="0"/>
    <xf numFmtId="0" fontId="122" fillId="96" borderId="0" applyNumberFormat="0" applyBorder="0" applyAlignment="0" applyProtection="0"/>
    <xf numFmtId="0" fontId="122" fillId="88" borderId="0" applyNumberFormat="0" applyBorder="0" applyAlignment="0" applyProtection="0"/>
    <xf numFmtId="0" fontId="122" fillId="86" borderId="0" applyNumberFormat="0" applyBorder="0" applyAlignment="0" applyProtection="0"/>
    <xf numFmtId="0" fontId="122" fillId="98" borderId="0" applyNumberFormat="0" applyBorder="0" applyAlignment="0" applyProtection="0"/>
    <xf numFmtId="0" fontId="4" fillId="66" borderId="65" applyNumberFormat="0" applyFont="0" applyAlignment="0" applyProtection="0"/>
    <xf numFmtId="0" fontId="135" fillId="0" borderId="70" applyNumberFormat="0" applyFill="0" applyAlignment="0" applyProtection="0"/>
    <xf numFmtId="0" fontId="138" fillId="0" borderId="71" applyNumberFormat="0" applyFill="0" applyAlignment="0" applyProtection="0"/>
    <xf numFmtId="0" fontId="140" fillId="0" borderId="73" applyNumberFormat="0" applyFill="0" applyAlignment="0" applyProtection="0"/>
    <xf numFmtId="0" fontId="140" fillId="0" borderId="0" applyNumberFormat="0" applyFill="0" applyBorder="0" applyAlignment="0" applyProtection="0"/>
    <xf numFmtId="0" fontId="160" fillId="0" borderId="0"/>
    <xf numFmtId="43" fontId="4" fillId="0" borderId="0" applyFont="0" applyFill="0" applyBorder="0" applyAlignment="0" applyProtection="0"/>
    <xf numFmtId="0" fontId="126" fillId="63" borderId="79" applyNumberFormat="0" applyAlignment="0" applyProtection="0"/>
    <xf numFmtId="0" fontId="127" fillId="76" borderId="79" applyNumberFormat="0" applyAlignment="0" applyProtection="0"/>
    <xf numFmtId="0" fontId="126" fillId="63" borderId="79" applyNumberFormat="0" applyAlignment="0" applyProtection="0"/>
    <xf numFmtId="0" fontId="126" fillId="63" borderId="79" applyNumberFormat="0" applyAlignment="0" applyProtection="0"/>
    <xf numFmtId="0" fontId="126" fillId="63" borderId="79" applyNumberFormat="0" applyAlignment="0" applyProtection="0"/>
    <xf numFmtId="0" fontId="126" fillId="63" borderId="79" applyNumberFormat="0" applyAlignment="0" applyProtection="0"/>
    <xf numFmtId="0" fontId="141" fillId="65" borderId="79" applyNumberFormat="0" applyAlignment="0" applyProtection="0"/>
    <xf numFmtId="0" fontId="142" fillId="65" borderId="79" applyNumberFormat="0" applyAlignment="0" applyProtection="0"/>
    <xf numFmtId="0" fontId="141" fillId="65" borderId="79" applyNumberFormat="0" applyAlignment="0" applyProtection="0"/>
    <xf numFmtId="0" fontId="141" fillId="65" borderId="79" applyNumberFormat="0" applyAlignment="0" applyProtection="0"/>
    <xf numFmtId="0" fontId="141" fillId="65" borderId="79" applyNumberFormat="0" applyAlignment="0" applyProtection="0"/>
    <xf numFmtId="0" fontId="141" fillId="65" borderId="79" applyNumberFormat="0" applyAlignment="0" applyProtection="0"/>
    <xf numFmtId="0" fontId="151" fillId="63" borderId="80" applyNumberFormat="0" applyAlignment="0" applyProtection="0"/>
    <xf numFmtId="0" fontId="152" fillId="76" borderId="80" applyNumberFormat="0" applyAlignment="0" applyProtection="0"/>
    <xf numFmtId="0" fontId="151" fillId="63" borderId="80" applyNumberFormat="0" applyAlignment="0" applyProtection="0"/>
    <xf numFmtId="0" fontId="151" fillId="63" borderId="80" applyNumberFormat="0" applyAlignment="0" applyProtection="0"/>
    <xf numFmtId="0" fontId="151" fillId="63" borderId="80" applyNumberFormat="0" applyAlignment="0" applyProtection="0"/>
    <xf numFmtId="0" fontId="151" fillId="63" borderId="80" applyNumberFormat="0" applyAlignment="0" applyProtection="0"/>
    <xf numFmtId="0" fontId="156" fillId="0" borderId="81" applyNumberFormat="0" applyFill="0" applyAlignment="0" applyProtection="0"/>
    <xf numFmtId="0" fontId="13" fillId="0" borderId="82" applyNumberFormat="0" applyFill="0" applyAlignment="0" applyProtection="0"/>
    <xf numFmtId="0" fontId="156" fillId="0" borderId="81" applyNumberFormat="0" applyFill="0" applyAlignment="0" applyProtection="0"/>
    <xf numFmtId="0" fontId="156" fillId="0" borderId="81" applyNumberFormat="0" applyFill="0" applyAlignment="0" applyProtection="0"/>
    <xf numFmtId="0" fontId="156" fillId="0" borderId="81" applyNumberFormat="0" applyFill="0" applyAlignment="0" applyProtection="0"/>
    <xf numFmtId="0" fontId="156" fillId="0" borderId="81" applyNumberFormat="0" applyFill="0" applyAlignment="0" applyProtection="0"/>
    <xf numFmtId="0" fontId="152" fillId="76" borderId="80" applyNumberFormat="0" applyAlignment="0" applyProtection="0"/>
    <xf numFmtId="0" fontId="127" fillId="76" borderId="79" applyNumberFormat="0" applyAlignment="0" applyProtection="0"/>
    <xf numFmtId="0" fontId="142" fillId="65" borderId="79" applyNumberFormat="0" applyAlignment="0" applyProtection="0"/>
    <xf numFmtId="0" fontId="13" fillId="0" borderId="82" applyNumberFormat="0" applyFill="0" applyAlignment="0" applyProtection="0"/>
    <xf numFmtId="0" fontId="164" fillId="0" borderId="0"/>
    <xf numFmtId="43" fontId="4" fillId="0" borderId="0" applyFont="0" applyFill="0" applyBorder="0" applyAlignment="0" applyProtection="0"/>
    <xf numFmtId="0" fontId="126" fillId="63" borderId="88" applyNumberFormat="0" applyAlignment="0" applyProtection="0"/>
    <xf numFmtId="0" fontId="127" fillId="76" borderId="88" applyNumberFormat="0" applyAlignment="0" applyProtection="0"/>
    <xf numFmtId="0" fontId="126" fillId="63" borderId="88" applyNumberFormat="0" applyAlignment="0" applyProtection="0"/>
    <xf numFmtId="0" fontId="126" fillId="63" borderId="88" applyNumberFormat="0" applyAlignment="0" applyProtection="0"/>
    <xf numFmtId="0" fontId="126" fillId="63" borderId="88" applyNumberFormat="0" applyAlignment="0" applyProtection="0"/>
    <xf numFmtId="0" fontId="126" fillId="63" borderId="88" applyNumberFormat="0" applyAlignment="0" applyProtection="0"/>
    <xf numFmtId="0" fontId="141" fillId="65" borderId="88" applyNumberFormat="0" applyAlignment="0" applyProtection="0"/>
    <xf numFmtId="0" fontId="142" fillId="65" borderId="88" applyNumberFormat="0" applyAlignment="0" applyProtection="0"/>
    <xf numFmtId="0" fontId="141" fillId="65" borderId="88" applyNumberFormat="0" applyAlignment="0" applyProtection="0"/>
    <xf numFmtId="0" fontId="141" fillId="65" borderId="88" applyNumberFormat="0" applyAlignment="0" applyProtection="0"/>
    <xf numFmtId="0" fontId="141" fillId="65" borderId="88" applyNumberFormat="0" applyAlignment="0" applyProtection="0"/>
    <xf numFmtId="0" fontId="141" fillId="65" borderId="88" applyNumberFormat="0" applyAlignment="0" applyProtection="0"/>
    <xf numFmtId="0" fontId="127" fillId="76" borderId="88" applyNumberFormat="0" applyAlignment="0" applyProtection="0"/>
    <xf numFmtId="0" fontId="142" fillId="65" borderId="88" applyNumberFormat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94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4" fillId="66" borderId="65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4" fillId="66" borderId="65" applyNumberFormat="0" applyFont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94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61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6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94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0" fontId="50" fillId="50" borderId="64" applyNumberFormat="0" applyFont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166" fillId="0" borderId="0"/>
    <xf numFmtId="43" fontId="166" fillId="0" borderId="0" applyFont="0" applyFill="0" applyBorder="0" applyAlignment="0" applyProtection="0"/>
    <xf numFmtId="43" fontId="166" fillId="0" borderId="0" applyFont="0" applyFill="0" applyBorder="0" applyAlignment="0" applyProtection="0"/>
    <xf numFmtId="0" fontId="166" fillId="0" borderId="0"/>
    <xf numFmtId="0" fontId="171" fillId="0" borderId="0"/>
    <xf numFmtId="43" fontId="4" fillId="0" borderId="0" applyFont="0" applyFill="0" applyBorder="0" applyAlignment="0" applyProtection="0"/>
    <xf numFmtId="0" fontId="171" fillId="0" borderId="0"/>
    <xf numFmtId="10" fontId="29" fillId="2" borderId="94" applyNumberFormat="0" applyBorder="0" applyAlignment="0" applyProtection="0"/>
    <xf numFmtId="0" fontId="19" fillId="0" borderId="95">
      <alignment horizontal="left" vertical="center"/>
    </xf>
    <xf numFmtId="0" fontId="19" fillId="0" borderId="95">
      <alignment horizontal="left" vertical="center"/>
    </xf>
    <xf numFmtId="0" fontId="126" fillId="63" borderId="89" applyNumberFormat="0" applyAlignment="0" applyProtection="0"/>
    <xf numFmtId="0" fontId="127" fillId="76" borderId="89" applyNumberFormat="0" applyAlignment="0" applyProtection="0"/>
    <xf numFmtId="0" fontId="126" fillId="63" borderId="89" applyNumberFormat="0" applyAlignment="0" applyProtection="0"/>
    <xf numFmtId="0" fontId="126" fillId="63" borderId="89" applyNumberFormat="0" applyAlignment="0" applyProtection="0"/>
    <xf numFmtId="0" fontId="126" fillId="63" borderId="89" applyNumberFormat="0" applyAlignment="0" applyProtection="0"/>
    <xf numFmtId="0" fontId="126" fillId="63" borderId="89" applyNumberFormat="0" applyAlignment="0" applyProtection="0"/>
    <xf numFmtId="0" fontId="141" fillId="65" borderId="89" applyNumberFormat="0" applyAlignment="0" applyProtection="0"/>
    <xf numFmtId="0" fontId="142" fillId="65" borderId="89" applyNumberFormat="0" applyAlignment="0" applyProtection="0"/>
    <xf numFmtId="0" fontId="141" fillId="65" borderId="89" applyNumberFormat="0" applyAlignment="0" applyProtection="0"/>
    <xf numFmtId="0" fontId="141" fillId="65" borderId="89" applyNumberFormat="0" applyAlignment="0" applyProtection="0"/>
    <xf numFmtId="0" fontId="141" fillId="65" borderId="89" applyNumberFormat="0" applyAlignment="0" applyProtection="0"/>
    <xf numFmtId="0" fontId="141" fillId="65" borderId="89" applyNumberFormat="0" applyAlignment="0" applyProtection="0"/>
    <xf numFmtId="0" fontId="151" fillId="63" borderId="90" applyNumberFormat="0" applyAlignment="0" applyProtection="0"/>
    <xf numFmtId="0" fontId="152" fillId="76" borderId="90" applyNumberFormat="0" applyAlignment="0" applyProtection="0"/>
    <xf numFmtId="0" fontId="151" fillId="63" borderId="90" applyNumberFormat="0" applyAlignment="0" applyProtection="0"/>
    <xf numFmtId="0" fontId="151" fillId="63" borderId="90" applyNumberFormat="0" applyAlignment="0" applyProtection="0"/>
    <xf numFmtId="0" fontId="151" fillId="63" borderId="90" applyNumberFormat="0" applyAlignment="0" applyProtection="0"/>
    <xf numFmtId="0" fontId="151" fillId="63" borderId="90" applyNumberFormat="0" applyAlignment="0" applyProtection="0"/>
    <xf numFmtId="0" fontId="156" fillId="0" borderId="91" applyNumberFormat="0" applyFill="0" applyAlignment="0" applyProtection="0"/>
    <xf numFmtId="0" fontId="13" fillId="0" borderId="92" applyNumberFormat="0" applyFill="0" applyAlignment="0" applyProtection="0"/>
    <xf numFmtId="0" fontId="156" fillId="0" borderId="91" applyNumberFormat="0" applyFill="0" applyAlignment="0" applyProtection="0"/>
    <xf numFmtId="0" fontId="156" fillId="0" borderId="91" applyNumberFormat="0" applyFill="0" applyAlignment="0" applyProtection="0"/>
    <xf numFmtId="0" fontId="156" fillId="0" borderId="91" applyNumberFormat="0" applyFill="0" applyAlignment="0" applyProtection="0"/>
    <xf numFmtId="0" fontId="156" fillId="0" borderId="91" applyNumberFormat="0" applyFill="0" applyAlignment="0" applyProtection="0"/>
    <xf numFmtId="0" fontId="152" fillId="76" borderId="90" applyNumberFormat="0" applyAlignment="0" applyProtection="0"/>
    <xf numFmtId="0" fontId="127" fillId="76" borderId="89" applyNumberFormat="0" applyAlignment="0" applyProtection="0"/>
    <xf numFmtId="0" fontId="142" fillId="65" borderId="89" applyNumberFormat="0" applyAlignment="0" applyProtection="0"/>
    <xf numFmtId="0" fontId="13" fillId="0" borderId="92" applyNumberFormat="0" applyFill="0" applyAlignment="0" applyProtection="0"/>
    <xf numFmtId="43" fontId="4" fillId="0" borderId="0" applyFont="0" applyFill="0" applyBorder="0" applyAlignment="0" applyProtection="0"/>
    <xf numFmtId="0" fontId="171" fillId="0" borderId="0"/>
    <xf numFmtId="43" fontId="4" fillId="0" borderId="0" applyFont="0" applyFill="0" applyBorder="0" applyAlignment="0" applyProtection="0"/>
    <xf numFmtId="0" fontId="19" fillId="0" borderId="95">
      <alignment horizontal="left" vertical="center"/>
    </xf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4" fillId="66" borderId="93" applyNumberFormat="0" applyFont="0" applyAlignment="0" applyProtection="0"/>
    <xf numFmtId="0" fontId="19" fillId="0" borderId="95">
      <alignment horizontal="left" vertical="center"/>
    </xf>
    <xf numFmtId="0" fontId="19" fillId="0" borderId="95">
      <alignment horizontal="left" vertical="center"/>
    </xf>
    <xf numFmtId="0" fontId="148" fillId="3" borderId="6">
      <alignment horizontal="center"/>
      <protection locked="0"/>
    </xf>
    <xf numFmtId="0" fontId="4" fillId="5" borderId="6">
      <alignment horizontal="center"/>
      <protection locked="0"/>
    </xf>
    <xf numFmtId="0" fontId="148" fillId="5" borderId="6">
      <alignment horizontal="center"/>
      <protection locked="0"/>
    </xf>
    <xf numFmtId="49" fontId="148" fillId="103" borderId="6">
      <alignment horizontal="center"/>
      <protection locked="0"/>
    </xf>
    <xf numFmtId="0" fontId="148" fillId="103" borderId="6">
      <alignment horizontal="center"/>
      <protection locked="0"/>
    </xf>
    <xf numFmtId="0" fontId="148" fillId="104" borderId="6">
      <alignment horizontal="center"/>
      <protection locked="0"/>
    </xf>
    <xf numFmtId="0" fontId="148" fillId="105" borderId="6">
      <alignment horizontal="right"/>
      <protection locked="0"/>
    </xf>
    <xf numFmtId="0" fontId="148" fillId="15" borderId="6">
      <alignment horizontal="center"/>
      <protection locked="0"/>
    </xf>
    <xf numFmtId="0" fontId="148" fillId="15" borderId="0">
      <alignment horizontal="center"/>
      <protection locked="0"/>
    </xf>
    <xf numFmtId="0" fontId="148" fillId="0" borderId="0">
      <alignment horizontal="center"/>
      <protection locked="0"/>
    </xf>
    <xf numFmtId="0" fontId="4" fillId="0" borderId="0"/>
    <xf numFmtId="166" fontId="4" fillId="0" borderId="0">
      <alignment horizontal="right"/>
    </xf>
    <xf numFmtId="43" fontId="148" fillId="105" borderId="0">
      <alignment horizontal="right"/>
      <protection locked="0"/>
    </xf>
    <xf numFmtId="170" fontId="4" fillId="0" borderId="0">
      <alignment horizontal="right"/>
    </xf>
    <xf numFmtId="166" fontId="4" fillId="0" borderId="0">
      <alignment horizontal="right"/>
    </xf>
    <xf numFmtId="0" fontId="173" fillId="0" borderId="0"/>
    <xf numFmtId="43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43" fontId="173" fillId="0" borderId="0" applyFont="0" applyFill="0" applyBorder="0" applyAlignment="0" applyProtection="0"/>
    <xf numFmtId="0" fontId="173" fillId="0" borderId="0"/>
    <xf numFmtId="43" fontId="173" fillId="0" borderId="0" applyFont="0" applyFill="0" applyBorder="0" applyAlignment="0" applyProtection="0"/>
    <xf numFmtId="0" fontId="173" fillId="0" borderId="0"/>
    <xf numFmtId="43" fontId="173" fillId="0" borderId="0" applyFont="0" applyFill="0" applyBorder="0" applyAlignment="0" applyProtection="0"/>
    <xf numFmtId="0" fontId="173" fillId="0" borderId="0"/>
    <xf numFmtId="43" fontId="173" fillId="0" borderId="0" applyFont="0" applyFill="0" applyBorder="0" applyAlignment="0" applyProtection="0"/>
    <xf numFmtId="0" fontId="173" fillId="0" borderId="0"/>
    <xf numFmtId="0" fontId="174" fillId="0" borderId="0"/>
    <xf numFmtId="165" fontId="174" fillId="0" borderId="0" applyFont="0" applyFill="0" applyBorder="0" applyAlignment="0" applyProtection="0"/>
    <xf numFmtId="0" fontId="175" fillId="0" borderId="0" applyNumberFormat="0" applyFill="0" applyBorder="0" applyAlignment="0" applyProtection="0">
      <alignment vertical="top"/>
      <protection locked="0"/>
    </xf>
    <xf numFmtId="9" fontId="174" fillId="0" borderId="0" applyFont="0" applyFill="0" applyBorder="0" applyAlignment="0" applyProtection="0"/>
    <xf numFmtId="0" fontId="176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6" fillId="0" borderId="0"/>
    <xf numFmtId="165" fontId="3" fillId="0" borderId="0" applyFont="0" applyFill="0" applyBorder="0" applyAlignment="0" applyProtection="0"/>
    <xf numFmtId="0" fontId="176" fillId="0" borderId="0"/>
    <xf numFmtId="165" fontId="3" fillId="0" borderId="0" applyFont="0" applyFill="0" applyBorder="0" applyAlignment="0" applyProtection="0"/>
    <xf numFmtId="0" fontId="176" fillId="0" borderId="0"/>
    <xf numFmtId="165" fontId="3" fillId="0" borderId="0" applyFont="0" applyFill="0" applyBorder="0" applyAlignment="0" applyProtection="0"/>
    <xf numFmtId="0" fontId="176" fillId="0" borderId="0"/>
    <xf numFmtId="165" fontId="3" fillId="0" borderId="0" applyFont="0" applyFill="0" applyBorder="0" applyAlignment="0" applyProtection="0"/>
    <xf numFmtId="0" fontId="176" fillId="0" borderId="0"/>
    <xf numFmtId="43" fontId="4" fillId="0" borderId="0" applyFont="0" applyFill="0" applyBorder="0" applyAlignment="0" applyProtection="0"/>
    <xf numFmtId="0" fontId="177" fillId="0" borderId="0"/>
    <xf numFmtId="43" fontId="4" fillId="0" borderId="0" applyFont="0" applyFill="0" applyBorder="0" applyAlignment="0" applyProtection="0"/>
    <xf numFmtId="0" fontId="19" fillId="0" borderId="116">
      <alignment horizontal="left" vertical="center"/>
    </xf>
    <xf numFmtId="0" fontId="126" fillId="63" borderId="110" applyNumberFormat="0" applyAlignment="0" applyProtection="0"/>
    <xf numFmtId="0" fontId="127" fillId="76" borderId="110" applyNumberFormat="0" applyAlignment="0" applyProtection="0"/>
    <xf numFmtId="0" fontId="126" fillId="63" borderId="110" applyNumberFormat="0" applyAlignment="0" applyProtection="0"/>
    <xf numFmtId="0" fontId="126" fillId="63" borderId="110" applyNumberFormat="0" applyAlignment="0" applyProtection="0"/>
    <xf numFmtId="0" fontId="126" fillId="63" borderId="110" applyNumberFormat="0" applyAlignment="0" applyProtection="0"/>
    <xf numFmtId="0" fontId="126" fillId="63" borderId="110" applyNumberFormat="0" applyAlignment="0" applyProtection="0"/>
    <xf numFmtId="0" fontId="141" fillId="65" borderId="110" applyNumberFormat="0" applyAlignment="0" applyProtection="0"/>
    <xf numFmtId="0" fontId="142" fillId="65" borderId="110" applyNumberFormat="0" applyAlignment="0" applyProtection="0"/>
    <xf numFmtId="0" fontId="141" fillId="65" borderId="110" applyNumberFormat="0" applyAlignment="0" applyProtection="0"/>
    <xf numFmtId="0" fontId="141" fillId="65" borderId="110" applyNumberFormat="0" applyAlignment="0" applyProtection="0"/>
    <xf numFmtId="0" fontId="141" fillId="65" borderId="110" applyNumberFormat="0" applyAlignment="0" applyProtection="0"/>
    <xf numFmtId="0" fontId="141" fillId="65" borderId="110" applyNumberForma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4" fillId="66" borderId="109" applyNumberFormat="0" applyFont="0" applyAlignment="0" applyProtection="0"/>
    <xf numFmtId="0" fontId="151" fillId="63" borderId="111" applyNumberFormat="0" applyAlignment="0" applyProtection="0"/>
    <xf numFmtId="0" fontId="152" fillId="76" borderId="111" applyNumberFormat="0" applyAlignment="0" applyProtection="0"/>
    <xf numFmtId="0" fontId="151" fillId="63" borderId="111" applyNumberFormat="0" applyAlignment="0" applyProtection="0"/>
    <xf numFmtId="0" fontId="151" fillId="63" borderId="111" applyNumberFormat="0" applyAlignment="0" applyProtection="0"/>
    <xf numFmtId="0" fontId="151" fillId="63" borderId="111" applyNumberFormat="0" applyAlignment="0" applyProtection="0"/>
    <xf numFmtId="0" fontId="151" fillId="63" borderId="111" applyNumberFormat="0" applyAlignment="0" applyProtection="0"/>
    <xf numFmtId="0" fontId="156" fillId="0" borderId="112" applyNumberFormat="0" applyFill="0" applyAlignment="0" applyProtection="0"/>
    <xf numFmtId="0" fontId="13" fillId="0" borderId="113" applyNumberFormat="0" applyFill="0" applyAlignment="0" applyProtection="0"/>
    <xf numFmtId="0" fontId="156" fillId="0" borderId="112" applyNumberFormat="0" applyFill="0" applyAlignment="0" applyProtection="0"/>
    <xf numFmtId="0" fontId="156" fillId="0" borderId="112" applyNumberFormat="0" applyFill="0" applyAlignment="0" applyProtection="0"/>
    <xf numFmtId="0" fontId="156" fillId="0" borderId="112" applyNumberFormat="0" applyFill="0" applyAlignment="0" applyProtection="0"/>
    <xf numFmtId="0" fontId="156" fillId="0" borderId="112" applyNumberFormat="0" applyFill="0" applyAlignment="0" applyProtection="0"/>
    <xf numFmtId="0" fontId="152" fillId="76" borderId="111" applyNumberFormat="0" applyAlignment="0" applyProtection="0"/>
    <xf numFmtId="0" fontId="127" fillId="76" borderId="110" applyNumberFormat="0" applyAlignment="0" applyProtection="0"/>
    <xf numFmtId="0" fontId="142" fillId="65" borderId="110" applyNumberFormat="0" applyAlignment="0" applyProtection="0"/>
    <xf numFmtId="0" fontId="13" fillId="0" borderId="113" applyNumberFormat="0" applyFill="0" applyAlignment="0" applyProtection="0"/>
    <xf numFmtId="0" fontId="4" fillId="66" borderId="109" applyNumberFormat="0" applyFont="0" applyAlignment="0" applyProtection="0"/>
    <xf numFmtId="43" fontId="4" fillId="0" borderId="0" applyFont="0" applyFill="0" applyBorder="0" applyAlignment="0" applyProtection="0"/>
    <xf numFmtId="0" fontId="177" fillId="0" borderId="0"/>
    <xf numFmtId="43" fontId="4" fillId="0" borderId="0" applyFont="0" applyFill="0" applyBorder="0" applyAlignment="0" applyProtection="0"/>
    <xf numFmtId="0" fontId="19" fillId="0" borderId="116">
      <alignment horizontal="left" vertical="center"/>
    </xf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4" fillId="66" borderId="114" applyNumberFormat="0" applyFont="0" applyAlignment="0" applyProtection="0"/>
    <xf numFmtId="0" fontId="19" fillId="0" borderId="116">
      <alignment horizontal="left" vertical="center"/>
    </xf>
    <xf numFmtId="0" fontId="177" fillId="0" borderId="0"/>
    <xf numFmtId="0" fontId="177" fillId="0" borderId="0"/>
    <xf numFmtId="10" fontId="29" fillId="2" borderId="115" applyNumberFormat="0" applyBorder="0" applyAlignment="0" applyProtection="0"/>
    <xf numFmtId="0" fontId="19" fillId="0" borderId="116">
      <alignment horizontal="left" vertical="center"/>
    </xf>
    <xf numFmtId="0" fontId="19" fillId="0" borderId="116">
      <alignment horizontal="left" vertical="center"/>
    </xf>
    <xf numFmtId="0" fontId="188" fillId="0" borderId="0"/>
    <xf numFmtId="165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165" fontId="188" fillId="0" borderId="0" applyFont="0" applyFill="0" applyBorder="0" applyAlignment="0" applyProtection="0"/>
    <xf numFmtId="165" fontId="188" fillId="0" borderId="0" applyFont="0" applyFill="0" applyBorder="0" applyAlignment="0" applyProtection="0"/>
    <xf numFmtId="0" fontId="188" fillId="0" borderId="0"/>
    <xf numFmtId="0" fontId="99" fillId="0" borderId="0"/>
    <xf numFmtId="43" fontId="148" fillId="105" borderId="0">
      <alignment horizontal="right"/>
      <protection locked="0"/>
    </xf>
    <xf numFmtId="0" fontId="99" fillId="0" borderId="0"/>
    <xf numFmtId="0" fontId="99" fillId="0" borderId="0"/>
    <xf numFmtId="0" fontId="194" fillId="0" borderId="0"/>
    <xf numFmtId="165" fontId="194" fillId="0" borderId="0" applyFont="0" applyFill="0" applyBorder="0" applyAlignment="0" applyProtection="0"/>
    <xf numFmtId="9" fontId="194" fillId="0" borderId="0" applyFont="0" applyFill="0" applyBorder="0" applyAlignment="0" applyProtection="0"/>
    <xf numFmtId="0" fontId="194" fillId="0" borderId="0"/>
    <xf numFmtId="165" fontId="194" fillId="0" borderId="0" applyFont="0" applyFill="0" applyBorder="0" applyAlignment="0" applyProtection="0"/>
    <xf numFmtId="0" fontId="195" fillId="0" borderId="0"/>
    <xf numFmtId="165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165" fontId="195" fillId="0" borderId="0" applyFont="0" applyFill="0" applyBorder="0" applyAlignment="0" applyProtection="0"/>
    <xf numFmtId="0" fontId="195" fillId="0" borderId="0"/>
    <xf numFmtId="165" fontId="195" fillId="0" borderId="0" applyFont="0" applyFill="0" applyBorder="0" applyAlignment="0" applyProtection="0"/>
    <xf numFmtId="165" fontId="195" fillId="0" borderId="0" applyFont="0" applyFill="0" applyBorder="0" applyAlignment="0" applyProtection="0"/>
    <xf numFmtId="0" fontId="195" fillId="0" borderId="0"/>
    <xf numFmtId="165" fontId="195" fillId="0" borderId="0" applyFont="0" applyFill="0" applyBorder="0" applyAlignment="0" applyProtection="0"/>
    <xf numFmtId="0" fontId="195" fillId="0" borderId="0"/>
    <xf numFmtId="165" fontId="195" fillId="0" borderId="0" applyFont="0" applyFill="0" applyBorder="0" applyAlignment="0" applyProtection="0"/>
    <xf numFmtId="0" fontId="195" fillId="0" borderId="0"/>
    <xf numFmtId="0" fontId="195" fillId="0" borderId="0"/>
    <xf numFmtId="165" fontId="195" fillId="0" borderId="0" applyFont="0" applyFill="0" applyBorder="0" applyAlignment="0" applyProtection="0"/>
    <xf numFmtId="165" fontId="195" fillId="0" borderId="0" applyFont="0" applyFill="0" applyBorder="0" applyAlignment="0" applyProtection="0"/>
    <xf numFmtId="0" fontId="195" fillId="0" borderId="0"/>
    <xf numFmtId="0" fontId="197" fillId="0" borderId="0"/>
    <xf numFmtId="165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165" fontId="197" fillId="0" borderId="0" applyFont="0" applyFill="0" applyBorder="0" applyAlignment="0" applyProtection="0"/>
    <xf numFmtId="0" fontId="99" fillId="0" borderId="0"/>
    <xf numFmtId="0" fontId="197" fillId="0" borderId="0"/>
    <xf numFmtId="165" fontId="197" fillId="0" borderId="0" applyFont="0" applyFill="0" applyBorder="0" applyAlignment="0" applyProtection="0"/>
    <xf numFmtId="165" fontId="197" fillId="0" borderId="0" applyFont="0" applyFill="0" applyBorder="0" applyAlignment="0" applyProtection="0"/>
    <xf numFmtId="0" fontId="197" fillId="0" borderId="0"/>
    <xf numFmtId="165" fontId="197" fillId="0" borderId="0" applyFont="0" applyFill="0" applyBorder="0" applyAlignment="0" applyProtection="0"/>
    <xf numFmtId="0" fontId="197" fillId="0" borderId="0"/>
    <xf numFmtId="0" fontId="198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98" fillId="0" borderId="0"/>
    <xf numFmtId="0" fontId="99" fillId="0" borderId="0"/>
    <xf numFmtId="199" fontId="210" fillId="0" borderId="0"/>
    <xf numFmtId="0" fontId="50" fillId="0" borderId="0"/>
    <xf numFmtId="165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4" fillId="0" borderId="0"/>
    <xf numFmtId="165" fontId="50" fillId="0" borderId="0" applyFont="0" applyFill="0" applyBorder="0" applyAlignment="0" applyProtection="0"/>
    <xf numFmtId="0" fontId="50" fillId="0" borderId="0"/>
    <xf numFmtId="0" fontId="1" fillId="0" borderId="0"/>
    <xf numFmtId="0" fontId="50" fillId="0" borderId="0"/>
  </cellStyleXfs>
  <cellXfs count="1438">
    <xf numFmtId="167" fontId="0" fillId="0" borderId="0" xfId="0"/>
    <xf numFmtId="167" fontId="0" fillId="2" borderId="0" xfId="0" applyFill="1"/>
    <xf numFmtId="167" fontId="13" fillId="2" borderId="0" xfId="0" applyFont="1" applyFill="1"/>
    <xf numFmtId="167" fontId="7" fillId="0" borderId="4" xfId="9" applyFont="1" applyBorder="1"/>
    <xf numFmtId="167" fontId="8" fillId="2" borderId="0" xfId="0" applyFont="1" applyFill="1"/>
    <xf numFmtId="167" fontId="16" fillId="2" borderId="6" xfId="0" applyFont="1" applyFill="1" applyBorder="1"/>
    <xf numFmtId="167" fontId="16" fillId="2" borderId="7" xfId="0" applyFont="1" applyFill="1" applyBorder="1"/>
    <xf numFmtId="166" fontId="20" fillId="2" borderId="0" xfId="2" applyNumberFormat="1" applyFont="1" applyFill="1" applyAlignment="1">
      <alignment horizontal="center"/>
    </xf>
    <xf numFmtId="167" fontId="21" fillId="2" borderId="4" xfId="9" applyFont="1" applyFill="1" applyBorder="1" applyAlignment="1">
      <alignment horizontal="center"/>
    </xf>
    <xf numFmtId="167" fontId="32" fillId="0" borderId="4" xfId="9" applyFont="1" applyBorder="1"/>
    <xf numFmtId="167" fontId="17" fillId="2" borderId="9" xfId="0" applyFont="1" applyFill="1" applyBorder="1" applyAlignment="1">
      <alignment horizontal="center"/>
    </xf>
    <xf numFmtId="167" fontId="8" fillId="2" borderId="0" xfId="0" applyFont="1" applyFill="1" applyAlignment="1">
      <alignment horizontal="center"/>
    </xf>
    <xf numFmtId="167" fontId="38" fillId="7" borderId="17" xfId="11" applyFont="1" applyFill="1" applyBorder="1" applyAlignment="1">
      <alignment horizontal="left"/>
    </xf>
    <xf numFmtId="167" fontId="38" fillId="7" borderId="18" xfId="11" applyFont="1" applyFill="1" applyBorder="1" applyAlignment="1">
      <alignment horizontal="left"/>
    </xf>
    <xf numFmtId="166" fontId="38" fillId="7" borderId="19" xfId="4" applyNumberFormat="1" applyFont="1" applyFill="1" applyBorder="1"/>
    <xf numFmtId="166" fontId="38" fillId="7" borderId="20" xfId="4" applyNumberFormat="1" applyFont="1" applyFill="1" applyBorder="1"/>
    <xf numFmtId="167" fontId="18" fillId="5" borderId="6" xfId="11" applyFont="1" applyFill="1" applyBorder="1" applyAlignment="1">
      <alignment horizontal="center"/>
    </xf>
    <xf numFmtId="167" fontId="18" fillId="5" borderId="7" xfId="11" applyFont="1" applyFill="1" applyBorder="1" applyAlignment="1">
      <alignment horizontal="center"/>
    </xf>
    <xf numFmtId="167" fontId="18" fillId="8" borderId="6" xfId="11" applyFont="1" applyFill="1" applyBorder="1" applyAlignment="1">
      <alignment horizontal="center"/>
    </xf>
    <xf numFmtId="166" fontId="18" fillId="8" borderId="6" xfId="4" applyNumberFormat="1" applyFont="1" applyFill="1" applyBorder="1"/>
    <xf numFmtId="167" fontId="31" fillId="3" borderId="7" xfId="11" applyFont="1" applyFill="1" applyBorder="1" applyAlignment="1">
      <alignment horizontal="center"/>
    </xf>
    <xf numFmtId="166" fontId="31" fillId="3" borderId="7" xfId="4" applyNumberFormat="1" applyFont="1" applyFill="1" applyBorder="1"/>
    <xf numFmtId="166" fontId="18" fillId="3" borderId="7" xfId="4" applyNumberFormat="1" applyFont="1" applyFill="1" applyBorder="1"/>
    <xf numFmtId="171" fontId="18" fillId="8" borderId="6" xfId="4" applyNumberFormat="1" applyFont="1" applyFill="1" applyBorder="1"/>
    <xf numFmtId="170" fontId="18" fillId="3" borderId="7" xfId="4" applyNumberFormat="1" applyFont="1" applyFill="1" applyBorder="1"/>
    <xf numFmtId="173" fontId="18" fillId="5" borderId="6" xfId="4" applyNumberFormat="1" applyFont="1" applyFill="1" applyBorder="1"/>
    <xf numFmtId="174" fontId="18" fillId="2" borderId="7" xfId="4" applyNumberFormat="1" applyFont="1" applyFill="1" applyBorder="1"/>
    <xf numFmtId="174" fontId="18" fillId="5" borderId="7" xfId="4" applyNumberFormat="1" applyFont="1" applyFill="1" applyBorder="1"/>
    <xf numFmtId="166" fontId="0" fillId="2" borderId="0" xfId="0" applyNumberFormat="1" applyFill="1"/>
    <xf numFmtId="43" fontId="0" fillId="2" borderId="0" xfId="0" applyNumberFormat="1" applyFill="1"/>
    <xf numFmtId="167" fontId="16" fillId="2" borderId="27" xfId="0" applyFont="1" applyFill="1" applyBorder="1"/>
    <xf numFmtId="167" fontId="3" fillId="0" borderId="0" xfId="9"/>
    <xf numFmtId="167" fontId="16" fillId="2" borderId="22" xfId="0" applyFont="1" applyFill="1" applyBorder="1"/>
    <xf numFmtId="176" fontId="0" fillId="2" borderId="6" xfId="0" applyNumberFormat="1" applyFill="1" applyBorder="1" applyAlignment="1">
      <alignment horizontal="center"/>
    </xf>
    <xf numFmtId="176" fontId="0" fillId="9" borderId="6" xfId="0" applyNumberFormat="1" applyFill="1" applyBorder="1" applyAlignment="1">
      <alignment horizontal="center"/>
    </xf>
    <xf numFmtId="176" fontId="0" fillId="2" borderId="22" xfId="0" applyNumberFormat="1" applyFill="1" applyBorder="1" applyAlignment="1">
      <alignment horizontal="center"/>
    </xf>
    <xf numFmtId="176" fontId="0" fillId="9" borderId="22" xfId="0" applyNumberFormat="1" applyFill="1" applyBorder="1" applyAlignment="1">
      <alignment horizontal="center"/>
    </xf>
    <xf numFmtId="165" fontId="0" fillId="2" borderId="0" xfId="0" applyNumberFormat="1" applyFill="1"/>
    <xf numFmtId="167" fontId="14" fillId="2" borderId="18" xfId="0" applyFont="1" applyFill="1" applyBorder="1" applyAlignment="1">
      <alignment horizontal="right"/>
    </xf>
    <xf numFmtId="165" fontId="0" fillId="9" borderId="8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2" fontId="0" fillId="2" borderId="0" xfId="0" applyNumberFormat="1" applyFill="1"/>
    <xf numFmtId="167" fontId="16" fillId="6" borderId="8" xfId="0" applyFont="1" applyFill="1" applyBorder="1"/>
    <xf numFmtId="176" fontId="0" fillId="6" borderId="8" xfId="0" applyNumberFormat="1" applyFill="1" applyBorder="1" applyAlignment="1">
      <alignment horizontal="center"/>
    </xf>
    <xf numFmtId="176" fontId="0" fillId="6" borderId="7" xfId="0" applyNumberFormat="1" applyFill="1" applyBorder="1" applyAlignment="1">
      <alignment horizontal="center"/>
    </xf>
    <xf numFmtId="167" fontId="25" fillId="2" borderId="0" xfId="10" applyFill="1"/>
    <xf numFmtId="167" fontId="25" fillId="2" borderId="0" xfId="10" applyFill="1" applyProtection="1">
      <protection locked="0"/>
    </xf>
    <xf numFmtId="167" fontId="30" fillId="2" borderId="0" xfId="10" applyFont="1" applyFill="1"/>
    <xf numFmtId="167" fontId="4" fillId="2" borderId="0" xfId="10" applyFont="1" applyFill="1"/>
    <xf numFmtId="176" fontId="0" fillId="6" borderId="27" xfId="0" applyNumberFormat="1" applyFill="1" applyBorder="1" applyAlignment="1">
      <alignment horizontal="center"/>
    </xf>
    <xf numFmtId="4" fontId="0" fillId="2" borderId="0" xfId="0" applyNumberFormat="1" applyFill="1"/>
    <xf numFmtId="43" fontId="0" fillId="2" borderId="7" xfId="0" applyNumberFormat="1" applyFill="1" applyBorder="1"/>
    <xf numFmtId="43" fontId="0" fillId="2" borderId="8" xfId="0" applyNumberFormat="1" applyFill="1" applyBorder="1"/>
    <xf numFmtId="43" fontId="0" fillId="2" borderId="6" xfId="0" applyNumberFormat="1" applyFill="1" applyBorder="1"/>
    <xf numFmtId="167" fontId="39" fillId="0" borderId="0" xfId="9" quotePrefix="1" applyFont="1"/>
    <xf numFmtId="167" fontId="16" fillId="16" borderId="19" xfId="0" applyFont="1" applyFill="1" applyBorder="1"/>
    <xf numFmtId="165" fontId="0" fillId="17" borderId="7" xfId="0" applyNumberFormat="1" applyFill="1" applyBorder="1" applyAlignment="1">
      <alignment horizontal="center"/>
    </xf>
    <xf numFmtId="43" fontId="0" fillId="2" borderId="27" xfId="0" applyNumberFormat="1" applyFill="1" applyBorder="1"/>
    <xf numFmtId="167" fontId="2" fillId="2" borderId="0" xfId="0" applyFont="1" applyFill="1"/>
    <xf numFmtId="165" fontId="0" fillId="9" borderId="22" xfId="0" applyNumberFormat="1" applyFill="1" applyBorder="1" applyAlignment="1">
      <alignment horizontal="center"/>
    </xf>
    <xf numFmtId="43" fontId="0" fillId="6" borderId="22" xfId="0" applyNumberFormat="1" applyFill="1" applyBorder="1"/>
    <xf numFmtId="167" fontId="0" fillId="25" borderId="0" xfId="0" applyFill="1"/>
    <xf numFmtId="169" fontId="0" fillId="6" borderId="6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1" fontId="0" fillId="27" borderId="6" xfId="0" applyNumberFormat="1" applyFill="1" applyBorder="1" applyAlignment="1">
      <alignment horizontal="center"/>
    </xf>
    <xf numFmtId="165" fontId="0" fillId="2" borderId="0" xfId="2" applyFont="1" applyFill="1"/>
    <xf numFmtId="165" fontId="45" fillId="2" borderId="0" xfId="2" applyFont="1" applyFill="1" applyBorder="1"/>
    <xf numFmtId="165" fontId="0" fillId="2" borderId="0" xfId="2" applyFont="1" applyFill="1" applyAlignment="1">
      <alignment vertical="center"/>
    </xf>
    <xf numFmtId="4" fontId="0" fillId="2" borderId="0" xfId="0" applyNumberFormat="1" applyFill="1" applyAlignment="1">
      <alignment horizontal="center" vertical="center"/>
    </xf>
    <xf numFmtId="169" fontId="0" fillId="2" borderId="0" xfId="2" applyNumberFormat="1" applyFont="1" applyFill="1"/>
    <xf numFmtId="41" fontId="0" fillId="17" borderId="26" xfId="0" applyNumberFormat="1" applyFill="1" applyBorder="1" applyAlignment="1">
      <alignment horizontal="center"/>
    </xf>
    <xf numFmtId="43" fontId="0" fillId="29" borderId="8" xfId="0" applyNumberFormat="1" applyFill="1" applyBorder="1"/>
    <xf numFmtId="43" fontId="0" fillId="29" borderId="6" xfId="0" applyNumberFormat="1" applyFill="1" applyBorder="1"/>
    <xf numFmtId="43" fontId="0" fillId="6" borderId="6" xfId="0" applyNumberFormat="1" applyFill="1" applyBorder="1"/>
    <xf numFmtId="167" fontId="46" fillId="2" borderId="0" xfId="0" applyFont="1" applyFill="1"/>
    <xf numFmtId="10" fontId="46" fillId="2" borderId="0" xfId="0" applyNumberFormat="1" applyFont="1" applyFill="1"/>
    <xf numFmtId="178" fontId="0" fillId="2" borderId="0" xfId="0" applyNumberFormat="1" applyFill="1"/>
    <xf numFmtId="167" fontId="16" fillId="2" borderId="47" xfId="0" applyFont="1" applyFill="1" applyBorder="1"/>
    <xf numFmtId="167" fontId="16" fillId="2" borderId="34" xfId="0" applyFont="1" applyFill="1" applyBorder="1"/>
    <xf numFmtId="167" fontId="16" fillId="2" borderId="48" xfId="0" applyFont="1" applyFill="1" applyBorder="1"/>
    <xf numFmtId="176" fontId="0" fillId="36" borderId="6" xfId="0" applyNumberFormat="1" applyFill="1" applyBorder="1" applyAlignment="1">
      <alignment horizontal="center"/>
    </xf>
    <xf numFmtId="167" fontId="8" fillId="37" borderId="4" xfId="11" applyFont="1" applyFill="1" applyBorder="1"/>
    <xf numFmtId="2" fontId="0" fillId="2" borderId="4" xfId="0" applyNumberFormat="1" applyFill="1" applyBorder="1"/>
    <xf numFmtId="10" fontId="0" fillId="2" borderId="0" xfId="0" applyNumberFormat="1" applyFill="1"/>
    <xf numFmtId="169" fontId="48" fillId="16" borderId="26" xfId="2" applyNumberFormat="1" applyFont="1" applyFill="1" applyBorder="1" applyAlignment="1">
      <alignment horizontal="center"/>
    </xf>
    <xf numFmtId="179" fontId="0" fillId="2" borderId="0" xfId="2" applyNumberFormat="1" applyFont="1" applyFill="1"/>
    <xf numFmtId="2" fontId="0" fillId="0" borderId="0" xfId="0" applyNumberFormat="1"/>
    <xf numFmtId="169" fontId="2" fillId="16" borderId="26" xfId="2" applyNumberFormat="1" applyFont="1" applyFill="1" applyBorder="1" applyAlignment="1">
      <alignment horizontal="center"/>
    </xf>
    <xf numFmtId="167" fontId="49" fillId="2" borderId="0" xfId="0" applyFont="1" applyFill="1"/>
    <xf numFmtId="180" fontId="0" fillId="2" borderId="0" xfId="0" applyNumberFormat="1" applyFill="1"/>
    <xf numFmtId="165" fontId="0" fillId="25" borderId="0" xfId="2" applyFont="1" applyFill="1" applyBorder="1" applyAlignment="1">
      <alignment horizontal="center"/>
    </xf>
    <xf numFmtId="2" fontId="0" fillId="27" borderId="6" xfId="0" applyNumberFormat="1" applyFill="1" applyBorder="1" applyAlignment="1">
      <alignment horizontal="center"/>
    </xf>
    <xf numFmtId="167" fontId="52" fillId="0" borderId="0" xfId="9" quotePrefix="1" applyFont="1"/>
    <xf numFmtId="43" fontId="0" fillId="38" borderId="6" xfId="0" applyNumberFormat="1" applyFill="1" applyBorder="1"/>
    <xf numFmtId="43" fontId="0" fillId="38" borderId="8" xfId="0" applyNumberFormat="1" applyFill="1" applyBorder="1"/>
    <xf numFmtId="43" fontId="0" fillId="38" borderId="27" xfId="0" applyNumberFormat="1" applyFill="1" applyBorder="1"/>
    <xf numFmtId="43" fontId="0" fillId="2" borderId="19" xfId="0" applyNumberFormat="1" applyFill="1" applyBorder="1" applyAlignment="1">
      <alignment vertical="center"/>
    </xf>
    <xf numFmtId="43" fontId="0" fillId="2" borderId="26" xfId="0" applyNumberFormat="1" applyFill="1" applyBorder="1" applyAlignment="1">
      <alignment vertical="center"/>
    </xf>
    <xf numFmtId="9" fontId="45" fillId="0" borderId="0" xfId="12" applyFont="1" applyFill="1"/>
    <xf numFmtId="9" fontId="46" fillId="25" borderId="0" xfId="12" applyFont="1" applyFill="1"/>
    <xf numFmtId="9" fontId="49" fillId="2" borderId="0" xfId="0" applyNumberFormat="1" applyFont="1" applyFill="1"/>
    <xf numFmtId="2" fontId="46" fillId="2" borderId="0" xfId="0" applyNumberFormat="1" applyFont="1" applyFill="1"/>
    <xf numFmtId="1" fontId="46" fillId="2" borderId="0" xfId="0" applyNumberFormat="1" applyFont="1" applyFill="1"/>
    <xf numFmtId="165" fontId="0" fillId="9" borderId="19" xfId="0" applyNumberFormat="1" applyFill="1" applyBorder="1" applyAlignment="1">
      <alignment horizontal="center"/>
    </xf>
    <xf numFmtId="169" fontId="46" fillId="2" borderId="0" xfId="2" applyNumberFormat="1" applyFont="1" applyFill="1"/>
    <xf numFmtId="2" fontId="0" fillId="2" borderId="0" xfId="2" applyNumberFormat="1" applyFont="1" applyFill="1"/>
    <xf numFmtId="2" fontId="49" fillId="2" borderId="0" xfId="0" applyNumberFormat="1" applyFont="1" applyFill="1"/>
    <xf numFmtId="2" fontId="65" fillId="2" borderId="0" xfId="8" applyNumberFormat="1" applyFont="1" applyFill="1" applyAlignment="1" applyProtection="1"/>
    <xf numFmtId="167" fontId="67" fillId="20" borderId="14" xfId="15" applyFont="1" applyBorder="1">
      <alignment horizontal="center" vertical="center"/>
    </xf>
    <xf numFmtId="167" fontId="68" fillId="2" borderId="0" xfId="0" applyFont="1" applyFill="1"/>
    <xf numFmtId="165" fontId="68" fillId="2" borderId="0" xfId="2" applyFont="1" applyFill="1"/>
    <xf numFmtId="167" fontId="73" fillId="20" borderId="43" xfId="15" applyFont="1" applyBorder="1" applyAlignment="1">
      <alignment horizontal="left" vertical="center"/>
    </xf>
    <xf numFmtId="167" fontId="74" fillId="20" borderId="44" xfId="15" applyFont="1" applyBorder="1" applyAlignment="1">
      <alignment horizontal="right" vertical="center"/>
    </xf>
    <xf numFmtId="166" fontId="75" fillId="2" borderId="33" xfId="3" applyNumberFormat="1" applyFont="1" applyFill="1" applyBorder="1" applyAlignment="1">
      <alignment horizontal="center" vertical="center"/>
    </xf>
    <xf numFmtId="166" fontId="74" fillId="2" borderId="31" xfId="3" applyNumberFormat="1" applyFont="1" applyFill="1" applyBorder="1" applyAlignment="1">
      <alignment horizontal="center" vertical="center"/>
    </xf>
    <xf numFmtId="166" fontId="76" fillId="2" borderId="22" xfId="3" applyNumberFormat="1" applyFont="1" applyFill="1" applyBorder="1" applyAlignment="1">
      <alignment horizontal="center" vertical="center"/>
    </xf>
    <xf numFmtId="174" fontId="74" fillId="2" borderId="22" xfId="13" applyNumberFormat="1" applyFont="1" applyFill="1" applyBorder="1" applyAlignment="1">
      <alignment horizontal="center" vertical="center"/>
    </xf>
    <xf numFmtId="166" fontId="75" fillId="2" borderId="22" xfId="3" applyNumberFormat="1" applyFont="1" applyFill="1" applyBorder="1" applyAlignment="1">
      <alignment horizontal="center" vertical="center"/>
    </xf>
    <xf numFmtId="174" fontId="74" fillId="2" borderId="24" xfId="13" applyNumberFormat="1" applyFont="1" applyFill="1" applyBorder="1" applyAlignment="1">
      <alignment horizontal="center" vertical="center"/>
    </xf>
    <xf numFmtId="166" fontId="76" fillId="2" borderId="31" xfId="13" applyNumberFormat="1" applyFont="1" applyFill="1" applyBorder="1" applyAlignment="1">
      <alignment horizontal="center" vertical="center"/>
    </xf>
    <xf numFmtId="166" fontId="75" fillId="2" borderId="43" xfId="13" applyNumberFormat="1" applyFont="1" applyFill="1" applyBorder="1" applyAlignment="1">
      <alignment horizontal="center" vertical="center"/>
    </xf>
    <xf numFmtId="174" fontId="74" fillId="2" borderId="24" xfId="14" applyNumberFormat="1" applyFont="1" applyFill="1" applyBorder="1" applyAlignment="1">
      <alignment horizontal="center" vertical="center"/>
    </xf>
    <xf numFmtId="166" fontId="76" fillId="2" borderId="31" xfId="3" applyNumberFormat="1" applyFont="1" applyFill="1" applyBorder="1" applyAlignment="1">
      <alignment horizontal="center" vertical="center"/>
    </xf>
    <xf numFmtId="166" fontId="75" fillId="2" borderId="43" xfId="3" applyNumberFormat="1" applyFont="1" applyFill="1" applyBorder="1" applyAlignment="1">
      <alignment horizontal="center" vertical="center"/>
    </xf>
    <xf numFmtId="174" fontId="74" fillId="2" borderId="56" xfId="13" applyNumberFormat="1" applyFont="1" applyFill="1" applyBorder="1" applyAlignment="1">
      <alignment horizontal="center" vertical="center"/>
    </xf>
    <xf numFmtId="167" fontId="73" fillId="20" borderId="10" xfId="15" applyFont="1" applyBorder="1" applyAlignment="1">
      <alignment horizontal="left" vertical="center"/>
    </xf>
    <xf numFmtId="167" fontId="74" fillId="20" borderId="12" xfId="15" applyFont="1" applyBorder="1" applyAlignment="1">
      <alignment horizontal="right" vertical="center"/>
    </xf>
    <xf numFmtId="166" fontId="75" fillId="2" borderId="32" xfId="3" applyNumberFormat="1" applyFont="1" applyFill="1" applyBorder="1" applyAlignment="1">
      <alignment horizontal="center" vertical="center"/>
    </xf>
    <xf numFmtId="166" fontId="74" fillId="2" borderId="15" xfId="3" applyNumberFormat="1" applyFont="1" applyFill="1" applyBorder="1" applyAlignment="1">
      <alignment horizontal="center" vertical="center"/>
    </xf>
    <xf numFmtId="166" fontId="76" fillId="2" borderId="8" xfId="3" applyNumberFormat="1" applyFont="1" applyFill="1" applyBorder="1" applyAlignment="1">
      <alignment horizontal="center" vertical="center"/>
    </xf>
    <xf numFmtId="174" fontId="74" fillId="2" borderId="8" xfId="13" applyNumberFormat="1" applyFont="1" applyFill="1" applyBorder="1" applyAlignment="1">
      <alignment horizontal="center" vertical="center"/>
    </xf>
    <xf numFmtId="166" fontId="75" fillId="2" borderId="8" xfId="3" applyNumberFormat="1" applyFont="1" applyFill="1" applyBorder="1" applyAlignment="1">
      <alignment horizontal="center" vertical="center"/>
    </xf>
    <xf numFmtId="174" fontId="74" fillId="2" borderId="16" xfId="13" applyNumberFormat="1" applyFont="1" applyFill="1" applyBorder="1" applyAlignment="1">
      <alignment horizontal="center" vertical="center"/>
    </xf>
    <xf numFmtId="166" fontId="76" fillId="2" borderId="15" xfId="13" applyNumberFormat="1" applyFont="1" applyFill="1" applyBorder="1" applyAlignment="1">
      <alignment horizontal="center" vertical="center"/>
    </xf>
    <xf numFmtId="166" fontId="75" fillId="2" borderId="10" xfId="13" applyNumberFormat="1" applyFont="1" applyFill="1" applyBorder="1" applyAlignment="1">
      <alignment horizontal="center" vertical="center"/>
    </xf>
    <xf numFmtId="166" fontId="76" fillId="2" borderId="15" xfId="3" applyNumberFormat="1" applyFont="1" applyFill="1" applyBorder="1" applyAlignment="1">
      <alignment horizontal="center" vertical="center"/>
    </xf>
    <xf numFmtId="166" fontId="75" fillId="2" borderId="10" xfId="3" applyNumberFormat="1" applyFont="1" applyFill="1" applyBorder="1" applyAlignment="1">
      <alignment horizontal="center" vertical="center"/>
    </xf>
    <xf numFmtId="43" fontId="75" fillId="2" borderId="32" xfId="3" applyFont="1" applyFill="1" applyBorder="1" applyAlignment="1">
      <alignment horizontal="center" vertical="center"/>
    </xf>
    <xf numFmtId="43" fontId="74" fillId="2" borderId="15" xfId="3" applyFont="1" applyFill="1" applyBorder="1" applyAlignment="1">
      <alignment horizontal="center" vertical="center"/>
    </xf>
    <xf numFmtId="43" fontId="76" fillId="2" borderId="8" xfId="3" applyFont="1" applyFill="1" applyBorder="1" applyAlignment="1">
      <alignment horizontal="center" vertical="center"/>
    </xf>
    <xf numFmtId="43" fontId="75" fillId="2" borderId="8" xfId="3" applyFont="1" applyFill="1" applyBorder="1" applyAlignment="1">
      <alignment horizontal="center" vertical="center"/>
    </xf>
    <xf numFmtId="43" fontId="76" fillId="2" borderId="15" xfId="13" applyNumberFormat="1" applyFont="1" applyFill="1" applyBorder="1" applyAlignment="1">
      <alignment horizontal="center" vertical="center"/>
    </xf>
    <xf numFmtId="43" fontId="75" fillId="2" borderId="10" xfId="13" applyNumberFormat="1" applyFont="1" applyFill="1" applyBorder="1" applyAlignment="1">
      <alignment horizontal="center" vertical="center"/>
    </xf>
    <xf numFmtId="43" fontId="76" fillId="2" borderId="15" xfId="3" applyFont="1" applyFill="1" applyBorder="1" applyAlignment="1">
      <alignment horizontal="center" vertical="center"/>
    </xf>
    <xf numFmtId="43" fontId="75" fillId="2" borderId="10" xfId="3" applyFont="1" applyFill="1" applyBorder="1" applyAlignment="1">
      <alignment horizontal="center" vertical="center"/>
    </xf>
    <xf numFmtId="43" fontId="75" fillId="2" borderId="32" xfId="2" applyNumberFormat="1" applyFont="1" applyFill="1" applyBorder="1" applyAlignment="1">
      <alignment horizontal="center" vertical="center"/>
    </xf>
    <xf numFmtId="43" fontId="74" fillId="2" borderId="15" xfId="2" applyNumberFormat="1" applyFont="1" applyFill="1" applyBorder="1" applyAlignment="1">
      <alignment horizontal="center" vertical="center"/>
    </xf>
    <xf numFmtId="165" fontId="76" fillId="2" borderId="8" xfId="2" applyFont="1" applyFill="1" applyBorder="1" applyAlignment="1">
      <alignment horizontal="center" vertical="center"/>
    </xf>
    <xf numFmtId="174" fontId="74" fillId="2" borderId="8" xfId="12" applyNumberFormat="1" applyFont="1" applyFill="1" applyBorder="1" applyAlignment="1">
      <alignment horizontal="center" vertical="center"/>
    </xf>
    <xf numFmtId="167" fontId="73" fillId="20" borderId="49" xfId="15" applyFont="1" applyBorder="1" applyAlignment="1">
      <alignment horizontal="left" vertical="center"/>
    </xf>
    <xf numFmtId="167" fontId="74" fillId="20" borderId="50" xfId="15" applyFont="1" applyBorder="1" applyAlignment="1">
      <alignment horizontal="right" vertical="center"/>
    </xf>
    <xf numFmtId="43" fontId="75" fillId="2" borderId="51" xfId="2" applyNumberFormat="1" applyFont="1" applyFill="1" applyBorder="1" applyAlignment="1">
      <alignment horizontal="center" vertical="center"/>
    </xf>
    <xf numFmtId="2" fontId="75" fillId="2" borderId="8" xfId="3" applyNumberFormat="1" applyFont="1" applyFill="1" applyBorder="1" applyAlignment="1">
      <alignment horizontal="right" vertical="center"/>
    </xf>
    <xf numFmtId="174" fontId="74" fillId="2" borderId="57" xfId="13" applyNumberFormat="1" applyFont="1" applyFill="1" applyBorder="1" applyAlignment="1">
      <alignment horizontal="center" vertical="center"/>
    </xf>
    <xf numFmtId="167" fontId="77" fillId="2" borderId="0" xfId="7" applyFont="1" applyFill="1" applyAlignment="1" applyProtection="1"/>
    <xf numFmtId="166" fontId="49" fillId="2" borderId="0" xfId="12" applyNumberFormat="1" applyFont="1" applyFill="1"/>
    <xf numFmtId="2" fontId="0" fillId="25" borderId="0" xfId="2" applyNumberFormat="1" applyFont="1" applyFill="1" applyBorder="1" applyAlignment="1">
      <alignment horizontal="center"/>
    </xf>
    <xf numFmtId="1" fontId="81" fillId="2" borderId="0" xfId="0" applyNumberFormat="1" applyFont="1" applyFill="1"/>
    <xf numFmtId="167" fontId="45" fillId="2" borderId="0" xfId="0" applyFont="1" applyFill="1"/>
    <xf numFmtId="169" fontId="45" fillId="2" borderId="0" xfId="2" applyNumberFormat="1" applyFont="1" applyFill="1"/>
    <xf numFmtId="1" fontId="45" fillId="2" borderId="0" xfId="2" applyNumberFormat="1" applyFont="1" applyFill="1"/>
    <xf numFmtId="1" fontId="6" fillId="0" borderId="0" xfId="15" applyNumberFormat="1" applyFont="1" applyFill="1" applyBorder="1" applyAlignment="1">
      <alignment vertical="center"/>
    </xf>
    <xf numFmtId="169" fontId="49" fillId="2" borderId="0" xfId="2" applyNumberFormat="1" applyFont="1" applyFill="1"/>
    <xf numFmtId="9" fontId="0" fillId="2" borderId="0" xfId="12" applyFont="1" applyFill="1"/>
    <xf numFmtId="167" fontId="52" fillId="0" borderId="0" xfId="9" applyFont="1"/>
    <xf numFmtId="167" fontId="52" fillId="2" borderId="0" xfId="0" applyFont="1" applyFill="1"/>
    <xf numFmtId="167" fontId="90" fillId="2" borderId="0" xfId="0" applyFont="1" applyFill="1"/>
    <xf numFmtId="177" fontId="52" fillId="0" borderId="0" xfId="9" applyNumberFormat="1" applyFont="1"/>
    <xf numFmtId="1" fontId="46" fillId="25" borderId="0" xfId="0" applyNumberFormat="1" applyFont="1" applyFill="1"/>
    <xf numFmtId="167" fontId="46" fillId="25" borderId="0" xfId="0" applyFont="1" applyFill="1"/>
    <xf numFmtId="167" fontId="85" fillId="25" borderId="0" xfId="0" applyFont="1" applyFill="1"/>
    <xf numFmtId="167" fontId="46" fillId="25" borderId="0" xfId="0" applyFont="1" applyFill="1" applyAlignment="1">
      <alignment horizontal="center"/>
    </xf>
    <xf numFmtId="167" fontId="80" fillId="25" borderId="0" xfId="0" applyFont="1" applyFill="1"/>
    <xf numFmtId="9" fontId="49" fillId="2" borderId="0" xfId="12" applyFont="1" applyFill="1"/>
    <xf numFmtId="167" fontId="96" fillId="2" borderId="0" xfId="0" applyFont="1" applyFill="1" applyAlignment="1">
      <alignment horizontal="center" vertical="center"/>
    </xf>
    <xf numFmtId="165" fontId="46" fillId="2" borderId="0" xfId="2" applyFont="1" applyFill="1"/>
    <xf numFmtId="167" fontId="98" fillId="0" borderId="0" xfId="0" applyFont="1"/>
    <xf numFmtId="167" fontId="0" fillId="0" borderId="22" xfId="0" applyBorder="1"/>
    <xf numFmtId="167" fontId="99" fillId="0" borderId="0" xfId="0" applyFont="1"/>
    <xf numFmtId="167" fontId="0" fillId="0" borderId="8" xfId="0" applyBorder="1"/>
    <xf numFmtId="167" fontId="0" fillId="39" borderId="8" xfId="0" applyFill="1" applyBorder="1"/>
    <xf numFmtId="167" fontId="101" fillId="0" borderId="8" xfId="0" applyFont="1" applyBorder="1"/>
    <xf numFmtId="167" fontId="101" fillId="0" borderId="0" xfId="0" applyFont="1"/>
    <xf numFmtId="167" fontId="0" fillId="0" borderId="7" xfId="0" applyBorder="1"/>
    <xf numFmtId="167" fontId="99" fillId="44" borderId="0" xfId="0" applyFont="1" applyFill="1"/>
    <xf numFmtId="167" fontId="99" fillId="45" borderId="0" xfId="0" applyFont="1" applyFill="1"/>
    <xf numFmtId="166" fontId="0" fillId="0" borderId="0" xfId="0" applyNumberFormat="1"/>
    <xf numFmtId="1" fontId="98" fillId="0" borderId="13" xfId="0" applyNumberFormat="1" applyFont="1" applyBorder="1" applyAlignment="1">
      <alignment horizontal="center"/>
    </xf>
    <xf numFmtId="169" fontId="98" fillId="0" borderId="44" xfId="2" applyNumberFormat="1" applyFont="1" applyBorder="1"/>
    <xf numFmtId="169" fontId="98" fillId="0" borderId="12" xfId="2" applyNumberFormat="1" applyFont="1" applyBorder="1"/>
    <xf numFmtId="1" fontId="98" fillId="41" borderId="26" xfId="0" applyNumberFormat="1" applyFont="1" applyFill="1" applyBorder="1" applyAlignment="1">
      <alignment horizontal="center"/>
    </xf>
    <xf numFmtId="1" fontId="98" fillId="0" borderId="4" xfId="0" applyNumberFormat="1" applyFont="1" applyBorder="1" applyAlignment="1">
      <alignment horizontal="center"/>
    </xf>
    <xf numFmtId="1" fontId="98" fillId="0" borderId="9" xfId="0" applyNumberFormat="1" applyFont="1" applyBorder="1" applyAlignment="1">
      <alignment horizontal="center"/>
    </xf>
    <xf numFmtId="169" fontId="98" fillId="44" borderId="12" xfId="2" applyNumberFormat="1" applyFont="1" applyFill="1" applyBorder="1"/>
    <xf numFmtId="169" fontId="102" fillId="0" borderId="12" xfId="2" applyNumberFormat="1" applyFont="1" applyBorder="1"/>
    <xf numFmtId="169" fontId="98" fillId="41" borderId="22" xfId="2" applyNumberFormat="1" applyFont="1" applyFill="1" applyBorder="1"/>
    <xf numFmtId="169" fontId="98" fillId="41" borderId="52" xfId="2" applyNumberFormat="1" applyFont="1" applyFill="1" applyBorder="1"/>
    <xf numFmtId="169" fontId="100" fillId="41" borderId="8" xfId="2" applyNumberFormat="1" applyFont="1" applyFill="1" applyBorder="1"/>
    <xf numFmtId="169" fontId="98" fillId="41" borderId="8" xfId="2" applyNumberFormat="1" applyFont="1" applyFill="1" applyBorder="1"/>
    <xf numFmtId="169" fontId="98" fillId="0" borderId="35" xfId="2" applyNumberFormat="1" applyFont="1" applyBorder="1"/>
    <xf numFmtId="169" fontId="98" fillId="41" borderId="35" xfId="2" applyNumberFormat="1" applyFont="1" applyFill="1" applyBorder="1"/>
    <xf numFmtId="169" fontId="102" fillId="0" borderId="12" xfId="2" applyNumberFormat="1" applyFont="1" applyFill="1" applyBorder="1"/>
    <xf numFmtId="169" fontId="103" fillId="41" borderId="8" xfId="2" applyNumberFormat="1" applyFont="1" applyFill="1" applyBorder="1"/>
    <xf numFmtId="169" fontId="102" fillId="44" borderId="12" xfId="2" applyNumberFormat="1" applyFont="1" applyFill="1" applyBorder="1"/>
    <xf numFmtId="169" fontId="102" fillId="41" borderId="8" xfId="2" applyNumberFormat="1" applyFont="1" applyFill="1" applyBorder="1"/>
    <xf numFmtId="169" fontId="102" fillId="0" borderId="35" xfId="2" applyNumberFormat="1" applyFont="1" applyBorder="1"/>
    <xf numFmtId="169" fontId="102" fillId="41" borderId="35" xfId="2" applyNumberFormat="1" applyFont="1" applyFill="1" applyBorder="1"/>
    <xf numFmtId="169" fontId="98" fillId="45" borderId="12" xfId="2" applyNumberFormat="1" applyFont="1" applyFill="1" applyBorder="1"/>
    <xf numFmtId="169" fontId="102" fillId="45" borderId="12" xfId="2" applyNumberFormat="1" applyFont="1" applyFill="1" applyBorder="1"/>
    <xf numFmtId="169" fontId="102" fillId="0" borderId="50" xfId="2" applyNumberFormat="1" applyFont="1" applyBorder="1"/>
    <xf numFmtId="169" fontId="99" fillId="0" borderId="13" xfId="2" applyNumberFormat="1" applyFont="1" applyBorder="1"/>
    <xf numFmtId="169" fontId="99" fillId="41" borderId="7" xfId="2" applyNumberFormat="1" applyFont="1" applyFill="1" applyBorder="1"/>
    <xf numFmtId="169" fontId="99" fillId="0" borderId="48" xfId="2" applyNumberFormat="1" applyFont="1" applyBorder="1"/>
    <xf numFmtId="169" fontId="98" fillId="41" borderId="7" xfId="2" applyNumberFormat="1" applyFont="1" applyFill="1" applyBorder="1"/>
    <xf numFmtId="169" fontId="98" fillId="46" borderId="12" xfId="2" applyNumberFormat="1" applyFont="1" applyFill="1" applyBorder="1"/>
    <xf numFmtId="169" fontId="98" fillId="47" borderId="12" xfId="2" applyNumberFormat="1" applyFont="1" applyFill="1" applyBorder="1"/>
    <xf numFmtId="169" fontId="102" fillId="47" borderId="12" xfId="2" applyNumberFormat="1" applyFont="1" applyFill="1" applyBorder="1"/>
    <xf numFmtId="169" fontId="102" fillId="46" borderId="12" xfId="2" applyNumberFormat="1" applyFont="1" applyFill="1" applyBorder="1"/>
    <xf numFmtId="167" fontId="99" fillId="46" borderId="0" xfId="0" applyFont="1" applyFill="1"/>
    <xf numFmtId="169" fontId="104" fillId="0" borderId="44" xfId="2" applyNumberFormat="1" applyFont="1" applyBorder="1"/>
    <xf numFmtId="169" fontId="98" fillId="0" borderId="12" xfId="2" applyNumberFormat="1" applyFont="1" applyFill="1" applyBorder="1"/>
    <xf numFmtId="169" fontId="98" fillId="0" borderId="0" xfId="2" applyNumberFormat="1" applyFont="1"/>
    <xf numFmtId="169" fontId="98" fillId="46" borderId="0" xfId="2" applyNumberFormat="1" applyFont="1" applyFill="1"/>
    <xf numFmtId="166" fontId="98" fillId="0" borderId="44" xfId="0" applyNumberFormat="1" applyFont="1" applyBorder="1"/>
    <xf numFmtId="166" fontId="98" fillId="30" borderId="12" xfId="143" applyNumberFormat="1" applyFont="1" applyFill="1" applyBorder="1"/>
    <xf numFmtId="166" fontId="106" fillId="0" borderId="12" xfId="143" applyNumberFormat="1" applyFont="1" applyFill="1" applyBorder="1" applyAlignment="1"/>
    <xf numFmtId="166" fontId="98" fillId="0" borderId="44" xfId="2" applyNumberFormat="1" applyFont="1" applyBorder="1"/>
    <xf numFmtId="0" fontId="50" fillId="0" borderId="0" xfId="257"/>
    <xf numFmtId="0" fontId="98" fillId="0" borderId="4" xfId="257" applyFont="1" applyBorder="1" applyAlignment="1">
      <alignment horizontal="center"/>
    </xf>
    <xf numFmtId="0" fontId="98" fillId="0" borderId="0" xfId="257" applyFont="1"/>
    <xf numFmtId="0" fontId="50" fillId="0" borderId="22" xfId="257" applyBorder="1"/>
    <xf numFmtId="166" fontId="98" fillId="0" borderId="44" xfId="257" applyNumberFormat="1" applyFont="1" applyBorder="1"/>
    <xf numFmtId="166" fontId="98" fillId="41" borderId="6" xfId="143" applyNumberFormat="1" applyFont="1" applyFill="1" applyBorder="1"/>
    <xf numFmtId="0" fontId="50" fillId="0" borderId="8" xfId="257" applyBorder="1"/>
    <xf numFmtId="166" fontId="98" fillId="0" borderId="12" xfId="143" applyNumberFormat="1" applyFont="1" applyBorder="1"/>
    <xf numFmtId="166" fontId="98" fillId="41" borderId="8" xfId="143" applyNumberFormat="1" applyFont="1" applyFill="1" applyBorder="1"/>
    <xf numFmtId="0" fontId="98" fillId="0" borderId="12" xfId="257" applyFont="1" applyBorder="1"/>
    <xf numFmtId="0" fontId="50" fillId="39" borderId="8" xfId="257" applyFill="1" applyBorder="1"/>
    <xf numFmtId="166" fontId="98" fillId="44" borderId="12" xfId="143" applyNumberFormat="1" applyFont="1" applyFill="1" applyBorder="1"/>
    <xf numFmtId="166" fontId="98" fillId="0" borderId="12" xfId="143" applyNumberFormat="1" applyFont="1" applyFill="1" applyBorder="1"/>
    <xf numFmtId="0" fontId="101" fillId="0" borderId="8" xfId="257" applyFont="1" applyBorder="1"/>
    <xf numFmtId="0" fontId="102" fillId="0" borderId="12" xfId="257" applyFont="1" applyBorder="1"/>
    <xf numFmtId="166" fontId="102" fillId="41" borderId="8" xfId="143" applyNumberFormat="1" applyFont="1" applyFill="1" applyBorder="1"/>
    <xf numFmtId="0" fontId="101" fillId="0" borderId="0" xfId="257" applyFont="1"/>
    <xf numFmtId="0" fontId="102" fillId="0" borderId="50" xfId="257" applyFont="1" applyBorder="1"/>
    <xf numFmtId="166" fontId="98" fillId="41" borderId="7" xfId="143" applyNumberFormat="1" applyFont="1" applyFill="1" applyBorder="1"/>
    <xf numFmtId="166" fontId="50" fillId="0" borderId="0" xfId="257" applyNumberFormat="1"/>
    <xf numFmtId="0" fontId="99" fillId="44" borderId="0" xfId="257" applyFont="1" applyFill="1"/>
    <xf numFmtId="0" fontId="99" fillId="45" borderId="0" xfId="257" applyFont="1" applyFill="1"/>
    <xf numFmtId="0" fontId="99" fillId="30" borderId="0" xfId="257" applyFont="1" applyFill="1"/>
    <xf numFmtId="169" fontId="102" fillId="0" borderId="12" xfId="148" applyNumberFormat="1" applyFont="1" applyFill="1" applyBorder="1"/>
    <xf numFmtId="169" fontId="98" fillId="35" borderId="12" xfId="2" applyNumberFormat="1" applyFont="1" applyFill="1" applyBorder="1"/>
    <xf numFmtId="1" fontId="13" fillId="16" borderId="26" xfId="0" applyNumberFormat="1" applyFont="1" applyFill="1" applyBorder="1" applyAlignment="1">
      <alignment horizontal="center"/>
    </xf>
    <xf numFmtId="0" fontId="0" fillId="0" borderId="8" xfId="257" applyFont="1" applyBorder="1"/>
    <xf numFmtId="167" fontId="16" fillId="29" borderId="18" xfId="0" applyFont="1" applyFill="1" applyBorder="1"/>
    <xf numFmtId="167" fontId="16" fillId="2" borderId="18" xfId="0" applyFont="1" applyFill="1" applyBorder="1"/>
    <xf numFmtId="167" fontId="45" fillId="0" borderId="0" xfId="0" applyFont="1"/>
    <xf numFmtId="167" fontId="46" fillId="0" borderId="0" xfId="0" applyFont="1"/>
    <xf numFmtId="166" fontId="98" fillId="49" borderId="12" xfId="143" applyNumberFormat="1" applyFont="1" applyFill="1" applyBorder="1"/>
    <xf numFmtId="167" fontId="32" fillId="0" borderId="0" xfId="9" applyFont="1"/>
    <xf numFmtId="167" fontId="10" fillId="2" borderId="21" xfId="0" applyFont="1" applyFill="1" applyBorder="1" applyAlignment="1">
      <alignment horizontal="left"/>
    </xf>
    <xf numFmtId="167" fontId="8" fillId="2" borderId="26" xfId="0" applyFont="1" applyFill="1" applyBorder="1" applyAlignment="1">
      <alignment horizontal="center"/>
    </xf>
    <xf numFmtId="166" fontId="8" fillId="2" borderId="26" xfId="3" applyNumberFormat="1" applyFont="1" applyFill="1" applyBorder="1"/>
    <xf numFmtId="167" fontId="8" fillId="2" borderId="6" xfId="0" applyFont="1" applyFill="1" applyBorder="1" applyAlignment="1">
      <alignment horizontal="center"/>
    </xf>
    <xf numFmtId="166" fontId="8" fillId="2" borderId="6" xfId="3" applyNumberFormat="1" applyFont="1" applyFill="1" applyBorder="1"/>
    <xf numFmtId="169" fontId="102" fillId="0" borderId="12" xfId="148" applyNumberFormat="1" applyFont="1" applyBorder="1"/>
    <xf numFmtId="169" fontId="98" fillId="0" borderId="12" xfId="148" applyNumberFormat="1" applyFont="1" applyFill="1" applyBorder="1"/>
    <xf numFmtId="169" fontId="98" fillId="0" borderId="12" xfId="148" applyNumberFormat="1" applyFont="1" applyBorder="1"/>
    <xf numFmtId="169" fontId="98" fillId="30" borderId="12" xfId="148" applyNumberFormat="1" applyFont="1" applyFill="1" applyBorder="1"/>
    <xf numFmtId="0" fontId="50" fillId="0" borderId="0" xfId="257" applyAlignment="1">
      <alignment horizontal="center"/>
    </xf>
    <xf numFmtId="0" fontId="0" fillId="0" borderId="0" xfId="257" applyFont="1" applyAlignment="1">
      <alignment horizontal="center"/>
    </xf>
    <xf numFmtId="169" fontId="98" fillId="35" borderId="12" xfId="148" applyNumberFormat="1" applyFont="1" applyFill="1" applyBorder="1"/>
    <xf numFmtId="169" fontId="102" fillId="0" borderId="50" xfId="148" applyNumberFormat="1" applyFont="1" applyBorder="1"/>
    <xf numFmtId="166" fontId="98" fillId="0" borderId="50" xfId="143" applyNumberFormat="1" applyFont="1" applyFill="1" applyBorder="1"/>
    <xf numFmtId="169" fontId="98" fillId="0" borderId="50" xfId="148" applyNumberFormat="1" applyFont="1" applyFill="1" applyBorder="1"/>
    <xf numFmtId="169" fontId="102" fillId="0" borderId="50" xfId="148" applyNumberFormat="1" applyFont="1" applyFill="1" applyBorder="1"/>
    <xf numFmtId="166" fontId="102" fillId="41" borderId="27" xfId="143" applyNumberFormat="1" applyFont="1" applyFill="1" applyBorder="1"/>
    <xf numFmtId="169" fontId="98" fillId="0" borderId="50" xfId="2" applyNumberFormat="1" applyFont="1" applyFill="1" applyBorder="1"/>
    <xf numFmtId="169" fontId="102" fillId="0" borderId="50" xfId="2" applyNumberFormat="1" applyFont="1" applyFill="1" applyBorder="1"/>
    <xf numFmtId="0" fontId="0" fillId="39" borderId="8" xfId="257" applyFont="1" applyFill="1" applyBorder="1"/>
    <xf numFmtId="169" fontId="98" fillId="26" borderId="50" xfId="2" quotePrefix="1" applyNumberFormat="1" applyFont="1" applyFill="1" applyBorder="1"/>
    <xf numFmtId="169" fontId="98" fillId="26" borderId="50" xfId="2" applyNumberFormat="1" applyFont="1" applyFill="1" applyBorder="1"/>
    <xf numFmtId="0" fontId="50" fillId="26" borderId="0" xfId="257" applyFill="1"/>
    <xf numFmtId="169" fontId="98" fillId="0" borderId="50" xfId="2" quotePrefix="1" applyNumberFormat="1" applyFont="1" applyFill="1" applyBorder="1"/>
    <xf numFmtId="165" fontId="49" fillId="2" borderId="0" xfId="2" applyFont="1" applyFill="1"/>
    <xf numFmtId="43" fontId="0" fillId="2" borderId="22" xfId="0" applyNumberFormat="1" applyFill="1" applyBorder="1"/>
    <xf numFmtId="0" fontId="99" fillId="0" borderId="0" xfId="257" applyFont="1"/>
    <xf numFmtId="167" fontId="49" fillId="0" borderId="0" xfId="0" applyFont="1"/>
    <xf numFmtId="167" fontId="49" fillId="25" borderId="0" xfId="0" applyFont="1" applyFill="1"/>
    <xf numFmtId="170" fontId="98" fillId="0" borderId="12" xfId="143" applyNumberFormat="1" applyFont="1" applyFill="1" applyBorder="1"/>
    <xf numFmtId="166" fontId="161" fillId="0" borderId="44" xfId="257" applyNumberFormat="1" applyFont="1" applyBorder="1"/>
    <xf numFmtId="166" fontId="161" fillId="0" borderId="12" xfId="143" applyNumberFormat="1" applyFont="1" applyBorder="1"/>
    <xf numFmtId="165" fontId="102" fillId="0" borderId="12" xfId="2" applyFont="1" applyFill="1" applyBorder="1"/>
    <xf numFmtId="167" fontId="40" fillId="2" borderId="19" xfId="0" applyFont="1" applyFill="1" applyBorder="1" applyAlignment="1">
      <alignment horizontal="center" vertical="center"/>
    </xf>
    <xf numFmtId="167" fontId="40" fillId="2" borderId="26" xfId="0" applyFont="1" applyFill="1" applyBorder="1" applyAlignment="1">
      <alignment horizontal="center" vertical="center"/>
    </xf>
    <xf numFmtId="167" fontId="40" fillId="2" borderId="0" xfId="0" applyFont="1" applyFill="1" applyAlignment="1">
      <alignment horizontal="center" vertical="center"/>
    </xf>
    <xf numFmtId="167" fontId="17" fillId="2" borderId="4" xfId="0" applyFont="1" applyFill="1" applyBorder="1" applyAlignment="1">
      <alignment horizontal="center"/>
    </xf>
    <xf numFmtId="43" fontId="0" fillId="6" borderId="86" xfId="0" applyNumberFormat="1" applyFill="1" applyBorder="1"/>
    <xf numFmtId="43" fontId="0" fillId="6" borderId="20" xfId="0" applyNumberFormat="1" applyFill="1" applyBorder="1"/>
    <xf numFmtId="167" fontId="16" fillId="6" borderId="27" xfId="0" applyFont="1" applyFill="1" applyBorder="1" applyAlignment="1">
      <alignment vertical="center"/>
    </xf>
    <xf numFmtId="43" fontId="43" fillId="6" borderId="87" xfId="0" applyNumberFormat="1" applyFont="1" applyFill="1" applyBorder="1"/>
    <xf numFmtId="167" fontId="43" fillId="2" borderId="0" xfId="0" applyFont="1" applyFill="1"/>
    <xf numFmtId="165" fontId="43" fillId="18" borderId="8" xfId="2" applyFont="1" applyFill="1" applyBorder="1"/>
    <xf numFmtId="2" fontId="43" fillId="2" borderId="0" xfId="0" applyNumberFormat="1" applyFont="1" applyFill="1"/>
    <xf numFmtId="165" fontId="162" fillId="2" borderId="0" xfId="2" applyFont="1" applyFill="1" applyBorder="1" applyProtection="1">
      <protection locked="0"/>
    </xf>
    <xf numFmtId="165" fontId="43" fillId="2" borderId="0" xfId="0" applyNumberFormat="1" applyFont="1" applyFill="1"/>
    <xf numFmtId="43" fontId="0" fillId="6" borderId="29" xfId="0" applyNumberFormat="1" applyFill="1" applyBorder="1"/>
    <xf numFmtId="43" fontId="0" fillId="6" borderId="39" xfId="0" applyNumberFormat="1" applyFill="1" applyBorder="1"/>
    <xf numFmtId="169" fontId="98" fillId="45" borderId="12" xfId="148" applyNumberFormat="1" applyFont="1" applyFill="1" applyBorder="1"/>
    <xf numFmtId="165" fontId="102" fillId="0" borderId="12" xfId="148" applyFont="1" applyFill="1" applyBorder="1"/>
    <xf numFmtId="165" fontId="43" fillId="2" borderId="0" xfId="2" applyFont="1" applyFill="1"/>
    <xf numFmtId="169" fontId="50" fillId="0" borderId="0" xfId="257" applyNumberFormat="1"/>
    <xf numFmtId="166" fontId="98" fillId="48" borderId="12" xfId="143" applyNumberFormat="1" applyFont="1" applyFill="1" applyBorder="1"/>
    <xf numFmtId="169" fontId="98" fillId="48" borderId="12" xfId="148" applyNumberFormat="1" applyFont="1" applyFill="1" applyBorder="1"/>
    <xf numFmtId="166" fontId="8" fillId="2" borderId="7" xfId="2" applyNumberFormat="1" applyFont="1" applyFill="1" applyBorder="1"/>
    <xf numFmtId="1" fontId="62" fillId="100" borderId="0" xfId="0" applyNumberFormat="1" applyFont="1" applyFill="1" applyAlignment="1">
      <alignment horizontal="center"/>
    </xf>
    <xf numFmtId="169" fontId="49" fillId="25" borderId="0" xfId="2" applyNumberFormat="1" applyFont="1" applyFill="1"/>
    <xf numFmtId="167" fontId="165" fillId="41" borderId="0" xfId="0" applyFont="1" applyFill="1"/>
    <xf numFmtId="0" fontId="18" fillId="5" borderId="19" xfId="160" applyFont="1" applyFill="1" applyBorder="1" applyAlignment="1">
      <alignment horizontal="center" vertical="center" wrapText="1"/>
    </xf>
    <xf numFmtId="43" fontId="161" fillId="2" borderId="8" xfId="143" applyFont="1" applyFill="1" applyBorder="1" applyAlignment="1">
      <alignment horizontal="right" vertical="center"/>
    </xf>
    <xf numFmtId="43" fontId="161" fillId="0" borderId="8" xfId="143" applyFont="1" applyFill="1" applyBorder="1" applyAlignment="1">
      <alignment horizontal="right" vertical="center"/>
    </xf>
    <xf numFmtId="4" fontId="161" fillId="0" borderId="8" xfId="160" applyNumberFormat="1" applyFont="1" applyBorder="1" applyAlignment="1">
      <alignment horizontal="right" vertical="center"/>
    </xf>
    <xf numFmtId="43" fontId="161" fillId="2" borderId="8" xfId="143" applyFont="1" applyFill="1" applyBorder="1" applyAlignment="1">
      <alignment horizontal="right"/>
    </xf>
    <xf numFmtId="4" fontId="161" fillId="0" borderId="8" xfId="160" applyNumberFormat="1" applyFont="1" applyBorder="1" applyAlignment="1">
      <alignment horizontal="right"/>
    </xf>
    <xf numFmtId="43" fontId="163" fillId="2" borderId="8" xfId="143" applyFont="1" applyFill="1" applyBorder="1" applyAlignment="1">
      <alignment horizontal="right" vertical="center"/>
    </xf>
    <xf numFmtId="4" fontId="163" fillId="0" borderId="8" xfId="160" applyNumberFormat="1" applyFont="1" applyBorder="1" applyAlignment="1">
      <alignment horizontal="right" vertical="center"/>
    </xf>
    <xf numFmtId="43" fontId="163" fillId="2" borderId="8" xfId="143" applyFont="1" applyFill="1" applyBorder="1" applyAlignment="1">
      <alignment horizontal="right"/>
    </xf>
    <xf numFmtId="4" fontId="163" fillId="0" borderId="8" xfId="160" applyNumberFormat="1" applyFont="1" applyBorder="1" applyAlignment="1">
      <alignment horizontal="right"/>
    </xf>
    <xf numFmtId="1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7" fontId="0" fillId="0" borderId="27" xfId="0" applyBorder="1"/>
    <xf numFmtId="1" fontId="0" fillId="0" borderId="22" xfId="0" applyNumberFormat="1" applyBorder="1" applyAlignment="1">
      <alignment horizontal="center" vertical="center"/>
    </xf>
    <xf numFmtId="43" fontId="161" fillId="2" borderId="22" xfId="143" applyFont="1" applyFill="1" applyBorder="1" applyAlignment="1">
      <alignment horizontal="right" vertical="center"/>
    </xf>
    <xf numFmtId="4" fontId="161" fillId="2" borderId="22" xfId="160" applyNumberFormat="1" applyFont="1" applyFill="1" applyBorder="1" applyAlignment="1">
      <alignment horizontal="right" vertical="center"/>
    </xf>
    <xf numFmtId="1" fontId="0" fillId="31" borderId="8" xfId="0" applyNumberFormat="1" applyFill="1" applyBorder="1" applyAlignment="1">
      <alignment horizontal="center" vertical="center"/>
    </xf>
    <xf numFmtId="43" fontId="18" fillId="31" borderId="8" xfId="143" applyFont="1" applyFill="1" applyBorder="1" applyAlignment="1">
      <alignment horizontal="center" vertical="center" wrapText="1"/>
    </xf>
    <xf numFmtId="0" fontId="18" fillId="31" borderId="8" xfId="160" applyFont="1" applyFill="1" applyBorder="1" applyAlignment="1">
      <alignment horizontal="center" vertical="center" wrapText="1"/>
    </xf>
    <xf numFmtId="43" fontId="18" fillId="31" borderId="8" xfId="160" applyNumberFormat="1" applyFont="1" applyFill="1" applyBorder="1" applyAlignment="1">
      <alignment horizontal="center" vertical="center" wrapText="1"/>
    </xf>
    <xf numFmtId="165" fontId="161" fillId="2" borderId="22" xfId="2" applyFont="1" applyFill="1" applyBorder="1" applyAlignment="1">
      <alignment horizontal="right" vertical="center"/>
    </xf>
    <xf numFmtId="4" fontId="168" fillId="2" borderId="22" xfId="160" applyNumberFormat="1" applyFont="1" applyFill="1" applyBorder="1" applyAlignment="1">
      <alignment horizontal="right" vertical="center"/>
    </xf>
    <xf numFmtId="4" fontId="168" fillId="0" borderId="8" xfId="160" applyNumberFormat="1" applyFont="1" applyBorder="1" applyAlignment="1">
      <alignment horizontal="right" vertical="center"/>
    </xf>
    <xf numFmtId="165" fontId="18" fillId="31" borderId="8" xfId="2" applyFont="1" applyFill="1" applyBorder="1" applyAlignment="1">
      <alignment horizontal="center" vertical="center" wrapText="1"/>
    </xf>
    <xf numFmtId="4" fontId="161" fillId="2" borderId="7" xfId="160" applyNumberFormat="1" applyFont="1" applyFill="1" applyBorder="1" applyAlignment="1">
      <alignment horizontal="right" vertical="center"/>
    </xf>
    <xf numFmtId="167" fontId="10" fillId="2" borderId="9" xfId="0" applyFont="1" applyFill="1" applyBorder="1" applyAlignment="1">
      <alignment vertical="center"/>
    </xf>
    <xf numFmtId="166" fontId="8" fillId="2" borderId="7" xfId="3" applyNumberFormat="1" applyFont="1" applyFill="1" applyBorder="1"/>
    <xf numFmtId="167" fontId="169" fillId="0" borderId="0" xfId="0" applyFont="1"/>
    <xf numFmtId="195" fontId="0" fillId="2" borderId="0" xfId="2" applyNumberFormat="1" applyFont="1" applyFill="1"/>
    <xf numFmtId="175" fontId="31" fillId="3" borderId="7" xfId="2" applyNumberFormat="1" applyFont="1" applyFill="1" applyBorder="1"/>
    <xf numFmtId="167" fontId="80" fillId="2" borderId="0" xfId="0" applyFont="1" applyFill="1"/>
    <xf numFmtId="3" fontId="85" fillId="25" borderId="0" xfId="0" applyNumberFormat="1" applyFont="1" applyFill="1"/>
    <xf numFmtId="10" fontId="0" fillId="2" borderId="0" xfId="12" applyNumberFormat="1" applyFont="1" applyFill="1"/>
    <xf numFmtId="167" fontId="18" fillId="2" borderId="0" xfId="10" applyFont="1" applyFill="1" applyAlignment="1">
      <alignment wrapText="1"/>
    </xf>
    <xf numFmtId="1" fontId="170" fillId="38" borderId="0" xfId="2" applyNumberFormat="1" applyFont="1" applyFill="1" applyAlignment="1">
      <alignment horizontal="center" vertical="center"/>
    </xf>
    <xf numFmtId="169" fontId="74" fillId="2" borderId="15" xfId="2" applyNumberFormat="1" applyFont="1" applyFill="1" applyBorder="1" applyAlignment="1">
      <alignment horizontal="center" vertical="center"/>
    </xf>
    <xf numFmtId="3" fontId="166" fillId="0" borderId="0" xfId="9923" applyNumberFormat="1"/>
    <xf numFmtId="196" fontId="0" fillId="2" borderId="0" xfId="0" applyNumberFormat="1" applyFill="1"/>
    <xf numFmtId="169" fontId="98" fillId="102" borderId="12" xfId="148" applyNumberFormat="1" applyFont="1" applyFill="1" applyBorder="1"/>
    <xf numFmtId="176" fontId="0" fillId="2" borderId="16" xfId="0" applyNumberFormat="1" applyFill="1" applyBorder="1"/>
    <xf numFmtId="176" fontId="0" fillId="2" borderId="61" xfId="0" applyNumberFormat="1" applyFill="1" applyBorder="1"/>
    <xf numFmtId="176" fontId="0" fillId="2" borderId="60" xfId="0" applyNumberFormat="1" applyFill="1" applyBorder="1"/>
    <xf numFmtId="176" fontId="0" fillId="2" borderId="86" xfId="0" applyNumberFormat="1" applyFill="1" applyBorder="1"/>
    <xf numFmtId="167" fontId="14" fillId="2" borderId="26" xfId="0" applyFont="1" applyFill="1" applyBorder="1" applyAlignment="1">
      <alignment horizontal="center"/>
    </xf>
    <xf numFmtId="165" fontId="0" fillId="0" borderId="0" xfId="2" applyFont="1"/>
    <xf numFmtId="167" fontId="62" fillId="100" borderId="0" xfId="0" applyFont="1" applyFill="1" applyAlignment="1">
      <alignment horizontal="center" vertical="center"/>
    </xf>
    <xf numFmtId="165" fontId="62" fillId="100" borderId="0" xfId="2" applyFont="1" applyFill="1" applyAlignment="1">
      <alignment vertical="center"/>
    </xf>
    <xf numFmtId="167" fontId="0" fillId="0" borderId="26" xfId="0" applyBorder="1" applyAlignment="1">
      <alignment horizontal="center" vertical="center"/>
    </xf>
    <xf numFmtId="167" fontId="62" fillId="100" borderId="99" xfId="0" applyFont="1" applyFill="1" applyBorder="1" applyAlignment="1">
      <alignment horizontal="center" vertical="center"/>
    </xf>
    <xf numFmtId="167" fontId="62" fillId="100" borderId="99" xfId="0" applyFont="1" applyFill="1" applyBorder="1" applyAlignment="1">
      <alignment horizontal="center"/>
    </xf>
    <xf numFmtId="167" fontId="62" fillId="100" borderId="100" xfId="0" applyFont="1" applyFill="1" applyBorder="1" applyAlignment="1">
      <alignment horizontal="center"/>
    </xf>
    <xf numFmtId="169" fontId="97" fillId="0" borderId="102" xfId="2" applyNumberFormat="1" applyFont="1" applyFill="1" applyBorder="1"/>
    <xf numFmtId="167" fontId="97" fillId="0" borderId="105" xfId="10" applyFont="1" applyBorder="1"/>
    <xf numFmtId="165" fontId="97" fillId="0" borderId="105" xfId="5730" applyFont="1" applyFill="1" applyBorder="1"/>
    <xf numFmtId="169" fontId="97" fillId="0" borderId="105" xfId="5730" applyNumberFormat="1" applyFont="1" applyFill="1" applyBorder="1"/>
    <xf numFmtId="169" fontId="4" fillId="2" borderId="0" xfId="2" applyNumberFormat="1" applyFont="1" applyFill="1"/>
    <xf numFmtId="167" fontId="97" fillId="2" borderId="0" xfId="10" applyFont="1" applyFill="1"/>
    <xf numFmtId="167" fontId="97" fillId="2" borderId="107" xfId="10" applyFont="1" applyFill="1" applyBorder="1"/>
    <xf numFmtId="176" fontId="0" fillId="2" borderId="24" xfId="0" quotePrefix="1" applyNumberFormat="1" applyFill="1" applyBorder="1"/>
    <xf numFmtId="176" fontId="0" fillId="2" borderId="16" xfId="0" quotePrefix="1" applyNumberFormat="1" applyFill="1" applyBorder="1"/>
    <xf numFmtId="176" fontId="0" fillId="2" borderId="61" xfId="0" quotePrefix="1" applyNumberFormat="1" applyFill="1" applyBorder="1"/>
    <xf numFmtId="165" fontId="46" fillId="0" borderId="0" xfId="2" applyFont="1"/>
    <xf numFmtId="3" fontId="13" fillId="16" borderId="26" xfId="2" applyNumberFormat="1" applyFont="1" applyFill="1" applyBorder="1" applyAlignment="1">
      <alignment horizontal="center"/>
    </xf>
    <xf numFmtId="167" fontId="48" fillId="2" borderId="0" xfId="0" applyFont="1" applyFill="1"/>
    <xf numFmtId="2" fontId="45" fillId="2" borderId="0" xfId="0" applyNumberFormat="1" applyFont="1" applyFill="1"/>
    <xf numFmtId="165" fontId="45" fillId="2" borderId="0" xfId="2" applyFont="1" applyFill="1"/>
    <xf numFmtId="165" fontId="98" fillId="0" borderId="50" xfId="2" applyFont="1" applyFill="1" applyBorder="1"/>
    <xf numFmtId="166" fontId="47" fillId="0" borderId="115" xfId="4" applyNumberFormat="1" applyFont="1" applyFill="1" applyBorder="1" applyAlignment="1">
      <alignment horizontal="right" vertical="center" indent="1"/>
    </xf>
    <xf numFmtId="169" fontId="98" fillId="102" borderId="50" xfId="2" applyNumberFormat="1" applyFont="1" applyFill="1" applyBorder="1"/>
    <xf numFmtId="165" fontId="98" fillId="102" borderId="50" xfId="2" applyFont="1" applyFill="1" applyBorder="1"/>
    <xf numFmtId="165" fontId="102" fillId="0" borderId="12" xfId="2" applyFont="1" applyBorder="1"/>
    <xf numFmtId="165" fontId="102" fillId="0" borderId="50" xfId="2" applyFont="1" applyBorder="1"/>
    <xf numFmtId="165" fontId="0" fillId="0" borderId="0" xfId="2" applyFont="1" applyFill="1" applyBorder="1"/>
    <xf numFmtId="165" fontId="102" fillId="106" borderId="50" xfId="2" applyFont="1" applyFill="1" applyBorder="1"/>
    <xf numFmtId="167" fontId="0" fillId="0" borderId="115" xfId="0" applyBorder="1"/>
    <xf numFmtId="169" fontId="75" fillId="2" borderId="32" xfId="2" applyNumberFormat="1" applyFont="1" applyFill="1" applyBorder="1" applyAlignment="1">
      <alignment horizontal="center" vertical="center"/>
    </xf>
    <xf numFmtId="165" fontId="45" fillId="0" borderId="0" xfId="2" applyFont="1"/>
    <xf numFmtId="167" fontId="97" fillId="0" borderId="0" xfId="10" applyFont="1"/>
    <xf numFmtId="1" fontId="97" fillId="0" borderId="0" xfId="10" applyNumberFormat="1" applyFont="1"/>
    <xf numFmtId="167" fontId="97" fillId="0" borderId="101" xfId="10" applyFont="1" applyBorder="1"/>
    <xf numFmtId="169" fontId="97" fillId="0" borderId="0" xfId="2" applyNumberFormat="1" applyFont="1" applyFill="1"/>
    <xf numFmtId="167" fontId="97" fillId="0" borderId="104" xfId="10" applyFont="1" applyBorder="1"/>
    <xf numFmtId="167" fontId="97" fillId="0" borderId="106" xfId="10" applyFont="1" applyBorder="1"/>
    <xf numFmtId="165" fontId="98" fillId="47" borderId="50" xfId="2" applyFont="1" applyFill="1" applyBorder="1"/>
    <xf numFmtId="181" fontId="45" fillId="2" borderId="115" xfId="2" applyNumberFormat="1" applyFont="1" applyFill="1" applyBorder="1" applyAlignment="1">
      <alignment horizontal="center"/>
    </xf>
    <xf numFmtId="167" fontId="109" fillId="2" borderId="19" xfId="0" applyFont="1" applyFill="1" applyBorder="1" applyAlignment="1">
      <alignment vertical="center"/>
    </xf>
    <xf numFmtId="169" fontId="49" fillId="0" borderId="0" xfId="2" applyNumberFormat="1" applyFont="1" applyFill="1"/>
    <xf numFmtId="169" fontId="0" fillId="0" borderId="0" xfId="2" applyNumberFormat="1" applyFont="1"/>
    <xf numFmtId="169" fontId="0" fillId="107" borderId="0" xfId="2" applyNumberFormat="1" applyFont="1" applyFill="1"/>
    <xf numFmtId="181" fontId="0" fillId="108" borderId="115" xfId="2" applyNumberFormat="1" applyFont="1" applyFill="1" applyBorder="1" applyAlignment="1">
      <alignment horizontal="center"/>
    </xf>
    <xf numFmtId="0" fontId="0" fillId="0" borderId="7" xfId="257" applyFont="1" applyBorder="1"/>
    <xf numFmtId="165" fontId="98" fillId="0" borderId="13" xfId="2" applyFont="1" applyFill="1" applyBorder="1"/>
    <xf numFmtId="166" fontId="102" fillId="41" borderId="7" xfId="143" applyNumberFormat="1" applyFont="1" applyFill="1" applyBorder="1"/>
    <xf numFmtId="0" fontId="102" fillId="0" borderId="13" xfId="257" applyFont="1" applyBorder="1"/>
    <xf numFmtId="169" fontId="102" fillId="0" borderId="13" xfId="148" applyNumberFormat="1" applyFont="1" applyFill="1" applyBorder="1"/>
    <xf numFmtId="166" fontId="98" fillId="0" borderId="13" xfId="143" applyNumberFormat="1" applyFont="1" applyFill="1" applyBorder="1"/>
    <xf numFmtId="169" fontId="98" fillId="0" borderId="13" xfId="148" applyNumberFormat="1" applyFont="1" applyFill="1" applyBorder="1"/>
    <xf numFmtId="169" fontId="102" fillId="0" borderId="13" xfId="2" applyNumberFormat="1" applyFont="1" applyBorder="1"/>
    <xf numFmtId="169" fontId="98" fillId="0" borderId="13" xfId="2" applyNumberFormat="1" applyFont="1" applyFill="1" applyBorder="1"/>
    <xf numFmtId="169" fontId="102" fillId="0" borderId="13" xfId="2" applyNumberFormat="1" applyFont="1" applyFill="1" applyBorder="1"/>
    <xf numFmtId="169" fontId="98" fillId="26" borderId="13" xfId="2" applyNumberFormat="1" applyFont="1" applyFill="1" applyBorder="1"/>
    <xf numFmtId="169" fontId="102" fillId="0" borderId="13" xfId="148" applyNumberFormat="1" applyFont="1" applyBorder="1"/>
    <xf numFmtId="167" fontId="73" fillId="20" borderId="21" xfId="15" applyFont="1" applyBorder="1" applyAlignment="1">
      <alignment horizontal="left" vertical="center"/>
    </xf>
    <xf numFmtId="167" fontId="74" fillId="20" borderId="4" xfId="15" applyFont="1" applyBorder="1" applyAlignment="1">
      <alignment horizontal="right" vertical="center"/>
    </xf>
    <xf numFmtId="166" fontId="75" fillId="2" borderId="54" xfId="3" applyNumberFormat="1" applyFont="1" applyFill="1" applyBorder="1" applyAlignment="1">
      <alignment horizontal="center" vertical="center"/>
    </xf>
    <xf numFmtId="166" fontId="74" fillId="2" borderId="108" xfId="3" applyNumberFormat="1" applyFont="1" applyFill="1" applyBorder="1" applyAlignment="1">
      <alignment horizontal="center" vertical="center"/>
    </xf>
    <xf numFmtId="174" fontId="74" fillId="2" borderId="39" xfId="12" applyNumberFormat="1" applyFont="1" applyFill="1" applyBorder="1" applyAlignment="1">
      <alignment horizontal="center" vertical="center"/>
    </xf>
    <xf numFmtId="166" fontId="75" fillId="2" borderId="39" xfId="3" applyNumberFormat="1" applyFont="1" applyFill="1" applyBorder="1" applyAlignment="1">
      <alignment horizontal="center" vertical="center"/>
    </xf>
    <xf numFmtId="166" fontId="76" fillId="2" borderId="108" xfId="13" applyNumberFormat="1" applyFont="1" applyFill="1" applyBorder="1" applyAlignment="1">
      <alignment horizontal="center" vertical="center"/>
    </xf>
    <xf numFmtId="166" fontId="75" fillId="2" borderId="119" xfId="13" applyNumberFormat="1" applyFont="1" applyFill="1" applyBorder="1" applyAlignment="1">
      <alignment horizontal="center" vertical="center"/>
    </xf>
    <xf numFmtId="169" fontId="76" fillId="2" borderId="39" xfId="2" applyNumberFormat="1" applyFont="1" applyFill="1" applyBorder="1" applyAlignment="1">
      <alignment horizontal="center" vertical="center"/>
    </xf>
    <xf numFmtId="174" fontId="74" fillId="2" borderId="39" xfId="13" applyNumberFormat="1" applyFont="1" applyFill="1" applyBorder="1" applyAlignment="1">
      <alignment horizontal="center" vertical="center"/>
    </xf>
    <xf numFmtId="166" fontId="76" fillId="25" borderId="108" xfId="3" applyNumberFormat="1" applyFont="1" applyFill="1" applyBorder="1" applyAlignment="1">
      <alignment horizontal="center" vertical="center"/>
    </xf>
    <xf numFmtId="166" fontId="75" fillId="25" borderId="119" xfId="3" applyNumberFormat="1" applyFont="1" applyFill="1" applyBorder="1" applyAlignment="1">
      <alignment horizontal="center" vertical="center"/>
    </xf>
    <xf numFmtId="166" fontId="49" fillId="25" borderId="0" xfId="2" applyNumberFormat="1" applyFont="1" applyFill="1"/>
    <xf numFmtId="167" fontId="73" fillId="20" borderId="120" xfId="15" applyFont="1" applyBorder="1" applyAlignment="1">
      <alignment horizontal="left" vertical="center"/>
    </xf>
    <xf numFmtId="167" fontId="74" fillId="20" borderId="121" xfId="15" applyFont="1" applyBorder="1" applyAlignment="1">
      <alignment horizontal="right" vertical="center"/>
    </xf>
    <xf numFmtId="43" fontId="75" fillId="2" borderId="122" xfId="2" applyNumberFormat="1" applyFont="1" applyFill="1" applyBorder="1" applyAlignment="1">
      <alignment horizontal="center" vertical="center"/>
    </xf>
    <xf numFmtId="43" fontId="74" fillId="2" borderId="123" xfId="2" applyNumberFormat="1" applyFont="1" applyFill="1" applyBorder="1" applyAlignment="1">
      <alignment horizontal="center" vertical="center"/>
    </xf>
    <xf numFmtId="165" fontId="76" fillId="2" borderId="23" xfId="2" applyFont="1" applyFill="1" applyBorder="1" applyAlignment="1">
      <alignment horizontal="center" vertical="center"/>
    </xf>
    <xf numFmtId="174" fontId="74" fillId="2" borderId="23" xfId="12" applyNumberFormat="1" applyFont="1" applyFill="1" applyBorder="1" applyAlignment="1">
      <alignment horizontal="center" vertical="center"/>
    </xf>
    <xf numFmtId="43" fontId="75" fillId="2" borderId="23" xfId="3" applyFont="1" applyFill="1" applyBorder="1" applyAlignment="1">
      <alignment horizontal="center" vertical="center"/>
    </xf>
    <xf numFmtId="174" fontId="74" fillId="2" borderId="25" xfId="13" applyNumberFormat="1" applyFont="1" applyFill="1" applyBorder="1" applyAlignment="1">
      <alignment horizontal="center" vertical="center"/>
    </xf>
    <xf numFmtId="174" fontId="74" fillId="2" borderId="23" xfId="13" applyNumberFormat="1" applyFont="1" applyFill="1" applyBorder="1" applyAlignment="1">
      <alignment horizontal="center" vertical="center"/>
    </xf>
    <xf numFmtId="169" fontId="98" fillId="44" borderId="12" xfId="148" applyNumberFormat="1" applyFont="1" applyFill="1" applyBorder="1"/>
    <xf numFmtId="169" fontId="98" fillId="108" borderId="50" xfId="2" applyNumberFormat="1" applyFont="1" applyFill="1" applyBorder="1"/>
    <xf numFmtId="165" fontId="98" fillId="108" borderId="50" xfId="2" applyFont="1" applyFill="1" applyBorder="1"/>
    <xf numFmtId="169" fontId="98" fillId="102" borderId="12" xfId="2" applyNumberFormat="1" applyFont="1" applyFill="1" applyBorder="1"/>
    <xf numFmtId="197" fontId="178" fillId="25" borderId="0" xfId="3596" applyNumberFormat="1" applyFont="1" applyFill="1" applyBorder="1" applyAlignment="1" applyProtection="1">
      <alignment horizontal="center" vertical="center"/>
    </xf>
    <xf numFmtId="9" fontId="0" fillId="0" borderId="0" xfId="3550" applyFont="1"/>
    <xf numFmtId="0" fontId="0" fillId="2" borderId="0" xfId="0" applyNumberFormat="1" applyFill="1"/>
    <xf numFmtId="9" fontId="0" fillId="0" borderId="0" xfId="12" applyFont="1"/>
    <xf numFmtId="165" fontId="62" fillId="0" borderId="0" xfId="2" applyFont="1" applyFill="1"/>
    <xf numFmtId="167" fontId="0" fillId="0" borderId="0" xfId="0" quotePrefix="1"/>
    <xf numFmtId="9" fontId="0" fillId="0" borderId="0" xfId="12" applyFont="1" applyBorder="1"/>
    <xf numFmtId="174" fontId="74" fillId="2" borderId="27" xfId="13" applyNumberFormat="1" applyFont="1" applyFill="1" applyBorder="1" applyAlignment="1">
      <alignment horizontal="center" vertical="center"/>
    </xf>
    <xf numFmtId="9" fontId="189" fillId="0" borderId="8" xfId="3550" applyFont="1" applyBorder="1" applyAlignment="1">
      <alignment horizontal="center"/>
    </xf>
    <xf numFmtId="169" fontId="98" fillId="106" borderId="50" xfId="2" applyNumberFormat="1" applyFont="1" applyFill="1" applyBorder="1"/>
    <xf numFmtId="165" fontId="98" fillId="106" borderId="13" xfId="2" applyFont="1" applyFill="1" applyBorder="1"/>
    <xf numFmtId="9" fontId="0" fillId="41" borderId="0" xfId="12" applyFont="1" applyFill="1"/>
    <xf numFmtId="167" fontId="0" fillId="2" borderId="0" xfId="0" applyFill="1" applyAlignment="1">
      <alignment horizontal="center"/>
    </xf>
    <xf numFmtId="167" fontId="190" fillId="25" borderId="0" xfId="0" applyFont="1" applyFill="1"/>
    <xf numFmtId="167" fontId="191" fillId="25" borderId="0" xfId="0" applyFont="1" applyFill="1"/>
    <xf numFmtId="3" fontId="191" fillId="25" borderId="0" xfId="0" applyNumberFormat="1" applyFont="1" applyFill="1"/>
    <xf numFmtId="167" fontId="190" fillId="2" borderId="0" xfId="0" applyFont="1" applyFill="1"/>
    <xf numFmtId="167" fontId="191" fillId="2" borderId="0" xfId="0" applyFont="1" applyFill="1"/>
    <xf numFmtId="4" fontId="191" fillId="2" borderId="0" xfId="0" applyNumberFormat="1" applyFont="1" applyFill="1"/>
    <xf numFmtId="1" fontId="49" fillId="2" borderId="0" xfId="0" applyNumberFormat="1" applyFont="1" applyFill="1"/>
    <xf numFmtId="167" fontId="192" fillId="0" borderId="0" xfId="0" applyFont="1"/>
    <xf numFmtId="1" fontId="0" fillId="0" borderId="0" xfId="2" applyNumberFormat="1" applyFont="1"/>
    <xf numFmtId="169" fontId="46" fillId="0" borderId="0" xfId="2" applyNumberFormat="1" applyFont="1"/>
    <xf numFmtId="9" fontId="46" fillId="0" borderId="0" xfId="12" applyFont="1"/>
    <xf numFmtId="167" fontId="62" fillId="100" borderId="130" xfId="0" applyFont="1" applyFill="1" applyBorder="1" applyAlignment="1">
      <alignment horizontal="center" vertical="center"/>
    </xf>
    <xf numFmtId="165" fontId="62" fillId="100" borderId="130" xfId="2" applyFont="1" applyFill="1" applyBorder="1" applyAlignment="1">
      <alignment vertical="center"/>
    </xf>
    <xf numFmtId="0" fontId="0" fillId="39" borderId="22" xfId="257" applyFont="1" applyFill="1" applyBorder="1"/>
    <xf numFmtId="169" fontId="98" fillId="0" borderId="0" xfId="2" applyNumberFormat="1" applyFont="1" applyFill="1" applyBorder="1"/>
    <xf numFmtId="166" fontId="102" fillId="41" borderId="19" xfId="143" applyNumberFormat="1" applyFont="1" applyFill="1" applyBorder="1"/>
    <xf numFmtId="0" fontId="101" fillId="0" borderId="7" xfId="257" applyFont="1" applyBorder="1"/>
    <xf numFmtId="167" fontId="193" fillId="0" borderId="0" xfId="0" applyFont="1" applyAlignment="1">
      <alignment vertical="center"/>
    </xf>
    <xf numFmtId="169" fontId="98" fillId="0" borderId="50" xfId="5730" applyNumberFormat="1" applyFont="1" applyFill="1" applyBorder="1"/>
    <xf numFmtId="169" fontId="98" fillId="44" borderId="50" xfId="5730" applyNumberFormat="1" applyFont="1" applyFill="1" applyBorder="1"/>
    <xf numFmtId="169" fontId="98" fillId="0" borderId="12" xfId="5730" applyNumberFormat="1" applyFont="1" applyFill="1" applyBorder="1"/>
    <xf numFmtId="165" fontId="98" fillId="0" borderId="50" xfId="5730" applyFont="1" applyFill="1" applyBorder="1"/>
    <xf numFmtId="165" fontId="98" fillId="0" borderId="13" xfId="5730" applyFont="1" applyFill="1" applyBorder="1"/>
    <xf numFmtId="165" fontId="98" fillId="106" borderId="50" xfId="2" applyFont="1" applyFill="1" applyBorder="1"/>
    <xf numFmtId="169" fontId="98" fillId="106" borderId="12" xfId="2" applyNumberFormat="1" applyFont="1" applyFill="1" applyBorder="1"/>
    <xf numFmtId="169" fontId="98" fillId="106" borderId="12" xfId="5730" applyNumberFormat="1" applyFont="1" applyFill="1" applyBorder="1"/>
    <xf numFmtId="165" fontId="98" fillId="106" borderId="50" xfId="5730" applyFont="1" applyFill="1" applyBorder="1"/>
    <xf numFmtId="165" fontId="98" fillId="44" borderId="50" xfId="2" applyFont="1" applyFill="1" applyBorder="1"/>
    <xf numFmtId="169" fontId="98" fillId="0" borderId="12" xfId="143" applyNumberFormat="1" applyFont="1" applyFill="1" applyBorder="1"/>
    <xf numFmtId="169" fontId="98" fillId="44" borderId="50" xfId="2" applyNumberFormat="1" applyFont="1" applyFill="1" applyBorder="1"/>
    <xf numFmtId="165" fontId="98" fillId="23" borderId="13" xfId="2" applyFont="1" applyFill="1" applyBorder="1"/>
    <xf numFmtId="169" fontId="98" fillId="34" borderId="12" xfId="2" applyNumberFormat="1" applyFont="1" applyFill="1" applyBorder="1"/>
    <xf numFmtId="167" fontId="0" fillId="109" borderId="0" xfId="0" applyFill="1"/>
    <xf numFmtId="43" fontId="0" fillId="29" borderId="27" xfId="0" applyNumberFormat="1" applyFill="1" applyBorder="1"/>
    <xf numFmtId="165" fontId="43" fillId="18" borderId="28" xfId="2" applyFont="1" applyFill="1" applyBorder="1"/>
    <xf numFmtId="165" fontId="43" fillId="18" borderId="56" xfId="2" applyFont="1" applyFill="1" applyBorder="1"/>
    <xf numFmtId="165" fontId="43" fillId="18" borderId="62" xfId="5730" applyFont="1" applyFill="1" applyBorder="1"/>
    <xf numFmtId="43" fontId="0" fillId="28" borderId="23" xfId="0" applyNumberFormat="1" applyFill="1" applyBorder="1"/>
    <xf numFmtId="43" fontId="0" fillId="28" borderId="25" xfId="0" applyNumberFormat="1" applyFill="1" applyBorder="1"/>
    <xf numFmtId="169" fontId="98" fillId="44" borderId="12" xfId="5730" applyNumberFormat="1" applyFont="1" applyFill="1" applyBorder="1"/>
    <xf numFmtId="169" fontId="98" fillId="34" borderId="12" xfId="5730" applyNumberFormat="1" applyFont="1" applyFill="1" applyBorder="1"/>
    <xf numFmtId="165" fontId="98" fillId="23" borderId="13" xfId="5730" applyFont="1" applyFill="1" applyBorder="1"/>
    <xf numFmtId="165" fontId="0" fillId="0" borderId="115" xfId="5730" applyFont="1" applyBorder="1"/>
    <xf numFmtId="165" fontId="45" fillId="0" borderId="115" xfId="5730" applyFont="1" applyBorder="1"/>
    <xf numFmtId="169" fontId="45" fillId="0" borderId="115" xfId="5730" applyNumberFormat="1" applyFont="1" applyBorder="1"/>
    <xf numFmtId="169" fontId="0" fillId="0" borderId="26" xfId="5730" applyNumberFormat="1" applyFont="1" applyBorder="1"/>
    <xf numFmtId="169" fontId="0" fillId="0" borderId="115" xfId="5730" applyNumberFormat="1" applyFont="1" applyBorder="1"/>
    <xf numFmtId="165" fontId="50" fillId="0" borderId="9" xfId="5730" applyFont="1" applyBorder="1"/>
    <xf numFmtId="165" fontId="50" fillId="0" borderId="115" xfId="5730" applyFont="1" applyBorder="1"/>
    <xf numFmtId="169" fontId="98" fillId="23" borderId="12" xfId="5730" applyNumberFormat="1" applyFont="1" applyFill="1" applyBorder="1"/>
    <xf numFmtId="165" fontId="75" fillId="2" borderId="43" xfId="2" applyFont="1" applyFill="1" applyBorder="1" applyAlignment="1">
      <alignment horizontal="center" vertical="center"/>
    </xf>
    <xf numFmtId="166" fontId="71" fillId="2" borderId="132" xfId="3" applyNumberFormat="1" applyFont="1" applyFill="1" applyBorder="1" applyAlignment="1">
      <alignment horizontal="center" vertical="center"/>
    </xf>
    <xf numFmtId="165" fontId="98" fillId="0" borderId="11" xfId="5730" applyFont="1" applyFill="1" applyBorder="1"/>
    <xf numFmtId="165" fontId="98" fillId="0" borderId="48" xfId="5730" applyFont="1" applyFill="1" applyBorder="1"/>
    <xf numFmtId="165" fontId="98" fillId="102" borderId="50" xfId="5730" applyFont="1" applyFill="1" applyBorder="1"/>
    <xf numFmtId="169" fontId="98" fillId="102" borderId="50" xfId="5730" applyNumberFormat="1" applyFont="1" applyFill="1" applyBorder="1"/>
    <xf numFmtId="169" fontId="98" fillId="102" borderId="12" xfId="5730" applyNumberFormat="1" applyFont="1" applyFill="1" applyBorder="1"/>
    <xf numFmtId="166" fontId="98" fillId="110" borderId="12" xfId="143" applyNumberFormat="1" applyFont="1" applyFill="1" applyBorder="1"/>
    <xf numFmtId="165" fontId="98" fillId="47" borderId="50" xfId="5730" applyFont="1" applyFill="1" applyBorder="1"/>
    <xf numFmtId="1" fontId="17" fillId="14" borderId="115" xfId="0" applyNumberFormat="1" applyFont="1" applyFill="1" applyBorder="1" applyAlignment="1">
      <alignment horizontal="center"/>
    </xf>
    <xf numFmtId="167" fontId="13" fillId="3" borderId="115" xfId="0" quotePrefix="1" applyFont="1" applyFill="1" applyBorder="1" applyAlignment="1">
      <alignment horizontal="center"/>
    </xf>
    <xf numFmtId="198" fontId="196" fillId="0" borderId="0" xfId="10112" applyNumberFormat="1" applyFont="1" applyFill="1" applyBorder="1" applyAlignment="1">
      <alignment vertical="center"/>
    </xf>
    <xf numFmtId="165" fontId="98" fillId="106" borderId="13" xfId="5730" applyFont="1" applyFill="1" applyBorder="1"/>
    <xf numFmtId="169" fontId="50" fillId="0" borderId="115" xfId="5730" applyNumberFormat="1" applyFont="1" applyBorder="1"/>
    <xf numFmtId="165" fontId="161" fillId="106" borderId="13" xfId="5730" applyFont="1" applyFill="1" applyBorder="1"/>
    <xf numFmtId="0" fontId="50" fillId="25" borderId="8" xfId="257" applyFill="1" applyBorder="1"/>
    <xf numFmtId="166" fontId="98" fillId="25" borderId="12" xfId="143" applyNumberFormat="1" applyFont="1" applyFill="1" applyBorder="1"/>
    <xf numFmtId="0" fontId="0" fillId="25" borderId="8" xfId="257" applyFont="1" applyFill="1" applyBorder="1"/>
    <xf numFmtId="0" fontId="101" fillId="25" borderId="8" xfId="257" applyFont="1" applyFill="1" applyBorder="1"/>
    <xf numFmtId="165" fontId="199" fillId="0" borderId="0" xfId="2" applyFont="1"/>
    <xf numFmtId="167" fontId="14" fillId="2" borderId="131" xfId="0" applyFont="1" applyFill="1" applyBorder="1" applyAlignment="1">
      <alignment vertical="center" wrapText="1"/>
    </xf>
    <xf numFmtId="167" fontId="14" fillId="2" borderId="14" xfId="0" applyFont="1" applyFill="1" applyBorder="1" applyAlignment="1">
      <alignment vertical="center" wrapText="1"/>
    </xf>
    <xf numFmtId="167" fontId="14" fillId="2" borderId="53" xfId="0" applyFont="1" applyFill="1" applyBorder="1" applyAlignment="1">
      <alignment vertical="center" wrapText="1"/>
    </xf>
    <xf numFmtId="167" fontId="40" fillId="2" borderId="53" xfId="0" applyFont="1" applyFill="1" applyBorder="1" applyAlignment="1">
      <alignment vertical="center"/>
    </xf>
    <xf numFmtId="167" fontId="40" fillId="2" borderId="41" xfId="0" applyFont="1" applyFill="1" applyBorder="1" applyAlignment="1">
      <alignment vertical="center"/>
    </xf>
    <xf numFmtId="167" fontId="0" fillId="0" borderId="134" xfId="0" applyBorder="1"/>
    <xf numFmtId="167" fontId="0" fillId="0" borderId="135" xfId="0" applyBorder="1"/>
    <xf numFmtId="167" fontId="0" fillId="34" borderId="133" xfId="0" applyFill="1" applyBorder="1" applyAlignment="1">
      <alignment horizontal="center" vertical="center"/>
    </xf>
    <xf numFmtId="167" fontId="0" fillId="34" borderId="134" xfId="0" applyFill="1" applyBorder="1" applyAlignment="1">
      <alignment horizontal="center" vertical="center"/>
    </xf>
    <xf numFmtId="167" fontId="18" fillId="3" borderId="115" xfId="10" applyFont="1" applyFill="1" applyBorder="1" applyAlignment="1">
      <alignment horizontal="center" vertical="center" wrapText="1"/>
    </xf>
    <xf numFmtId="169" fontId="76" fillId="2" borderId="8" xfId="2" applyNumberFormat="1" applyFont="1" applyFill="1" applyBorder="1" applyAlignment="1">
      <alignment horizontal="center" vertical="center"/>
    </xf>
    <xf numFmtId="169" fontId="0" fillId="0" borderId="115" xfId="2" applyNumberFormat="1" applyFont="1" applyBorder="1"/>
    <xf numFmtId="165" fontId="0" fillId="0" borderId="0" xfId="2" quotePrefix="1" applyFont="1"/>
    <xf numFmtId="14" fontId="62" fillId="100" borderId="0" xfId="0" quotePrefix="1" applyNumberFormat="1" applyFont="1" applyFill="1" applyAlignment="1">
      <alignment horizontal="center"/>
    </xf>
    <xf numFmtId="167" fontId="10" fillId="2" borderId="136" xfId="0" applyFont="1" applyFill="1" applyBorder="1" applyAlignment="1">
      <alignment horizontal="left"/>
    </xf>
    <xf numFmtId="167" fontId="10" fillId="2" borderId="137" xfId="0" applyFont="1" applyFill="1" applyBorder="1" applyAlignment="1">
      <alignment horizontal="left"/>
    </xf>
    <xf numFmtId="167" fontId="8" fillId="2" borderId="115" xfId="0" applyFont="1" applyFill="1" applyBorder="1" applyAlignment="1">
      <alignment horizontal="center"/>
    </xf>
    <xf numFmtId="166" fontId="8" fillId="2" borderId="115" xfId="3" applyNumberFormat="1" applyFont="1" applyFill="1" applyBorder="1"/>
    <xf numFmtId="167" fontId="33" fillId="2" borderId="115" xfId="0" applyFont="1" applyFill="1" applyBorder="1" applyAlignment="1">
      <alignment horizontal="left"/>
    </xf>
    <xf numFmtId="167" fontId="34" fillId="2" borderId="115" xfId="0" applyFont="1" applyFill="1" applyBorder="1" applyAlignment="1">
      <alignment horizontal="center"/>
    </xf>
    <xf numFmtId="166" fontId="34" fillId="2" borderId="115" xfId="3" applyNumberFormat="1" applyFont="1" applyFill="1" applyBorder="1"/>
    <xf numFmtId="43" fontId="75" fillId="2" borderId="43" xfId="13" applyNumberFormat="1" applyFont="1" applyFill="1" applyBorder="1" applyAlignment="1">
      <alignment horizontal="center" vertical="center"/>
    </xf>
    <xf numFmtId="165" fontId="0" fillId="2" borderId="0" xfId="2" applyFont="1" applyFill="1" applyAlignment="1">
      <alignment horizontal="center" vertical="center"/>
    </xf>
    <xf numFmtId="167" fontId="0" fillId="25" borderId="40" xfId="0" applyFill="1" applyBorder="1"/>
    <xf numFmtId="167" fontId="0" fillId="25" borderId="83" xfId="0" applyFill="1" applyBorder="1"/>
    <xf numFmtId="167" fontId="0" fillId="25" borderId="41" xfId="0" applyFill="1" applyBorder="1"/>
    <xf numFmtId="167" fontId="0" fillId="25" borderId="30" xfId="0" applyFill="1" applyBorder="1"/>
    <xf numFmtId="169" fontId="185" fillId="25" borderId="115" xfId="5730" applyNumberFormat="1" applyFont="1" applyFill="1" applyBorder="1"/>
    <xf numFmtId="169" fontId="185" fillId="25" borderId="0" xfId="5730" applyNumberFormat="1" applyFont="1" applyFill="1" applyBorder="1"/>
    <xf numFmtId="9" fontId="186" fillId="25" borderId="115" xfId="3550" applyFont="1" applyFill="1" applyBorder="1"/>
    <xf numFmtId="9" fontId="185" fillId="25" borderId="0" xfId="3550" applyFont="1" applyFill="1" applyBorder="1"/>
    <xf numFmtId="165" fontId="185" fillId="25" borderId="115" xfId="5730" applyFont="1" applyFill="1" applyBorder="1"/>
    <xf numFmtId="165" fontId="185" fillId="25" borderId="0" xfId="5730" applyFont="1" applyFill="1" applyBorder="1"/>
    <xf numFmtId="9" fontId="187" fillId="25" borderId="115" xfId="3550" applyFont="1" applyFill="1" applyBorder="1"/>
    <xf numFmtId="9" fontId="186" fillId="25" borderId="0" xfId="3550" applyFont="1" applyFill="1" applyBorder="1"/>
    <xf numFmtId="165" fontId="185" fillId="25" borderId="0" xfId="2" applyFont="1" applyFill="1" applyBorder="1"/>
    <xf numFmtId="3" fontId="185" fillId="25" borderId="0" xfId="2" applyNumberFormat="1" applyFont="1" applyFill="1" applyBorder="1" applyAlignment="1">
      <alignment horizontal="center"/>
    </xf>
    <xf numFmtId="3" fontId="185" fillId="25" borderId="0" xfId="5730" applyNumberFormat="1" applyFont="1" applyFill="1" applyBorder="1" applyAlignment="1">
      <alignment horizontal="center"/>
    </xf>
    <xf numFmtId="169" fontId="185" fillId="25" borderId="0" xfId="2" applyNumberFormat="1" applyFont="1" applyFill="1" applyBorder="1"/>
    <xf numFmtId="9" fontId="0" fillId="25" borderId="0" xfId="12" applyFont="1" applyFill="1" applyBorder="1"/>
    <xf numFmtId="9" fontId="43" fillId="25" borderId="0" xfId="12" applyFont="1" applyFill="1" applyBorder="1" applyAlignment="1">
      <alignment horizontal="center"/>
    </xf>
    <xf numFmtId="169" fontId="185" fillId="25" borderId="115" xfId="2" applyNumberFormat="1" applyFont="1" applyFill="1" applyBorder="1" applyAlignment="1">
      <alignment horizontal="right"/>
    </xf>
    <xf numFmtId="167" fontId="182" fillId="25" borderId="4" xfId="0" applyFont="1" applyFill="1" applyBorder="1"/>
    <xf numFmtId="0" fontId="203" fillId="25" borderId="0" xfId="3596" applyFont="1" applyFill="1" applyBorder="1" applyAlignment="1" applyProtection="1">
      <alignment horizontal="center" vertical="center"/>
    </xf>
    <xf numFmtId="0" fontId="0" fillId="0" borderId="0" xfId="0" applyNumberFormat="1"/>
    <xf numFmtId="9" fontId="74" fillId="2" borderId="8" xfId="12" applyFont="1" applyFill="1" applyBorder="1" applyAlignment="1">
      <alignment horizontal="center" vertical="center"/>
    </xf>
    <xf numFmtId="9" fontId="74" fillId="2" borderId="16" xfId="12" applyFont="1" applyFill="1" applyBorder="1" applyAlignment="1">
      <alignment horizontal="center" vertical="center"/>
    </xf>
    <xf numFmtId="9" fontId="74" fillId="2" borderId="24" xfId="12" applyFont="1" applyFill="1" applyBorder="1" applyAlignment="1">
      <alignment horizontal="center" vertical="center"/>
    </xf>
    <xf numFmtId="0" fontId="62" fillId="100" borderId="0" xfId="0" quotePrefix="1" applyNumberFormat="1" applyFont="1" applyFill="1" applyAlignment="1">
      <alignment horizontal="center"/>
    </xf>
    <xf numFmtId="167" fontId="0" fillId="2" borderId="0" xfId="0" applyFill="1" applyAlignment="1">
      <alignment horizontal="center" vertical="center"/>
    </xf>
    <xf numFmtId="199" fontId="62" fillId="100" borderId="0" xfId="0" quotePrefix="1" applyNumberFormat="1" applyFont="1" applyFill="1" applyAlignment="1">
      <alignment horizontal="center"/>
    </xf>
    <xf numFmtId="15" fontId="203" fillId="25" borderId="4" xfId="3596" applyNumberFormat="1" applyFont="1" applyFill="1" applyBorder="1" applyAlignment="1" applyProtection="1">
      <alignment horizontal="center" vertical="center"/>
    </xf>
    <xf numFmtId="15" fontId="204" fillId="0" borderId="103" xfId="2" applyNumberFormat="1" applyFont="1" applyFill="1" applyBorder="1"/>
    <xf numFmtId="0" fontId="204" fillId="0" borderId="106" xfId="10" applyNumberFormat="1" applyFont="1" applyBorder="1"/>
    <xf numFmtId="1" fontId="183" fillId="25" borderId="115" xfId="0" applyNumberFormat="1" applyFont="1" applyFill="1" applyBorder="1" applyAlignment="1">
      <alignment horizontal="center" vertical="center"/>
    </xf>
    <xf numFmtId="9" fontId="43" fillId="25" borderId="0" xfId="12" applyFont="1" applyFill="1" applyBorder="1" applyAlignment="1">
      <alignment horizontal="right"/>
    </xf>
    <xf numFmtId="2" fontId="0" fillId="2" borderId="0" xfId="2" applyNumberFormat="1" applyFont="1" applyFill="1" applyAlignment="1">
      <alignment horizontal="center" vertical="center"/>
    </xf>
    <xf numFmtId="2" fontId="0" fillId="2" borderId="115" xfId="2" applyNumberFormat="1" applyFont="1" applyFill="1" applyBorder="1" applyAlignment="1">
      <alignment horizontal="center" vertical="center"/>
    </xf>
    <xf numFmtId="0" fontId="50" fillId="0" borderId="0" xfId="3143"/>
    <xf numFmtId="0" fontId="50" fillId="0" borderId="115" xfId="3143" applyBorder="1" applyAlignment="1">
      <alignment horizontal="center"/>
    </xf>
    <xf numFmtId="0" fontId="50" fillId="0" borderId="115" xfId="3143" applyBorder="1"/>
    <xf numFmtId="200" fontId="50" fillId="0" borderId="115" xfId="3143" quotePrefix="1" applyNumberFormat="1" applyBorder="1" applyAlignment="1">
      <alignment horizontal="center"/>
    </xf>
    <xf numFmtId="201" fontId="50" fillId="0" borderId="115" xfId="3143" quotePrefix="1" applyNumberFormat="1" applyBorder="1" applyAlignment="1">
      <alignment horizontal="center"/>
    </xf>
    <xf numFmtId="175" fontId="185" fillId="25" borderId="115" xfId="5730" applyNumberFormat="1" applyFont="1" applyFill="1" applyBorder="1"/>
    <xf numFmtId="167" fontId="0" fillId="0" borderId="0" xfId="0" applyAlignment="1">
      <alignment horizontal="center" vertical="center"/>
    </xf>
    <xf numFmtId="166" fontId="70" fillId="2" borderId="140" xfId="3" applyNumberFormat="1" applyFont="1" applyFill="1" applyBorder="1" applyAlignment="1">
      <alignment horizontal="center" vertical="center"/>
    </xf>
    <xf numFmtId="166" fontId="71" fillId="2" borderId="141" xfId="3" applyNumberFormat="1" applyFont="1" applyFill="1" applyBorder="1" applyAlignment="1">
      <alignment horizontal="center" vertical="center"/>
    </xf>
    <xf numFmtId="166" fontId="72" fillId="2" borderId="141" xfId="3" applyNumberFormat="1" applyFont="1" applyFill="1" applyBorder="1" applyAlignment="1">
      <alignment horizontal="center" vertical="center"/>
    </xf>
    <xf numFmtId="166" fontId="69" fillId="2" borderId="141" xfId="3" applyNumberFormat="1" applyFont="1" applyFill="1" applyBorder="1" applyAlignment="1">
      <alignment horizontal="center" vertical="center"/>
    </xf>
    <xf numFmtId="166" fontId="72" fillId="2" borderId="142" xfId="3" applyNumberFormat="1" applyFont="1" applyFill="1" applyBorder="1" applyAlignment="1">
      <alignment horizontal="center" vertical="center"/>
    </xf>
    <xf numFmtId="166" fontId="71" fillId="2" borderId="143" xfId="3" applyNumberFormat="1" applyFont="1" applyFill="1" applyBorder="1" applyAlignment="1">
      <alignment horizontal="center" vertical="center"/>
    </xf>
    <xf numFmtId="166" fontId="71" fillId="2" borderId="140" xfId="3" applyNumberFormat="1" applyFont="1" applyFill="1" applyBorder="1" applyAlignment="1">
      <alignment horizontal="center" vertical="center"/>
    </xf>
    <xf numFmtId="166" fontId="76" fillId="2" borderId="144" xfId="3" applyNumberFormat="1" applyFont="1" applyFill="1" applyBorder="1" applyAlignment="1">
      <alignment horizontal="center" vertical="center"/>
    </xf>
    <xf numFmtId="174" fontId="74" fillId="2" borderId="138" xfId="13" applyNumberFormat="1" applyFont="1" applyFill="1" applyBorder="1" applyAlignment="1">
      <alignment horizontal="center" vertical="center"/>
    </xf>
    <xf numFmtId="1" fontId="17" fillId="14" borderId="115" xfId="0" quotePrefix="1" applyNumberFormat="1" applyFont="1" applyFill="1" applyBorder="1" applyAlignment="1">
      <alignment horizontal="center"/>
    </xf>
    <xf numFmtId="167" fontId="17" fillId="3" borderId="115" xfId="0" quotePrefix="1" applyFont="1" applyFill="1" applyBorder="1" applyAlignment="1">
      <alignment horizontal="center"/>
    </xf>
    <xf numFmtId="167" fontId="14" fillId="9" borderId="115" xfId="0" applyFont="1" applyFill="1" applyBorder="1" applyAlignment="1">
      <alignment horizontal="center"/>
    </xf>
    <xf numFmtId="167" fontId="0" fillId="2" borderId="115" xfId="0" applyFill="1" applyBorder="1" applyAlignment="1">
      <alignment horizontal="center" vertical="center"/>
    </xf>
    <xf numFmtId="41" fontId="2" fillId="2" borderId="8" xfId="25" applyFont="1" applyFill="1" applyBorder="1" applyAlignment="1">
      <alignment horizontal="center"/>
    </xf>
    <xf numFmtId="165" fontId="2" fillId="2" borderId="26" xfId="2" applyFont="1" applyFill="1" applyBorder="1"/>
    <xf numFmtId="165" fontId="2" fillId="2" borderId="115" xfId="2" applyFont="1" applyFill="1" applyBorder="1"/>
    <xf numFmtId="167" fontId="16" fillId="35" borderId="115" xfId="0" applyFont="1" applyFill="1" applyBorder="1"/>
    <xf numFmtId="169" fontId="43" fillId="10" borderId="115" xfId="0" applyNumberFormat="1" applyFont="1" applyFill="1" applyBorder="1" applyAlignment="1">
      <alignment horizontal="center"/>
    </xf>
    <xf numFmtId="165" fontId="43" fillId="10" borderId="115" xfId="0" applyNumberFormat="1" applyFont="1" applyFill="1" applyBorder="1" applyAlignment="1">
      <alignment horizontal="center"/>
    </xf>
    <xf numFmtId="167" fontId="14" fillId="15" borderId="115" xfId="0" applyFont="1" applyFill="1" applyBorder="1" applyAlignment="1">
      <alignment horizontal="center"/>
    </xf>
    <xf numFmtId="167" fontId="40" fillId="2" borderId="145" xfId="0" applyFont="1" applyFill="1" applyBorder="1" applyAlignment="1">
      <alignment horizontal="center" vertical="center"/>
    </xf>
    <xf numFmtId="43" fontId="2" fillId="2" borderId="6" xfId="2" applyNumberFormat="1" applyFont="1" applyFill="1" applyBorder="1"/>
    <xf numFmtId="43" fontId="0" fillId="2" borderId="145" xfId="0" applyNumberFormat="1" applyFill="1" applyBorder="1" applyAlignment="1">
      <alignment vertical="center"/>
    </xf>
    <xf numFmtId="167" fontId="16" fillId="16" borderId="115" xfId="0" applyFont="1" applyFill="1" applyBorder="1"/>
    <xf numFmtId="175" fontId="2" fillId="16" borderId="115" xfId="2" applyNumberFormat="1" applyFont="1" applyFill="1" applyBorder="1" applyAlignment="1">
      <alignment horizontal="center"/>
    </xf>
    <xf numFmtId="165" fontId="0" fillId="17" borderId="115" xfId="0" applyNumberFormat="1" applyFill="1" applyBorder="1" applyAlignment="1">
      <alignment horizontal="center"/>
    </xf>
    <xf numFmtId="175" fontId="2" fillId="16" borderId="26" xfId="2" applyNumberFormat="1" applyFont="1" applyFill="1" applyBorder="1" applyAlignment="1">
      <alignment horizontal="center"/>
    </xf>
    <xf numFmtId="167" fontId="17" fillId="2" borderId="138" xfId="0" applyFont="1" applyFill="1" applyBorder="1" applyAlignment="1">
      <alignment horizontal="center"/>
    </xf>
    <xf numFmtId="167" fontId="17" fillId="2" borderId="144" xfId="0" applyFont="1" applyFill="1" applyBorder="1" applyAlignment="1">
      <alignment horizontal="center"/>
    </xf>
    <xf numFmtId="167" fontId="14" fillId="9" borderId="145" xfId="0" applyFont="1" applyFill="1" applyBorder="1" applyAlignment="1">
      <alignment horizontal="center"/>
    </xf>
    <xf numFmtId="167" fontId="14" fillId="13" borderId="145" xfId="0" applyFont="1" applyFill="1" applyBorder="1" applyAlignment="1">
      <alignment horizontal="center"/>
    </xf>
    <xf numFmtId="176" fontId="2" fillId="11" borderId="26" xfId="2" applyNumberFormat="1" applyFont="1" applyFill="1" applyBorder="1" applyAlignment="1">
      <alignment horizontal="center"/>
    </xf>
    <xf numFmtId="167" fontId="17" fillId="14" borderId="115" xfId="0" applyFont="1" applyFill="1" applyBorder="1" applyAlignment="1">
      <alignment horizontal="center"/>
    </xf>
    <xf numFmtId="167" fontId="13" fillId="3" borderId="115" xfId="0" applyFont="1" applyFill="1" applyBorder="1" applyAlignment="1">
      <alignment horizontal="center"/>
    </xf>
    <xf numFmtId="167" fontId="16" fillId="6" borderId="145" xfId="0" applyFont="1" applyFill="1" applyBorder="1" applyAlignment="1">
      <alignment vertical="center"/>
    </xf>
    <xf numFmtId="167" fontId="16" fillId="6" borderId="115" xfId="0" applyFont="1" applyFill="1" applyBorder="1" applyAlignment="1">
      <alignment vertical="center"/>
    </xf>
    <xf numFmtId="43" fontId="43" fillId="6" borderId="115" xfId="0" applyNumberFormat="1" applyFont="1" applyFill="1" applyBorder="1"/>
    <xf numFmtId="43" fontId="0" fillId="30" borderId="145" xfId="0" applyNumberFormat="1" applyFill="1" applyBorder="1"/>
    <xf numFmtId="43" fontId="0" fillId="30" borderId="145" xfId="0" applyNumberFormat="1" applyFill="1" applyBorder="1" applyAlignment="1">
      <alignment horizontal="center" vertical="center"/>
    </xf>
    <xf numFmtId="167" fontId="40" fillId="2" borderId="0" xfId="0" applyFont="1" applyFill="1" applyAlignment="1">
      <alignment horizontal="center"/>
    </xf>
    <xf numFmtId="167" fontId="14" fillId="0" borderId="115" xfId="0" applyFont="1" applyBorder="1" applyAlignment="1">
      <alignment horizontal="center"/>
    </xf>
    <xf numFmtId="1" fontId="45" fillId="25" borderId="145" xfId="0" applyNumberFormat="1" applyFont="1" applyFill="1" applyBorder="1" applyAlignment="1">
      <alignment horizontal="center" vertical="center" wrapText="1"/>
    </xf>
    <xf numFmtId="2" fontId="0" fillId="27" borderId="115" xfId="0" applyNumberFormat="1" applyFill="1" applyBorder="1" applyAlignment="1">
      <alignment horizontal="center"/>
    </xf>
    <xf numFmtId="2" fontId="13" fillId="16" borderId="26" xfId="0" applyNumberFormat="1" applyFont="1" applyFill="1" applyBorder="1" applyAlignment="1">
      <alignment horizontal="center"/>
    </xf>
    <xf numFmtId="172" fontId="0" fillId="27" borderId="115" xfId="0" applyNumberFormat="1" applyFill="1" applyBorder="1" applyAlignment="1">
      <alignment horizontal="center"/>
    </xf>
    <xf numFmtId="167" fontId="0" fillId="23" borderId="115" xfId="0" quotePrefix="1" applyFill="1" applyBorder="1" applyAlignment="1">
      <alignment horizontal="center"/>
    </xf>
    <xf numFmtId="167" fontId="0" fillId="22" borderId="115" xfId="0" applyFill="1" applyBorder="1" applyAlignment="1">
      <alignment horizontal="center"/>
    </xf>
    <xf numFmtId="167" fontId="44" fillId="2" borderId="115" xfId="0" applyFont="1" applyFill="1" applyBorder="1"/>
    <xf numFmtId="165" fontId="0" fillId="2" borderId="115" xfId="2" applyFont="1" applyFill="1" applyBorder="1" applyAlignment="1">
      <alignment horizontal="center"/>
    </xf>
    <xf numFmtId="165" fontId="0" fillId="22" borderId="115" xfId="2" applyFont="1" applyFill="1" applyBorder="1" applyAlignment="1">
      <alignment horizontal="center"/>
    </xf>
    <xf numFmtId="165" fontId="0" fillId="0" borderId="115" xfId="2" applyFont="1" applyBorder="1"/>
    <xf numFmtId="165" fontId="0" fillId="24" borderId="115" xfId="2" applyFont="1" applyFill="1" applyBorder="1" applyAlignment="1">
      <alignment horizontal="center"/>
    </xf>
    <xf numFmtId="167" fontId="18" fillId="3" borderId="115" xfId="11" applyFont="1" applyFill="1" applyBorder="1" applyAlignment="1">
      <alignment horizontal="right" vertical="center"/>
    </xf>
    <xf numFmtId="167" fontId="38" fillId="7" borderId="115" xfId="11" applyFont="1" applyFill="1" applyBorder="1" applyAlignment="1">
      <alignment horizontal="left"/>
    </xf>
    <xf numFmtId="170" fontId="38" fillId="7" borderId="115" xfId="4" applyNumberFormat="1" applyFont="1" applyFill="1" applyBorder="1"/>
    <xf numFmtId="166" fontId="38" fillId="7" borderId="115" xfId="4" applyNumberFormat="1" applyFont="1" applyFill="1" applyBorder="1"/>
    <xf numFmtId="167" fontId="34" fillId="3" borderId="115" xfId="0" applyFont="1" applyFill="1" applyBorder="1"/>
    <xf numFmtId="167" fontId="35" fillId="3" borderId="115" xfId="0" applyFont="1" applyFill="1" applyBorder="1" applyAlignment="1">
      <alignment horizontal="center"/>
    </xf>
    <xf numFmtId="167" fontId="9" fillId="4" borderId="115" xfId="0" applyFont="1" applyFill="1" applyBorder="1" applyAlignment="1">
      <alignment horizontal="center"/>
    </xf>
    <xf numFmtId="167" fontId="35" fillId="3" borderId="115" xfId="9" applyFont="1" applyFill="1" applyBorder="1" applyAlignment="1">
      <alignment horizontal="center"/>
    </xf>
    <xf numFmtId="166" fontId="35" fillId="3" borderId="115" xfId="2" applyNumberFormat="1" applyFont="1" applyFill="1" applyBorder="1" applyAlignment="1">
      <alignment horizontal="center"/>
    </xf>
    <xf numFmtId="3" fontId="34" fillId="2" borderId="115" xfId="0" applyNumberFormat="1" applyFont="1" applyFill="1" applyBorder="1" applyAlignment="1">
      <alignment horizontal="right"/>
    </xf>
    <xf numFmtId="166" fontId="34" fillId="2" borderId="115" xfId="2" applyNumberFormat="1" applyFont="1" applyFill="1" applyBorder="1" applyAlignment="1">
      <alignment horizontal="right"/>
    </xf>
    <xf numFmtId="43" fontId="34" fillId="2" borderId="115" xfId="2" applyNumberFormat="1" applyFont="1" applyFill="1" applyBorder="1" applyAlignment="1">
      <alignment horizontal="center"/>
    </xf>
    <xf numFmtId="43" fontId="34" fillId="2" borderId="115" xfId="2" applyNumberFormat="1" applyFont="1" applyFill="1" applyBorder="1"/>
    <xf numFmtId="43" fontId="36" fillId="0" borderId="115" xfId="2" applyNumberFormat="1" applyFont="1" applyFill="1" applyBorder="1"/>
    <xf numFmtId="166" fontId="34" fillId="4" borderId="115" xfId="3" applyNumberFormat="1" applyFont="1" applyFill="1" applyBorder="1"/>
    <xf numFmtId="168" fontId="34" fillId="5" borderId="115" xfId="0" applyNumberFormat="1" applyFont="1" applyFill="1" applyBorder="1"/>
    <xf numFmtId="166" fontId="34" fillId="0" borderId="115" xfId="2" applyNumberFormat="1" applyFont="1" applyBorder="1"/>
    <xf numFmtId="166" fontId="34" fillId="0" borderId="115" xfId="3" applyNumberFormat="1" applyFont="1" applyFill="1" applyBorder="1"/>
    <xf numFmtId="166" fontId="36" fillId="2" borderId="115" xfId="0" applyNumberFormat="1" applyFont="1" applyFill="1" applyBorder="1"/>
    <xf numFmtId="166" fontId="34" fillId="2" borderId="115" xfId="2" applyNumberFormat="1" applyFont="1" applyFill="1" applyBorder="1"/>
    <xf numFmtId="167" fontId="33" fillId="0" borderId="115" xfId="0" applyFont="1" applyBorder="1" applyAlignment="1">
      <alignment horizontal="left"/>
    </xf>
    <xf numFmtId="167" fontId="34" fillId="0" borderId="115" xfId="0" applyFont="1" applyBorder="1" applyAlignment="1">
      <alignment horizontal="center"/>
    </xf>
    <xf numFmtId="166" fontId="34" fillId="0" borderId="115" xfId="2" applyNumberFormat="1" applyFont="1" applyFill="1" applyBorder="1"/>
    <xf numFmtId="165" fontId="34" fillId="2" borderId="115" xfId="2" applyFont="1" applyFill="1" applyBorder="1" applyAlignment="1">
      <alignment horizontal="right"/>
    </xf>
    <xf numFmtId="167" fontId="9" fillId="33" borderId="137" xfId="11" applyFont="1" applyFill="1" applyBorder="1" applyAlignment="1">
      <alignment vertical="center"/>
    </xf>
    <xf numFmtId="167" fontId="9" fillId="33" borderId="115" xfId="11" applyFont="1" applyFill="1" applyBorder="1" applyAlignment="1">
      <alignment horizontal="right" vertical="center"/>
    </xf>
    <xf numFmtId="1" fontId="9" fillId="33" borderId="136" xfId="11" applyNumberFormat="1" applyFont="1" applyFill="1" applyBorder="1" applyAlignment="1">
      <alignment horizontal="center"/>
    </xf>
    <xf numFmtId="166" fontId="47" fillId="31" borderId="115" xfId="4" applyNumberFormat="1" applyFont="1" applyFill="1" applyBorder="1"/>
    <xf numFmtId="167" fontId="34" fillId="37" borderId="136" xfId="11" applyFont="1" applyFill="1" applyBorder="1" applyAlignment="1">
      <alignment horizontal="center" vertical="center"/>
    </xf>
    <xf numFmtId="166" fontId="34" fillId="37" borderId="115" xfId="4" applyNumberFormat="1" applyFont="1" applyFill="1" applyBorder="1" applyAlignment="1">
      <alignment horizontal="right" vertical="center" indent="1"/>
    </xf>
    <xf numFmtId="166" fontId="47" fillId="37" borderId="115" xfId="4" applyNumberFormat="1" applyFont="1" applyFill="1" applyBorder="1"/>
    <xf numFmtId="167" fontId="34" fillId="37" borderId="136" xfId="11" applyFont="1" applyFill="1" applyBorder="1" applyAlignment="1">
      <alignment horizontal="center"/>
    </xf>
    <xf numFmtId="166" fontId="34" fillId="37" borderId="115" xfId="4" applyNumberFormat="1" applyFont="1" applyFill="1" applyBorder="1"/>
    <xf numFmtId="167" fontId="18" fillId="12" borderId="115" xfId="10" applyFont="1" applyFill="1" applyBorder="1" applyAlignment="1">
      <alignment horizontal="center" vertical="center" wrapText="1"/>
    </xf>
    <xf numFmtId="169" fontId="4" fillId="3" borderId="115" xfId="2" applyNumberFormat="1" applyFont="1" applyFill="1" applyBorder="1" applyAlignment="1" applyProtection="1">
      <alignment horizontal="center"/>
      <protection locked="0"/>
    </xf>
    <xf numFmtId="169" fontId="4" fillId="47" borderId="115" xfId="2" applyNumberFormat="1" applyFont="1" applyFill="1" applyBorder="1" applyAlignment="1" applyProtection="1">
      <alignment horizontal="center"/>
      <protection locked="0"/>
    </xf>
    <xf numFmtId="167" fontId="18" fillId="13" borderId="115" xfId="10" applyFont="1" applyFill="1" applyBorder="1" applyAlignment="1">
      <alignment horizontal="center" vertical="center"/>
    </xf>
    <xf numFmtId="1" fontId="4" fillId="13" borderId="115" xfId="10" applyNumberFormat="1" applyFont="1" applyFill="1" applyBorder="1" applyAlignment="1">
      <alignment horizontal="center"/>
    </xf>
    <xf numFmtId="167" fontId="9" fillId="3" borderId="115" xfId="0" applyFont="1" applyFill="1" applyBorder="1" applyAlignment="1">
      <alignment horizontal="center"/>
    </xf>
    <xf numFmtId="167" fontId="9" fillId="3" borderId="115" xfId="9" applyFont="1" applyFill="1" applyBorder="1" applyAlignment="1">
      <alignment horizontal="center"/>
    </xf>
    <xf numFmtId="166" fontId="9" fillId="3" borderId="115" xfId="2" applyNumberFormat="1" applyFont="1" applyFill="1" applyBorder="1" applyAlignment="1">
      <alignment horizontal="center"/>
    </xf>
    <xf numFmtId="167" fontId="10" fillId="2" borderId="136" xfId="0" applyFont="1" applyFill="1" applyBorder="1"/>
    <xf numFmtId="167" fontId="10" fillId="2" borderId="137" xfId="0" applyFont="1" applyFill="1" applyBorder="1"/>
    <xf numFmtId="3" fontId="8" fillId="2" borderId="115" xfId="0" applyNumberFormat="1" applyFont="1" applyFill="1" applyBorder="1" applyAlignment="1">
      <alignment horizontal="right"/>
    </xf>
    <xf numFmtId="169" fontId="8" fillId="2" borderId="115" xfId="2" applyNumberFormat="1" applyFont="1" applyFill="1" applyBorder="1" applyAlignment="1">
      <alignment horizontal="right"/>
    </xf>
    <xf numFmtId="166" fontId="8" fillId="2" borderId="115" xfId="2" applyNumberFormat="1" applyFont="1" applyFill="1" applyBorder="1" applyAlignment="1">
      <alignment horizontal="right"/>
    </xf>
    <xf numFmtId="43" fontId="8" fillId="2" borderId="115" xfId="2" applyNumberFormat="1" applyFont="1" applyFill="1" applyBorder="1" applyAlignment="1">
      <alignment horizontal="center"/>
    </xf>
    <xf numFmtId="43" fontId="8" fillId="2" borderId="115" xfId="2" applyNumberFormat="1" applyFont="1" applyFill="1" applyBorder="1"/>
    <xf numFmtId="43" fontId="11" fillId="0" borderId="115" xfId="2" applyNumberFormat="1" applyFont="1" applyFill="1" applyBorder="1"/>
    <xf numFmtId="166" fontId="8" fillId="4" borderId="115" xfId="3" applyNumberFormat="1" applyFont="1" applyFill="1" applyBorder="1"/>
    <xf numFmtId="168" fontId="8" fillId="5" borderId="115" xfId="0" applyNumberFormat="1" applyFont="1" applyFill="1" applyBorder="1"/>
    <xf numFmtId="166" fontId="8" fillId="0" borderId="115" xfId="2" applyNumberFormat="1" applyFont="1" applyBorder="1"/>
    <xf numFmtId="167" fontId="8" fillId="2" borderId="115" xfId="0" applyFont="1" applyFill="1" applyBorder="1"/>
    <xf numFmtId="169" fontId="11" fillId="2" borderId="115" xfId="2" applyNumberFormat="1" applyFont="1" applyFill="1" applyBorder="1"/>
    <xf numFmtId="169" fontId="54" fillId="2" borderId="115" xfId="2" applyNumberFormat="1" applyFont="1" applyFill="1" applyBorder="1"/>
    <xf numFmtId="166" fontId="54" fillId="2" borderId="115" xfId="0" applyNumberFormat="1" applyFont="1" applyFill="1" applyBorder="1"/>
    <xf numFmtId="166" fontId="11" fillId="2" borderId="115" xfId="0" applyNumberFormat="1" applyFont="1" applyFill="1" applyBorder="1"/>
    <xf numFmtId="166" fontId="8" fillId="2" borderId="115" xfId="2" applyNumberFormat="1" applyFont="1" applyFill="1" applyBorder="1"/>
    <xf numFmtId="167" fontId="10" fillId="0" borderId="136" xfId="0" applyFont="1" applyBorder="1"/>
    <xf numFmtId="167" fontId="10" fillId="0" borderId="137" xfId="0" applyFont="1" applyBorder="1"/>
    <xf numFmtId="167" fontId="8" fillId="0" borderId="115" xfId="0" applyFont="1" applyBorder="1" applyAlignment="1">
      <alignment horizontal="center"/>
    </xf>
    <xf numFmtId="169" fontId="8" fillId="2" borderId="115" xfId="2" applyNumberFormat="1" applyFont="1" applyFill="1" applyBorder="1"/>
    <xf numFmtId="166" fontId="8" fillId="2" borderId="145" xfId="2" applyNumberFormat="1" applyFont="1" applyFill="1" applyBorder="1"/>
    <xf numFmtId="166" fontId="8" fillId="2" borderId="145" xfId="3" applyNumberFormat="1" applyFont="1" applyFill="1" applyBorder="1"/>
    <xf numFmtId="166" fontId="53" fillId="2" borderId="115" xfId="2" applyNumberFormat="1" applyFont="1" applyFill="1" applyBorder="1"/>
    <xf numFmtId="167" fontId="10" fillId="26" borderId="136" xfId="0" applyFont="1" applyFill="1" applyBorder="1"/>
    <xf numFmtId="167" fontId="10" fillId="26" borderId="137" xfId="0" applyFont="1" applyFill="1" applyBorder="1"/>
    <xf numFmtId="167" fontId="8" fillId="26" borderId="115" xfId="0" applyFont="1" applyFill="1" applyBorder="1" applyAlignment="1">
      <alignment horizontal="center"/>
    </xf>
    <xf numFmtId="3" fontId="8" fillId="26" borderId="115" xfId="0" applyNumberFormat="1" applyFont="1" applyFill="1" applyBorder="1" applyAlignment="1">
      <alignment horizontal="right"/>
    </xf>
    <xf numFmtId="165" fontId="8" fillId="26" borderId="115" xfId="2" applyFont="1" applyFill="1" applyBorder="1" applyAlignment="1">
      <alignment horizontal="center"/>
    </xf>
    <xf numFmtId="3" fontId="8" fillId="26" borderId="115" xfId="0" applyNumberFormat="1" applyFont="1" applyFill="1" applyBorder="1" applyAlignment="1">
      <alignment horizontal="center"/>
    </xf>
    <xf numFmtId="169" fontId="51" fillId="0" borderId="115" xfId="2" applyNumberFormat="1" applyFont="1" applyFill="1" applyBorder="1"/>
    <xf numFmtId="1" fontId="0" fillId="0" borderId="115" xfId="2" applyNumberFormat="1" applyFont="1" applyBorder="1" applyAlignment="1">
      <alignment horizontal="center"/>
    </xf>
    <xf numFmtId="167" fontId="0" fillId="0" borderId="115" xfId="0" applyBorder="1" applyAlignment="1">
      <alignment horizontal="center" vertical="center"/>
    </xf>
    <xf numFmtId="1" fontId="43" fillId="41" borderId="145" xfId="0" applyNumberFormat="1" applyFont="1" applyFill="1" applyBorder="1" applyAlignment="1">
      <alignment horizontal="center"/>
    </xf>
    <xf numFmtId="167" fontId="31" fillId="7" borderId="115" xfId="10" quotePrefix="1" applyFont="1" applyFill="1" applyBorder="1" applyAlignment="1">
      <alignment horizontal="center" vertical="center"/>
    </xf>
    <xf numFmtId="167" fontId="14" fillId="2" borderId="18" xfId="0" applyFont="1" applyFill="1" applyBorder="1" applyAlignment="1">
      <alignment vertical="center" wrapText="1"/>
    </xf>
    <xf numFmtId="167" fontId="62" fillId="100" borderId="0" xfId="0" applyFont="1" applyFill="1" applyAlignment="1">
      <alignment horizontal="center"/>
    </xf>
    <xf numFmtId="167" fontId="45" fillId="0" borderId="19" xfId="5730" applyNumberFormat="1" applyFont="1" applyFill="1" applyBorder="1"/>
    <xf numFmtId="169" fontId="0" fillId="0" borderId="0" xfId="5730" applyNumberFormat="1" applyFont="1" applyBorder="1"/>
    <xf numFmtId="165" fontId="0" fillId="0" borderId="0" xfId="5730" applyFont="1" applyBorder="1"/>
    <xf numFmtId="169" fontId="45" fillId="0" borderId="0" xfId="5730" applyNumberFormat="1" applyFont="1" applyBorder="1"/>
    <xf numFmtId="165" fontId="50" fillId="0" borderId="0" xfId="5730" applyFont="1" applyBorder="1"/>
    <xf numFmtId="169" fontId="50" fillId="0" borderId="0" xfId="5730" applyNumberFormat="1" applyFont="1" applyBorder="1"/>
    <xf numFmtId="43" fontId="206" fillId="25" borderId="0" xfId="173" applyFont="1" applyFill="1"/>
    <xf numFmtId="43" fontId="0" fillId="25" borderId="0" xfId="173" applyFont="1" applyFill="1"/>
    <xf numFmtId="43" fontId="0" fillId="25" borderId="40" xfId="173" applyFont="1" applyFill="1" applyBorder="1" applyAlignment="1">
      <alignment horizontal="center"/>
    </xf>
    <xf numFmtId="43" fontId="0" fillId="25" borderId="83" xfId="173" applyFont="1" applyFill="1" applyBorder="1" applyAlignment="1">
      <alignment horizontal="center"/>
    </xf>
    <xf numFmtId="43" fontId="0" fillId="25" borderId="45" xfId="173" applyFont="1" applyFill="1" applyBorder="1"/>
    <xf numFmtId="43" fontId="4" fillId="25" borderId="115" xfId="173" applyFont="1" applyFill="1" applyBorder="1" applyAlignment="1">
      <alignment horizontal="center"/>
    </xf>
    <xf numFmtId="43" fontId="4" fillId="42" borderId="136" xfId="173" applyFont="1" applyFill="1" applyBorder="1"/>
    <xf numFmtId="43" fontId="4" fillId="42" borderId="116" xfId="173" applyFont="1" applyFill="1" applyBorder="1"/>
    <xf numFmtId="43" fontId="0" fillId="42" borderId="116" xfId="173" applyFont="1" applyFill="1" applyBorder="1"/>
    <xf numFmtId="43" fontId="0" fillId="42" borderId="115" xfId="173" applyFont="1" applyFill="1" applyBorder="1" applyAlignment="1">
      <alignment horizontal="center"/>
    </xf>
    <xf numFmtId="43" fontId="0" fillId="42" borderId="148" xfId="173" applyFont="1" applyFill="1" applyBorder="1" applyAlignment="1">
      <alignment horizontal="center"/>
    </xf>
    <xf numFmtId="43" fontId="0" fillId="42" borderId="148" xfId="173" applyFont="1" applyFill="1" applyBorder="1"/>
    <xf numFmtId="43" fontId="4" fillId="25" borderId="115" xfId="173" applyFont="1" applyFill="1" applyBorder="1"/>
    <xf numFmtId="43" fontId="0" fillId="25" borderId="115" xfId="173" applyFont="1" applyFill="1" applyBorder="1"/>
    <xf numFmtId="43" fontId="0" fillId="25" borderId="136" xfId="173" applyFont="1" applyFill="1" applyBorder="1"/>
    <xf numFmtId="43" fontId="0" fillId="25" borderId="78" xfId="173" applyFont="1" applyFill="1" applyBorder="1"/>
    <xf numFmtId="43" fontId="0" fillId="25" borderId="147" xfId="173" applyFont="1" applyFill="1" applyBorder="1"/>
    <xf numFmtId="43" fontId="0" fillId="25" borderId="148" xfId="173" applyFont="1" applyFill="1" applyBorder="1"/>
    <xf numFmtId="43" fontId="18" fillId="44" borderId="115" xfId="173" applyFont="1" applyFill="1" applyBorder="1"/>
    <xf numFmtId="43" fontId="18" fillId="44" borderId="136" xfId="173" applyFont="1" applyFill="1" applyBorder="1"/>
    <xf numFmtId="43" fontId="18" fillId="44" borderId="78" xfId="173" applyFont="1" applyFill="1" applyBorder="1"/>
    <xf numFmtId="43" fontId="18" fillId="44" borderId="147" xfId="173" applyFont="1" applyFill="1" applyBorder="1"/>
    <xf numFmtId="43" fontId="18" fillId="44" borderId="148" xfId="173" applyFont="1" applyFill="1" applyBorder="1"/>
    <xf numFmtId="43" fontId="0" fillId="25" borderId="149" xfId="173" applyFont="1" applyFill="1" applyBorder="1"/>
    <xf numFmtId="43" fontId="0" fillId="25" borderId="145" xfId="173" applyFont="1" applyFill="1" applyBorder="1"/>
    <xf numFmtId="43" fontId="0" fillId="42" borderId="147" xfId="173" applyFont="1" applyFill="1" applyBorder="1"/>
    <xf numFmtId="43" fontId="0" fillId="42" borderId="41" xfId="173" applyFont="1" applyFill="1" applyBorder="1"/>
    <xf numFmtId="43" fontId="0" fillId="42" borderId="0" xfId="173" applyFont="1" applyFill="1" applyBorder="1"/>
    <xf numFmtId="43" fontId="0" fillId="42" borderId="129" xfId="173" applyFont="1" applyFill="1" applyBorder="1"/>
    <xf numFmtId="43" fontId="4" fillId="31" borderId="115" xfId="173" applyFont="1" applyFill="1" applyBorder="1"/>
    <xf numFmtId="43" fontId="0" fillId="31" borderId="115" xfId="173" applyFont="1" applyFill="1" applyBorder="1"/>
    <xf numFmtId="43" fontId="0" fillId="31" borderId="136" xfId="173" applyFont="1" applyFill="1" applyBorder="1"/>
    <xf numFmtId="43" fontId="0" fillId="31" borderId="78" xfId="173" applyFont="1" applyFill="1" applyBorder="1"/>
    <xf numFmtId="43" fontId="0" fillId="31" borderId="150" xfId="173" applyFont="1" applyFill="1" applyBorder="1"/>
    <xf numFmtId="43" fontId="0" fillId="31" borderId="148" xfId="173" applyFont="1" applyFill="1" applyBorder="1"/>
    <xf numFmtId="43" fontId="0" fillId="31" borderId="147" xfId="173" applyFont="1" applyFill="1" applyBorder="1"/>
    <xf numFmtId="43" fontId="0" fillId="25" borderId="41" xfId="173" applyFont="1" applyFill="1" applyBorder="1"/>
    <xf numFmtId="43" fontId="0" fillId="25" borderId="0" xfId="173" applyFont="1" applyFill="1" applyBorder="1"/>
    <xf numFmtId="43" fontId="0" fillId="25" borderId="129" xfId="173" applyFont="1" applyFill="1" applyBorder="1"/>
    <xf numFmtId="43" fontId="0" fillId="31" borderId="41" xfId="173" applyFont="1" applyFill="1" applyBorder="1"/>
    <xf numFmtId="43" fontId="0" fillId="31" borderId="0" xfId="173" applyFont="1" applyFill="1" applyBorder="1"/>
    <xf numFmtId="43" fontId="0" fillId="31" borderId="129" xfId="173" applyFont="1" applyFill="1" applyBorder="1"/>
    <xf numFmtId="43" fontId="4" fillId="25" borderId="0" xfId="173" applyFont="1" applyFill="1" applyBorder="1"/>
    <xf numFmtId="43" fontId="0" fillId="0" borderId="0" xfId="173" applyFont="1" applyFill="1" applyBorder="1"/>
    <xf numFmtId="43" fontId="207" fillId="31" borderId="115" xfId="173" applyFont="1" applyFill="1" applyBorder="1"/>
    <xf numFmtId="43" fontId="0" fillId="25" borderId="140" xfId="173" applyFont="1" applyFill="1" applyBorder="1"/>
    <xf numFmtId="43" fontId="0" fillId="25" borderId="132" xfId="173" applyFont="1" applyFill="1" applyBorder="1"/>
    <xf numFmtId="43" fontId="0" fillId="25" borderId="151" xfId="173" applyFont="1" applyFill="1" applyBorder="1"/>
    <xf numFmtId="43" fontId="0" fillId="25" borderId="137" xfId="173" applyFont="1" applyFill="1" applyBorder="1"/>
    <xf numFmtId="165" fontId="0" fillId="34" borderId="115" xfId="2" applyFont="1" applyFill="1" applyBorder="1"/>
    <xf numFmtId="167" fontId="172" fillId="100" borderId="0" xfId="0" applyFont="1" applyFill="1" applyAlignment="1">
      <alignment vertical="center"/>
    </xf>
    <xf numFmtId="167" fontId="172" fillId="100" borderId="117" xfId="0" applyFont="1" applyFill="1" applyBorder="1" applyAlignment="1">
      <alignment vertical="center"/>
    </xf>
    <xf numFmtId="167" fontId="172" fillId="100" borderId="4" xfId="0" applyFont="1" applyFill="1" applyBorder="1" applyAlignment="1">
      <alignment vertical="center"/>
    </xf>
    <xf numFmtId="167" fontId="172" fillId="100" borderId="118" xfId="0" applyFont="1" applyFill="1" applyBorder="1" applyAlignment="1">
      <alignment vertical="center"/>
    </xf>
    <xf numFmtId="167" fontId="0" fillId="25" borderId="115" xfId="0" applyFill="1" applyBorder="1"/>
    <xf numFmtId="167" fontId="0" fillId="0" borderId="0" xfId="2" applyNumberFormat="1" applyFont="1"/>
    <xf numFmtId="0" fontId="0" fillId="0" borderId="30" xfId="3143" applyFont="1" applyBorder="1" applyAlignment="1">
      <alignment vertical="center" wrapText="1"/>
    </xf>
    <xf numFmtId="169" fontId="51" fillId="0" borderId="0" xfId="2" applyNumberFormat="1" applyFont="1" applyFill="1" applyBorder="1"/>
    <xf numFmtId="165" fontId="49" fillId="0" borderId="0" xfId="2" applyFont="1" applyFill="1"/>
    <xf numFmtId="202" fontId="45" fillId="2" borderId="115" xfId="2" applyNumberFormat="1" applyFont="1" applyFill="1" applyBorder="1" applyAlignment="1">
      <alignment horizontal="center"/>
    </xf>
    <xf numFmtId="43" fontId="0" fillId="41" borderId="116" xfId="173" applyFont="1" applyFill="1" applyBorder="1"/>
    <xf numFmtId="202" fontId="0" fillId="108" borderId="115" xfId="2" applyNumberFormat="1" applyFont="1" applyFill="1" applyBorder="1" applyAlignment="1">
      <alignment horizontal="center"/>
    </xf>
    <xf numFmtId="202" fontId="13" fillId="16" borderId="26" xfId="2" applyNumberFormat="1" applyFont="1" applyFill="1" applyBorder="1" applyAlignment="1">
      <alignment horizontal="center"/>
    </xf>
    <xf numFmtId="43" fontId="76" fillId="2" borderId="35" xfId="3" applyFont="1" applyFill="1" applyBorder="1" applyAlignment="1">
      <alignment horizontal="center" vertical="center"/>
    </xf>
    <xf numFmtId="203" fontId="0" fillId="0" borderId="0" xfId="0" applyNumberFormat="1"/>
    <xf numFmtId="0" fontId="43" fillId="0" borderId="115" xfId="3143" applyFont="1" applyBorder="1" applyAlignment="1">
      <alignment horizontal="center" vertical="center" wrapText="1"/>
    </xf>
    <xf numFmtId="0" fontId="165" fillId="25" borderId="115" xfId="3143" applyFont="1" applyFill="1" applyBorder="1" applyAlignment="1">
      <alignment horizontal="center" vertical="center"/>
    </xf>
    <xf numFmtId="167" fontId="45" fillId="0" borderId="30" xfId="5730" applyNumberFormat="1" applyFont="1" applyFill="1" applyBorder="1"/>
    <xf numFmtId="165" fontId="0" fillId="0" borderId="0" xfId="2" applyFont="1" applyBorder="1"/>
    <xf numFmtId="0" fontId="0" fillId="0" borderId="115" xfId="3143" quotePrefix="1" applyFont="1" applyBorder="1" applyAlignment="1">
      <alignment horizontal="center"/>
    </xf>
    <xf numFmtId="201" fontId="0" fillId="0" borderId="115" xfId="3143" quotePrefix="1" applyNumberFormat="1" applyFont="1" applyBorder="1" applyAlignment="1">
      <alignment horizontal="center"/>
    </xf>
    <xf numFmtId="176" fontId="0" fillId="25" borderId="26" xfId="0" applyNumberFormat="1" applyFill="1" applyBorder="1" applyAlignment="1">
      <alignment horizontal="center"/>
    </xf>
    <xf numFmtId="204" fontId="0" fillId="2" borderId="0" xfId="2" applyNumberFormat="1" applyFont="1" applyFill="1"/>
    <xf numFmtId="167" fontId="14" fillId="2" borderId="40" xfId="0" applyFont="1" applyFill="1" applyBorder="1" applyAlignment="1">
      <alignment vertical="center" wrapText="1"/>
    </xf>
    <xf numFmtId="167" fontId="14" fillId="2" borderId="63" xfId="0" applyFont="1" applyFill="1" applyBorder="1" applyAlignment="1">
      <alignment vertical="center" wrapText="1"/>
    </xf>
    <xf numFmtId="167" fontId="14" fillId="2" borderId="41" xfId="0" applyFont="1" applyFill="1" applyBorder="1" applyAlignment="1">
      <alignment vertical="center" wrapText="1"/>
    </xf>
    <xf numFmtId="167" fontId="14" fillId="2" borderId="41" xfId="0" applyFont="1" applyFill="1" applyBorder="1" applyAlignment="1">
      <alignment horizontal="left"/>
    </xf>
    <xf numFmtId="167" fontId="14" fillId="2" borderId="0" xfId="0" applyFont="1" applyFill="1" applyAlignment="1">
      <alignment horizontal="left"/>
    </xf>
    <xf numFmtId="167" fontId="14" fillId="2" borderId="46" xfId="0" applyFont="1" applyFill="1" applyBorder="1" applyAlignment="1">
      <alignment horizontal="left"/>
    </xf>
    <xf numFmtId="167" fontId="14" fillId="2" borderId="138" xfId="0" applyFont="1" applyFill="1" applyBorder="1" applyAlignment="1">
      <alignment horizontal="left"/>
    </xf>
    <xf numFmtId="167" fontId="16" fillId="6" borderId="23" xfId="0" applyFont="1" applyFill="1" applyBorder="1"/>
    <xf numFmtId="176" fontId="0" fillId="6" borderId="23" xfId="0" applyNumberFormat="1" applyFill="1" applyBorder="1" applyAlignment="1">
      <alignment horizontal="center"/>
    </xf>
    <xf numFmtId="176" fontId="0" fillId="2" borderId="25" xfId="0" applyNumberFormat="1" applyFill="1" applyBorder="1"/>
    <xf numFmtId="176" fontId="0" fillId="34" borderId="24" xfId="0" applyNumberFormat="1" applyFill="1" applyBorder="1" applyAlignment="1">
      <alignment horizontal="center"/>
    </xf>
    <xf numFmtId="176" fontId="0" fillId="34" borderId="60" xfId="0" applyNumberFormat="1" applyFill="1" applyBorder="1" applyAlignment="1">
      <alignment horizontal="center"/>
    </xf>
    <xf numFmtId="43" fontId="4" fillId="25" borderId="148" xfId="173" applyFont="1" applyFill="1" applyBorder="1" applyAlignment="1">
      <alignment horizontal="center"/>
    </xf>
    <xf numFmtId="43" fontId="0" fillId="42" borderId="147" xfId="173" applyFont="1" applyFill="1" applyBorder="1" applyAlignment="1">
      <alignment horizontal="center"/>
    </xf>
    <xf numFmtId="43" fontId="4" fillId="25" borderId="0" xfId="173" applyFont="1" applyFill="1"/>
    <xf numFmtId="3" fontId="62" fillId="100" borderId="130" xfId="2" applyNumberFormat="1" applyFont="1" applyFill="1" applyBorder="1" applyAlignment="1">
      <alignment vertical="center"/>
    </xf>
    <xf numFmtId="1" fontId="50" fillId="0" borderId="115" xfId="3143" applyNumberFormat="1" applyBorder="1"/>
    <xf numFmtId="1" fontId="50" fillId="0" borderId="115" xfId="3143" applyNumberFormat="1" applyBorder="1" applyProtection="1">
      <protection locked="0"/>
    </xf>
    <xf numFmtId="39" fontId="0" fillId="17" borderId="26" xfId="0" applyNumberFormat="1" applyFill="1" applyBorder="1" applyAlignment="1">
      <alignment horizontal="right"/>
    </xf>
    <xf numFmtId="9" fontId="189" fillId="0" borderId="22" xfId="3550" applyFont="1" applyBorder="1" applyAlignment="1">
      <alignment horizontal="center"/>
    </xf>
    <xf numFmtId="9" fontId="189" fillId="0" borderId="10" xfId="3550" applyFont="1" applyBorder="1" applyAlignment="1">
      <alignment horizontal="center"/>
    </xf>
    <xf numFmtId="9" fontId="189" fillId="0" borderId="43" xfId="3550" applyFont="1" applyBorder="1" applyAlignment="1">
      <alignment horizontal="center"/>
    </xf>
    <xf numFmtId="167" fontId="16" fillId="2" borderId="9" xfId="0" applyFont="1" applyFill="1" applyBorder="1"/>
    <xf numFmtId="169" fontId="0" fillId="6" borderId="145" xfId="0" applyNumberFormat="1" applyFill="1" applyBorder="1" applyAlignment="1">
      <alignment horizontal="center"/>
    </xf>
    <xf numFmtId="165" fontId="0" fillId="6" borderId="145" xfId="0" applyNumberFormat="1" applyFill="1" applyBorder="1" applyAlignment="1">
      <alignment horizontal="center"/>
    </xf>
    <xf numFmtId="169" fontId="0" fillId="6" borderId="115" xfId="0" applyNumberFormat="1" applyFill="1" applyBorder="1" applyAlignment="1">
      <alignment horizontal="center"/>
    </xf>
    <xf numFmtId="169" fontId="4" fillId="3" borderId="115" xfId="5730" applyNumberFormat="1" applyFont="1" applyFill="1" applyBorder="1" applyAlignment="1" applyProtection="1">
      <alignment horizontal="center"/>
      <protection locked="0"/>
    </xf>
    <xf numFmtId="169" fontId="4" fillId="47" borderId="115" xfId="5730" applyNumberFormat="1" applyFont="1" applyFill="1" applyBorder="1" applyAlignment="1" applyProtection="1">
      <alignment horizontal="center"/>
      <protection locked="0"/>
    </xf>
    <xf numFmtId="172" fontId="50" fillId="0" borderId="115" xfId="3143" applyNumberFormat="1" applyBorder="1" applyAlignment="1">
      <alignment horizontal="center"/>
    </xf>
    <xf numFmtId="172" fontId="0" fillId="0" borderId="115" xfId="0" applyNumberFormat="1" applyBorder="1" applyAlignment="1">
      <alignment horizontal="center"/>
    </xf>
    <xf numFmtId="166" fontId="11" fillId="0" borderId="115" xfId="2" applyNumberFormat="1" applyFont="1" applyFill="1" applyBorder="1"/>
    <xf numFmtId="165" fontId="96" fillId="2" borderId="0" xfId="2" applyFont="1" applyFill="1" applyAlignment="1">
      <alignment horizontal="center" vertical="center"/>
    </xf>
    <xf numFmtId="165" fontId="18" fillId="3" borderId="21" xfId="2" applyFont="1" applyFill="1" applyBorder="1" applyAlignment="1">
      <alignment horizontal="right" vertical="center"/>
    </xf>
    <xf numFmtId="165" fontId="18" fillId="3" borderId="9" xfId="2" applyFont="1" applyFill="1" applyBorder="1" applyAlignment="1">
      <alignment horizontal="right" vertical="center"/>
    </xf>
    <xf numFmtId="2" fontId="17" fillId="0" borderId="58" xfId="0" applyNumberFormat="1" applyFont="1" applyBorder="1" applyAlignment="1">
      <alignment horizontal="center"/>
    </xf>
    <xf numFmtId="169" fontId="48" fillId="0" borderId="59" xfId="2" applyNumberFormat="1" applyFont="1" applyFill="1" applyBorder="1" applyAlignment="1">
      <alignment horizontal="right"/>
    </xf>
    <xf numFmtId="169" fontId="48" fillId="0" borderId="30" xfId="2" applyNumberFormat="1" applyFont="1" applyFill="1" applyBorder="1" applyAlignment="1">
      <alignment horizontal="right"/>
    </xf>
    <xf numFmtId="169" fontId="48" fillId="2" borderId="30" xfId="2" applyNumberFormat="1" applyFont="1" applyFill="1" applyBorder="1" applyAlignment="1">
      <alignment horizontal="center"/>
    </xf>
    <xf numFmtId="167" fontId="45" fillId="0" borderId="0" xfId="5730" applyNumberFormat="1" applyFont="1" applyFill="1" applyBorder="1"/>
    <xf numFmtId="165" fontId="0" fillId="0" borderId="0" xfId="5730" applyFont="1"/>
    <xf numFmtId="169" fontId="185" fillId="39" borderId="115" xfId="5730" applyNumberFormat="1" applyFont="1" applyFill="1" applyBorder="1"/>
    <xf numFmtId="165" fontId="185" fillId="39" borderId="115" xfId="5730" applyFont="1" applyFill="1" applyBorder="1"/>
    <xf numFmtId="3" fontId="185" fillId="39" borderId="115" xfId="2" applyNumberFormat="1" applyFont="1" applyFill="1" applyBorder="1" applyAlignment="1">
      <alignment horizontal="center"/>
    </xf>
    <xf numFmtId="3" fontId="185" fillId="39" borderId="115" xfId="5730" applyNumberFormat="1" applyFont="1" applyFill="1" applyBorder="1" applyAlignment="1">
      <alignment horizontal="center"/>
    </xf>
    <xf numFmtId="169" fontId="185" fillId="39" borderId="115" xfId="2" applyNumberFormat="1" applyFont="1" applyFill="1" applyBorder="1" applyAlignment="1">
      <alignment horizontal="right"/>
    </xf>
    <xf numFmtId="169" fontId="185" fillId="38" borderId="115" xfId="5730" applyNumberFormat="1" applyFont="1" applyFill="1" applyBorder="1"/>
    <xf numFmtId="165" fontId="185" fillId="38" borderId="115" xfId="5730" applyFont="1" applyFill="1" applyBorder="1"/>
    <xf numFmtId="3" fontId="185" fillId="38" borderId="115" xfId="2" applyNumberFormat="1" applyFont="1" applyFill="1" applyBorder="1" applyAlignment="1">
      <alignment horizontal="center"/>
    </xf>
    <xf numFmtId="3" fontId="185" fillId="38" borderId="115" xfId="5730" applyNumberFormat="1" applyFont="1" applyFill="1" applyBorder="1" applyAlignment="1">
      <alignment horizontal="center"/>
    </xf>
    <xf numFmtId="43" fontId="0" fillId="25" borderId="152" xfId="173" applyFont="1" applyFill="1" applyBorder="1"/>
    <xf numFmtId="43" fontId="209" fillId="31" borderId="115" xfId="173" applyFont="1" applyFill="1" applyBorder="1"/>
    <xf numFmtId="167" fontId="182" fillId="25" borderId="3" xfId="0" applyFont="1" applyFill="1" applyBorder="1" applyAlignment="1">
      <alignment vertical="center"/>
    </xf>
    <xf numFmtId="167" fontId="0" fillId="25" borderId="153" xfId="0" applyFill="1" applyBorder="1"/>
    <xf numFmtId="166" fontId="74" fillId="2" borderId="123" xfId="3" applyNumberFormat="1" applyFont="1" applyFill="1" applyBorder="1" applyAlignment="1">
      <alignment horizontal="center" vertical="center"/>
    </xf>
    <xf numFmtId="166" fontId="76" fillId="2" borderId="22" xfId="2" applyNumberFormat="1" applyFont="1" applyFill="1" applyBorder="1" applyAlignment="1">
      <alignment horizontal="center" vertical="center"/>
    </xf>
    <xf numFmtId="166" fontId="76" fillId="2" borderId="23" xfId="2" applyNumberFormat="1" applyFont="1" applyFill="1" applyBorder="1" applyAlignment="1">
      <alignment horizontal="center" vertical="center"/>
    </xf>
    <xf numFmtId="166" fontId="76" fillId="2" borderId="8" xfId="2" applyNumberFormat="1" applyFont="1" applyFill="1" applyBorder="1" applyAlignment="1">
      <alignment horizontal="center" vertical="center"/>
    </xf>
    <xf numFmtId="41" fontId="0" fillId="25" borderId="8" xfId="25" applyFont="1" applyFill="1" applyBorder="1" applyAlignment="1">
      <alignment horizontal="center" vertical="center"/>
    </xf>
    <xf numFmtId="167" fontId="10" fillId="2" borderId="3" xfId="0" applyFont="1" applyFill="1" applyBorder="1" applyAlignment="1">
      <alignment horizontal="right"/>
    </xf>
    <xf numFmtId="167" fontId="10" fillId="2" borderId="3" xfId="0" applyFont="1" applyFill="1" applyBorder="1" applyAlignment="1">
      <alignment vertical="center"/>
    </xf>
    <xf numFmtId="43" fontId="4" fillId="25" borderId="116" xfId="173" applyFont="1" applyFill="1" applyBorder="1" applyAlignment="1">
      <alignment horizontal="center"/>
    </xf>
    <xf numFmtId="43" fontId="0" fillId="42" borderId="116" xfId="173" applyFont="1" applyFill="1" applyBorder="1" applyAlignment="1">
      <alignment horizontal="center"/>
    </xf>
    <xf numFmtId="43" fontId="0" fillId="25" borderId="116" xfId="173" applyFont="1" applyFill="1" applyBorder="1"/>
    <xf numFmtId="43" fontId="18" fillId="44" borderId="116" xfId="173" applyFont="1" applyFill="1" applyBorder="1"/>
    <xf numFmtId="43" fontId="0" fillId="31" borderId="116" xfId="173" applyFont="1" applyFill="1" applyBorder="1"/>
    <xf numFmtId="43" fontId="4" fillId="36" borderId="115" xfId="173" applyFont="1" applyFill="1" applyBorder="1"/>
    <xf numFmtId="43" fontId="0" fillId="36" borderId="115" xfId="173" applyFont="1" applyFill="1" applyBorder="1"/>
    <xf numFmtId="43" fontId="0" fillId="36" borderId="136" xfId="173" applyFont="1" applyFill="1" applyBorder="1"/>
    <xf numFmtId="43" fontId="0" fillId="36" borderId="78" xfId="173" applyFont="1" applyFill="1" applyBorder="1"/>
    <xf numFmtId="43" fontId="0" fillId="36" borderId="116" xfId="173" applyFont="1" applyFill="1" applyBorder="1"/>
    <xf numFmtId="43" fontId="0" fillId="36" borderId="147" xfId="173" applyFont="1" applyFill="1" applyBorder="1"/>
    <xf numFmtId="43" fontId="0" fillId="36" borderId="148" xfId="173" applyFont="1" applyFill="1" applyBorder="1"/>
    <xf numFmtId="43" fontId="0" fillId="36" borderId="0" xfId="173" applyFont="1" applyFill="1"/>
    <xf numFmtId="43" fontId="0" fillId="41" borderId="0" xfId="173" applyFont="1" applyFill="1" applyBorder="1"/>
    <xf numFmtId="43" fontId="0" fillId="109" borderId="0" xfId="173" applyFont="1" applyFill="1" applyBorder="1"/>
    <xf numFmtId="43" fontId="0" fillId="40" borderId="115" xfId="173" applyFont="1" applyFill="1" applyBorder="1"/>
    <xf numFmtId="43" fontId="0" fillId="34" borderId="115" xfId="173" applyFont="1" applyFill="1" applyBorder="1"/>
    <xf numFmtId="43" fontId="18" fillId="25" borderId="0" xfId="173" applyFont="1" applyFill="1"/>
    <xf numFmtId="0" fontId="211" fillId="112" borderId="26" xfId="10135" applyNumberFormat="1" applyFont="1" applyFill="1" applyBorder="1" applyAlignment="1">
      <alignment horizontal="center"/>
    </xf>
    <xf numFmtId="0" fontId="211" fillId="113" borderId="26" xfId="10135" applyNumberFormat="1" applyFont="1" applyFill="1" applyBorder="1" applyAlignment="1">
      <alignment horizontal="center"/>
    </xf>
    <xf numFmtId="167" fontId="179" fillId="25" borderId="0" xfId="0" applyFont="1" applyFill="1"/>
    <xf numFmtId="167" fontId="182" fillId="25" borderId="0" xfId="0" applyFont="1" applyFill="1" applyAlignment="1">
      <alignment horizontal="center" vertical="center"/>
    </xf>
    <xf numFmtId="167" fontId="182" fillId="25" borderId="0" xfId="0" applyFont="1" applyFill="1" applyAlignment="1">
      <alignment vertical="center"/>
    </xf>
    <xf numFmtId="167" fontId="201" fillId="25" borderId="0" xfId="0" applyFont="1" applyFill="1" applyAlignment="1">
      <alignment horizontal="center" vertical="center"/>
    </xf>
    <xf numFmtId="167" fontId="202" fillId="25" borderId="0" xfId="0" applyFont="1" applyFill="1" applyAlignment="1">
      <alignment horizontal="center" vertical="center"/>
    </xf>
    <xf numFmtId="167" fontId="185" fillId="25" borderId="0" xfId="0" applyFont="1" applyFill="1"/>
    <xf numFmtId="167" fontId="165" fillId="25" borderId="0" xfId="0" applyFont="1" applyFill="1"/>
    <xf numFmtId="167" fontId="208" fillId="25" borderId="0" xfId="0" applyFont="1" applyFill="1" applyAlignment="1">
      <alignment horizontal="left"/>
    </xf>
    <xf numFmtId="167" fontId="180" fillId="25" borderId="0" xfId="0" applyFont="1" applyFill="1" applyAlignment="1">
      <alignment horizontal="left"/>
    </xf>
    <xf numFmtId="167" fontId="182" fillId="25" borderId="0" xfId="0" applyFont="1" applyFill="1"/>
    <xf numFmtId="167" fontId="181" fillId="25" borderId="0" xfId="0" applyFont="1" applyFill="1" applyAlignment="1">
      <alignment horizontal="center" vertical="center"/>
    </xf>
    <xf numFmtId="167" fontId="43" fillId="25" borderId="0" xfId="0" applyFont="1" applyFill="1" applyAlignment="1">
      <alignment horizontal="center"/>
    </xf>
    <xf numFmtId="167" fontId="183" fillId="25" borderId="0" xfId="0" applyFont="1" applyFill="1"/>
    <xf numFmtId="169" fontId="185" fillId="25" borderId="0" xfId="0" applyNumberFormat="1" applyFont="1" applyFill="1"/>
    <xf numFmtId="167" fontId="165" fillId="25" borderId="0" xfId="0" applyFont="1" applyFill="1" applyAlignment="1">
      <alignment vertical="top"/>
    </xf>
    <xf numFmtId="167" fontId="0" fillId="25" borderId="4" xfId="0" applyFill="1" applyBorder="1"/>
    <xf numFmtId="167" fontId="0" fillId="25" borderId="21" xfId="0" applyFill="1" applyBorder="1"/>
    <xf numFmtId="165" fontId="62" fillId="100" borderId="157" xfId="2" applyFont="1" applyFill="1" applyBorder="1" applyAlignment="1">
      <alignment vertical="center"/>
    </xf>
    <xf numFmtId="167" fontId="172" fillId="100" borderId="4" xfId="0" applyFont="1" applyFill="1" applyBorder="1" applyAlignment="1">
      <alignment horizontal="center" vertical="center"/>
    </xf>
    <xf numFmtId="167" fontId="0" fillId="25" borderId="129" xfId="0" applyFill="1" applyBorder="1"/>
    <xf numFmtId="167" fontId="0" fillId="25" borderId="45" xfId="0" applyFill="1" applyBorder="1"/>
    <xf numFmtId="165" fontId="0" fillId="25" borderId="129" xfId="2" applyFont="1" applyFill="1" applyBorder="1"/>
    <xf numFmtId="9" fontId="0" fillId="25" borderId="129" xfId="12" applyFont="1" applyFill="1" applyBorder="1"/>
    <xf numFmtId="167" fontId="0" fillId="25" borderId="129" xfId="0" quotePrefix="1" applyFill="1" applyBorder="1" applyAlignment="1">
      <alignment vertical="top" wrapText="1"/>
    </xf>
    <xf numFmtId="167" fontId="0" fillId="25" borderId="0" xfId="0" quotePrefix="1" applyFill="1" applyAlignment="1">
      <alignment vertical="top" wrapText="1"/>
    </xf>
    <xf numFmtId="167" fontId="0" fillId="25" borderId="129" xfId="0" quotePrefix="1" applyFill="1" applyBorder="1" applyAlignment="1">
      <alignment wrapText="1"/>
    </xf>
    <xf numFmtId="167" fontId="0" fillId="25" borderId="0" xfId="0" quotePrefix="1" applyFill="1" applyAlignment="1">
      <alignment wrapText="1"/>
    </xf>
    <xf numFmtId="167" fontId="0" fillId="25" borderId="129" xfId="0" applyFill="1" applyBorder="1" applyAlignment="1">
      <alignment horizontal="center"/>
    </xf>
    <xf numFmtId="167" fontId="0" fillId="25" borderId="0" xfId="0" quotePrefix="1" applyFill="1"/>
    <xf numFmtId="167" fontId="0" fillId="25" borderId="18" xfId="0" applyFill="1" applyBorder="1"/>
    <xf numFmtId="2" fontId="0" fillId="25" borderId="18" xfId="0" applyNumberFormat="1" applyFill="1" applyBorder="1"/>
    <xf numFmtId="2" fontId="0" fillId="25" borderId="0" xfId="0" applyNumberFormat="1" applyFill="1"/>
    <xf numFmtId="0" fontId="0" fillId="25" borderId="18" xfId="0" applyNumberFormat="1" applyFill="1" applyBorder="1"/>
    <xf numFmtId="167" fontId="200" fillId="25" borderId="18" xfId="0" applyFont="1" applyFill="1" applyBorder="1"/>
    <xf numFmtId="167" fontId="0" fillId="25" borderId="9" xfId="0" applyFill="1" applyBorder="1"/>
    <xf numFmtId="167" fontId="62" fillId="100" borderId="4" xfId="0" applyFont="1" applyFill="1" applyBorder="1" applyAlignment="1">
      <alignment horizontal="center" vertical="center"/>
    </xf>
    <xf numFmtId="167" fontId="62" fillId="100" borderId="4" xfId="0" applyFont="1" applyFill="1" applyBorder="1" applyAlignment="1">
      <alignment horizontal="center"/>
    </xf>
    <xf numFmtId="167" fontId="62" fillId="100" borderId="9" xfId="0" applyFont="1" applyFill="1" applyBorder="1" applyAlignment="1">
      <alignment horizontal="center"/>
    </xf>
    <xf numFmtId="167" fontId="0" fillId="25" borderId="155" xfId="0" applyFill="1" applyBorder="1"/>
    <xf numFmtId="167" fontId="0" fillId="25" borderId="156" xfId="0" applyFill="1" applyBorder="1"/>
    <xf numFmtId="167" fontId="16" fillId="30" borderId="156" xfId="0" applyFont="1" applyFill="1" applyBorder="1"/>
    <xf numFmtId="167" fontId="16" fillId="29" borderId="156" xfId="0" applyFont="1" applyFill="1" applyBorder="1"/>
    <xf numFmtId="167" fontId="10" fillId="2" borderId="156" xfId="0" applyFont="1" applyFill="1" applyBorder="1" applyAlignment="1">
      <alignment vertical="center"/>
    </xf>
    <xf numFmtId="16" fontId="50" fillId="48" borderId="155" xfId="257" applyNumberFormat="1" applyFill="1" applyBorder="1" applyAlignment="1">
      <alignment horizontal="center"/>
    </xf>
    <xf numFmtId="16" fontId="0" fillId="48" borderId="155" xfId="257" applyNumberFormat="1" applyFont="1" applyFill="1" applyBorder="1" applyAlignment="1">
      <alignment horizontal="center"/>
    </xf>
    <xf numFmtId="43" fontId="0" fillId="25" borderId="155" xfId="173" applyFont="1" applyFill="1" applyBorder="1"/>
    <xf numFmtId="43" fontId="0" fillId="31" borderId="155" xfId="173" applyFont="1" applyFill="1" applyBorder="1"/>
    <xf numFmtId="1" fontId="0" fillId="43" borderId="156" xfId="0" applyNumberFormat="1" applyFill="1" applyBorder="1"/>
    <xf numFmtId="1" fontId="0" fillId="43" borderId="155" xfId="0" applyNumberFormat="1" applyFill="1" applyBorder="1"/>
    <xf numFmtId="2" fontId="0" fillId="0" borderId="0" xfId="5730" applyNumberFormat="1" applyFont="1"/>
    <xf numFmtId="165" fontId="49" fillId="0" borderId="115" xfId="5730" applyFont="1" applyBorder="1"/>
    <xf numFmtId="169" fontId="49" fillId="0" borderId="115" xfId="5730" applyNumberFormat="1" applyFont="1" applyBorder="1"/>
    <xf numFmtId="9" fontId="0" fillId="25" borderId="0" xfId="12" applyFont="1" applyFill="1"/>
    <xf numFmtId="169" fontId="48" fillId="2" borderId="0" xfId="2" applyNumberFormat="1" applyFont="1" applyFill="1" applyBorder="1" applyAlignment="1">
      <alignment horizontal="center"/>
    </xf>
    <xf numFmtId="176" fontId="0" fillId="2" borderId="115" xfId="0" applyNumberFormat="1" applyFill="1" applyBorder="1" applyAlignment="1">
      <alignment horizontal="center"/>
    </xf>
    <xf numFmtId="167" fontId="0" fillId="25" borderId="46" xfId="0" applyFill="1" applyBorder="1"/>
    <xf numFmtId="167" fontId="0" fillId="25" borderId="138" xfId="0" applyFill="1" applyBorder="1"/>
    <xf numFmtId="167" fontId="0" fillId="25" borderId="139" xfId="0" applyFill="1" applyBorder="1"/>
    <xf numFmtId="165" fontId="0" fillId="25" borderId="0" xfId="2" applyFont="1" applyFill="1"/>
    <xf numFmtId="166" fontId="8" fillId="0" borderId="115" xfId="3" applyNumberFormat="1" applyFont="1" applyFill="1" applyBorder="1"/>
    <xf numFmtId="168" fontId="8" fillId="0" borderId="115" xfId="0" applyNumberFormat="1" applyFont="1" applyBorder="1"/>
    <xf numFmtId="9" fontId="0" fillId="0" borderId="115" xfId="12" applyFont="1" applyBorder="1"/>
    <xf numFmtId="4" fontId="45" fillId="2" borderId="115" xfId="2" applyNumberFormat="1" applyFont="1" applyFill="1" applyBorder="1" applyAlignment="1">
      <alignment horizontal="center"/>
    </xf>
    <xf numFmtId="3" fontId="50" fillId="0" borderId="9" xfId="5730" applyNumberFormat="1" applyFont="1" applyBorder="1"/>
    <xf numFmtId="3" fontId="50" fillId="0" borderId="115" xfId="5730" applyNumberFormat="1" applyFont="1" applyBorder="1"/>
    <xf numFmtId="3" fontId="0" fillId="0" borderId="0" xfId="2" applyNumberFormat="1" applyFont="1"/>
    <xf numFmtId="3" fontId="50" fillId="0" borderId="0" xfId="5730" applyNumberFormat="1" applyFont="1" applyBorder="1"/>
    <xf numFmtId="3" fontId="45" fillId="0" borderId="115" xfId="5730" applyNumberFormat="1" applyFont="1" applyBorder="1"/>
    <xf numFmtId="3" fontId="0" fillId="0" borderId="0" xfId="0" applyNumberFormat="1"/>
    <xf numFmtId="167" fontId="16" fillId="6" borderId="22" xfId="0" applyFont="1" applyFill="1" applyBorder="1"/>
    <xf numFmtId="176" fontId="0" fillId="2" borderId="24" xfId="0" applyNumberFormat="1" applyFill="1" applyBorder="1"/>
    <xf numFmtId="167" fontId="214" fillId="25" borderId="26" xfId="0" applyFont="1" applyFill="1" applyBorder="1" applyAlignment="1">
      <alignment horizontal="left" indent="2"/>
    </xf>
    <xf numFmtId="167" fontId="215" fillId="2" borderId="17" xfId="0" applyFont="1" applyFill="1" applyBorder="1" applyAlignment="1">
      <alignment vertical="center" wrapText="1"/>
    </xf>
    <xf numFmtId="167" fontId="215" fillId="2" borderId="108" xfId="0" applyFont="1" applyFill="1" applyBorder="1" applyAlignment="1">
      <alignment vertical="center" wrapText="1"/>
    </xf>
    <xf numFmtId="176" fontId="101" fillId="25" borderId="26" xfId="0" applyNumberFormat="1" applyFont="1" applyFill="1" applyBorder="1" applyAlignment="1">
      <alignment horizontal="center"/>
    </xf>
    <xf numFmtId="167" fontId="216" fillId="25" borderId="26" xfId="0" applyFont="1" applyFill="1" applyBorder="1"/>
    <xf numFmtId="176" fontId="217" fillId="25" borderId="26" xfId="0" applyNumberFormat="1" applyFont="1" applyFill="1" applyBorder="1" applyAlignment="1">
      <alignment horizontal="center"/>
    </xf>
    <xf numFmtId="176" fontId="0" fillId="0" borderId="19" xfId="0" applyNumberFormat="1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167" fontId="14" fillId="2" borderId="18" xfId="0" applyFont="1" applyFill="1" applyBorder="1" applyAlignment="1">
      <alignment horizontal="right" indent="1"/>
    </xf>
    <xf numFmtId="167" fontId="215" fillId="0" borderId="53" xfId="0" applyFont="1" applyBorder="1" applyAlignment="1">
      <alignment vertical="center" wrapText="1"/>
    </xf>
    <xf numFmtId="167" fontId="215" fillId="2" borderId="53" xfId="0" applyFont="1" applyFill="1" applyBorder="1" applyAlignment="1">
      <alignment vertical="center" wrapText="1"/>
    </xf>
    <xf numFmtId="167" fontId="16" fillId="6" borderId="27" xfId="0" applyFont="1" applyFill="1" applyBorder="1"/>
    <xf numFmtId="165" fontId="0" fillId="2" borderId="115" xfId="2" applyFont="1" applyFill="1" applyBorder="1"/>
    <xf numFmtId="0" fontId="0" fillId="0" borderId="0" xfId="3143" applyFont="1"/>
    <xf numFmtId="167" fontId="43" fillId="111" borderId="115" xfId="0" applyFont="1" applyFill="1" applyBorder="1"/>
    <xf numFmtId="176" fontId="45" fillId="0" borderId="19" xfId="0" applyNumberFormat="1" applyFont="1" applyBorder="1" applyAlignment="1">
      <alignment horizontal="center"/>
    </xf>
    <xf numFmtId="167" fontId="14" fillId="2" borderId="144" xfId="0" applyFont="1" applyFill="1" applyBorder="1" applyAlignment="1">
      <alignment horizontal="right" indent="1"/>
    </xf>
    <xf numFmtId="176" fontId="0" fillId="0" borderId="39" xfId="0" applyNumberFormat="1" applyBorder="1" applyAlignment="1">
      <alignment horizontal="center"/>
    </xf>
    <xf numFmtId="176" fontId="45" fillId="0" borderId="39" xfId="0" applyNumberFormat="1" applyFont="1" applyBorder="1" applyAlignment="1">
      <alignment horizontal="center"/>
    </xf>
    <xf numFmtId="176" fontId="0" fillId="0" borderId="57" xfId="0" applyNumberFormat="1" applyBorder="1" applyAlignment="1">
      <alignment horizontal="center"/>
    </xf>
    <xf numFmtId="176" fontId="0" fillId="36" borderId="27" xfId="0" applyNumberFormat="1" applyFill="1" applyBorder="1" applyAlignment="1">
      <alignment horizontal="center"/>
    </xf>
    <xf numFmtId="176" fontId="0" fillId="36" borderId="19" xfId="0" applyNumberFormat="1" applyFill="1" applyBorder="1" applyAlignment="1">
      <alignment horizontal="center"/>
    </xf>
    <xf numFmtId="176" fontId="0" fillId="34" borderId="61" xfId="0" applyNumberFormat="1" applyFill="1" applyBorder="1" applyAlignment="1">
      <alignment horizontal="center"/>
    </xf>
    <xf numFmtId="3" fontId="62" fillId="100" borderId="157" xfId="2" applyNumberFormat="1" applyFont="1" applyFill="1" applyBorder="1" applyAlignment="1">
      <alignment vertical="center"/>
    </xf>
    <xf numFmtId="167" fontId="0" fillId="25" borderId="153" xfId="0" applyFill="1" applyBorder="1" applyAlignment="1">
      <alignment horizontal="center" vertical="center"/>
    </xf>
    <xf numFmtId="169" fontId="209" fillId="0" borderId="115" xfId="2" applyNumberFormat="1" applyFont="1" applyFill="1" applyBorder="1"/>
    <xf numFmtId="176" fontId="2" fillId="2" borderId="6" xfId="2" applyNumberFormat="1" applyFont="1" applyFill="1" applyBorder="1"/>
    <xf numFmtId="171" fontId="13" fillId="16" borderId="26" xfId="2" applyNumberFormat="1" applyFont="1" applyFill="1" applyBorder="1" applyAlignment="1">
      <alignment horizontal="center"/>
    </xf>
    <xf numFmtId="43" fontId="98" fillId="25" borderId="12" xfId="143" applyFont="1" applyFill="1" applyBorder="1"/>
    <xf numFmtId="165" fontId="49" fillId="0" borderId="9" xfId="5730" applyFont="1" applyBorder="1"/>
    <xf numFmtId="169" fontId="0" fillId="25" borderId="0" xfId="12" applyNumberFormat="1" applyFont="1" applyFill="1"/>
    <xf numFmtId="175" fontId="185" fillId="39" borderId="115" xfId="5730" applyNumberFormat="1" applyFont="1" applyFill="1" applyBorder="1"/>
    <xf numFmtId="175" fontId="185" fillId="25" borderId="0" xfId="5730" applyNumberFormat="1" applyFont="1" applyFill="1" applyBorder="1"/>
    <xf numFmtId="169" fontId="0" fillId="0" borderId="19" xfId="2" applyNumberFormat="1" applyFont="1" applyFill="1" applyBorder="1"/>
    <xf numFmtId="167" fontId="218" fillId="115" borderId="174" xfId="0" applyFont="1" applyFill="1" applyBorder="1" applyAlignment="1">
      <alignment horizontal="center" vertical="center" wrapText="1"/>
    </xf>
    <xf numFmtId="167" fontId="218" fillId="115" borderId="175" xfId="0" applyFont="1" applyFill="1" applyBorder="1" applyAlignment="1">
      <alignment horizontal="center" vertical="center" wrapText="1"/>
    </xf>
    <xf numFmtId="167" fontId="218" fillId="115" borderId="18" xfId="0" applyFont="1" applyFill="1" applyBorder="1" applyAlignment="1">
      <alignment horizontal="center" vertical="center" wrapText="1"/>
    </xf>
    <xf numFmtId="167" fontId="219" fillId="25" borderId="176" xfId="0" applyFont="1" applyFill="1" applyBorder="1" applyAlignment="1">
      <alignment horizontal="center" vertical="center"/>
    </xf>
    <xf numFmtId="165" fontId="220" fillId="25" borderId="115" xfId="5741" quotePrefix="1" applyFont="1" applyFill="1" applyBorder="1" applyAlignment="1">
      <alignment horizontal="center" vertical="center"/>
    </xf>
    <xf numFmtId="169" fontId="220" fillId="25" borderId="115" xfId="5741" quotePrefix="1" applyNumberFormat="1" applyFont="1" applyFill="1" applyBorder="1" applyAlignment="1">
      <alignment horizontal="center" vertical="center"/>
    </xf>
    <xf numFmtId="205" fontId="222" fillId="40" borderId="154" xfId="0" applyNumberFormat="1" applyFont="1" applyFill="1" applyBorder="1" applyAlignment="1">
      <alignment horizontal="center" vertical="center"/>
    </xf>
    <xf numFmtId="206" fontId="221" fillId="42" borderId="115" xfId="0" applyNumberFormat="1" applyFont="1" applyFill="1" applyBorder="1" applyAlignment="1">
      <alignment horizontal="center" vertical="center"/>
    </xf>
    <xf numFmtId="206" fontId="221" fillId="0" borderId="26" xfId="0" applyNumberFormat="1" applyFont="1" applyBorder="1" applyAlignment="1">
      <alignment horizontal="center" vertical="center"/>
    </xf>
    <xf numFmtId="207" fontId="221" fillId="42" borderId="115" xfId="0" applyNumberFormat="1" applyFont="1" applyFill="1" applyBorder="1" applyAlignment="1">
      <alignment horizontal="center" vertical="center"/>
    </xf>
    <xf numFmtId="207" fontId="221" fillId="25" borderId="115" xfId="0" applyNumberFormat="1" applyFont="1" applyFill="1" applyBorder="1" applyAlignment="1">
      <alignment horizontal="center" vertical="center"/>
    </xf>
    <xf numFmtId="167" fontId="223" fillId="116" borderId="115" xfId="0" applyFont="1" applyFill="1" applyBorder="1" applyAlignment="1">
      <alignment horizontal="center"/>
    </xf>
    <xf numFmtId="166" fontId="222" fillId="40" borderId="154" xfId="0" applyNumberFormat="1" applyFont="1" applyFill="1" applyBorder="1" applyAlignment="1">
      <alignment horizontal="center" vertical="center"/>
    </xf>
    <xf numFmtId="169" fontId="220" fillId="25" borderId="26" xfId="5741" quotePrefix="1" applyNumberFormat="1" applyFont="1" applyFill="1" applyBorder="1" applyAlignment="1">
      <alignment horizontal="center" vertical="center"/>
    </xf>
    <xf numFmtId="208" fontId="220" fillId="25" borderId="26" xfId="0" quotePrefix="1" applyNumberFormat="1" applyFont="1" applyFill="1" applyBorder="1" applyAlignment="1">
      <alignment horizontal="center" vertical="center"/>
    </xf>
    <xf numFmtId="208" fontId="220" fillId="25" borderId="115" xfId="0" quotePrefix="1" applyNumberFormat="1" applyFont="1" applyFill="1" applyBorder="1" applyAlignment="1">
      <alignment horizontal="center" vertical="center"/>
    </xf>
    <xf numFmtId="1" fontId="220" fillId="25" borderId="115" xfId="0" quotePrefix="1" applyNumberFormat="1" applyFont="1" applyFill="1" applyBorder="1" applyAlignment="1">
      <alignment horizontal="center" vertical="center"/>
    </xf>
    <xf numFmtId="169" fontId="220" fillId="0" borderId="115" xfId="5741" applyNumberFormat="1" applyFont="1" applyBorder="1" applyAlignment="1">
      <alignment horizontal="center" vertical="center"/>
    </xf>
    <xf numFmtId="167" fontId="221" fillId="0" borderId="115" xfId="0" applyFont="1" applyBorder="1" applyAlignment="1">
      <alignment horizontal="center" vertical="center"/>
    </xf>
    <xf numFmtId="167" fontId="220" fillId="0" borderId="115" xfId="0" applyFont="1" applyBorder="1" applyAlignment="1">
      <alignment horizontal="center" vertical="center"/>
    </xf>
    <xf numFmtId="167" fontId="227" fillId="0" borderId="115" xfId="0" applyFont="1" applyBorder="1" applyAlignment="1">
      <alignment horizontal="center" vertical="center"/>
    </xf>
    <xf numFmtId="167" fontId="220" fillId="25" borderId="115" xfId="0" quotePrefix="1" applyFont="1" applyFill="1" applyBorder="1" applyAlignment="1">
      <alignment horizontal="center" vertical="center"/>
    </xf>
    <xf numFmtId="169" fontId="221" fillId="25" borderId="115" xfId="5741" quotePrefix="1" applyNumberFormat="1" applyFont="1" applyFill="1" applyBorder="1" applyAlignment="1">
      <alignment horizontal="center" vertical="center"/>
    </xf>
    <xf numFmtId="169" fontId="220" fillId="25" borderId="115" xfId="5741" quotePrefix="1" applyNumberFormat="1" applyFont="1" applyFill="1" applyBorder="1" applyAlignment="1">
      <alignment horizontal="right" vertical="center"/>
    </xf>
    <xf numFmtId="169" fontId="227" fillId="25" borderId="115" xfId="5741" applyNumberFormat="1" applyFont="1" applyFill="1" applyBorder="1" applyAlignment="1">
      <alignment horizontal="center" vertical="center"/>
    </xf>
    <xf numFmtId="169" fontId="76" fillId="2" borderId="23" xfId="2" applyNumberFormat="1" applyFont="1" applyFill="1" applyBorder="1" applyAlignment="1">
      <alignment horizontal="center" vertical="center"/>
    </xf>
    <xf numFmtId="2" fontId="0" fillId="0" borderId="0" xfId="2" applyNumberFormat="1" applyFont="1"/>
    <xf numFmtId="167" fontId="218" fillId="115" borderId="171" xfId="0" applyFont="1" applyFill="1" applyBorder="1" applyAlignment="1">
      <alignment horizontal="centerContinuous" vertical="center" wrapText="1"/>
    </xf>
    <xf numFmtId="167" fontId="218" fillId="115" borderId="172" xfId="0" applyFont="1" applyFill="1" applyBorder="1" applyAlignment="1">
      <alignment horizontal="centerContinuous" vertical="center" wrapText="1"/>
    </xf>
    <xf numFmtId="167" fontId="218" fillId="115" borderId="173" xfId="0" applyFont="1" applyFill="1" applyBorder="1" applyAlignment="1">
      <alignment horizontal="centerContinuous" vertical="center" wrapText="1"/>
    </xf>
    <xf numFmtId="165" fontId="220" fillId="25" borderId="26" xfId="5741" quotePrefix="1" applyFont="1" applyFill="1" applyBorder="1" applyAlignment="1">
      <alignment horizontal="center" vertical="center"/>
    </xf>
    <xf numFmtId="165" fontId="220" fillId="0" borderId="115" xfId="5741" applyFont="1" applyBorder="1" applyAlignment="1">
      <alignment horizontal="center" vertical="center"/>
    </xf>
    <xf numFmtId="165" fontId="221" fillId="25" borderId="115" xfId="5741" quotePrefix="1" applyFont="1" applyFill="1" applyBorder="1" applyAlignment="1">
      <alignment horizontal="center" vertical="center"/>
    </xf>
    <xf numFmtId="165" fontId="220" fillId="25" borderId="115" xfId="5741" quotePrefix="1" applyFont="1" applyFill="1" applyBorder="1" applyAlignment="1">
      <alignment horizontal="center" vertical="center" indent="2"/>
    </xf>
    <xf numFmtId="167" fontId="218" fillId="44" borderId="19" xfId="0" applyFont="1" applyFill="1" applyBorder="1" applyAlignment="1">
      <alignment horizontal="center" vertical="center" wrapText="1"/>
    </xf>
    <xf numFmtId="209" fontId="222" fillId="40" borderId="154" xfId="0" applyNumberFormat="1" applyFont="1" applyFill="1" applyBorder="1" applyAlignment="1">
      <alignment horizontal="center" vertical="center"/>
    </xf>
    <xf numFmtId="167" fontId="109" fillId="2" borderId="145" xfId="0" applyFont="1" applyFill="1" applyBorder="1" applyAlignment="1">
      <alignment vertical="center"/>
    </xf>
    <xf numFmtId="167" fontId="16" fillId="16" borderId="26" xfId="0" applyFont="1" applyFill="1" applyBorder="1"/>
    <xf numFmtId="165" fontId="2" fillId="2" borderId="145" xfId="2" applyFont="1" applyFill="1" applyBorder="1"/>
    <xf numFmtId="167" fontId="109" fillId="2" borderId="26" xfId="0" applyFont="1" applyFill="1" applyBorder="1" applyAlignment="1">
      <alignment vertical="center"/>
    </xf>
    <xf numFmtId="176" fontId="2" fillId="2" borderId="115" xfId="2" applyNumberFormat="1" applyFont="1" applyFill="1" applyBorder="1"/>
    <xf numFmtId="165" fontId="229" fillId="0" borderId="0" xfId="2" applyFont="1"/>
    <xf numFmtId="165" fontId="0" fillId="0" borderId="6" xfId="2" applyFont="1" applyBorder="1"/>
    <xf numFmtId="167" fontId="0" fillId="0" borderId="6" xfId="0" applyBorder="1"/>
    <xf numFmtId="165" fontId="0" fillId="0" borderId="8" xfId="2" applyFont="1" applyBorder="1"/>
    <xf numFmtId="165" fontId="0" fillId="0" borderId="7" xfId="2" applyFont="1" applyBorder="1"/>
    <xf numFmtId="165" fontId="43" fillId="0" borderId="26" xfId="2" applyFont="1" applyBorder="1"/>
    <xf numFmtId="210" fontId="0" fillId="2" borderId="0" xfId="2" applyNumberFormat="1" applyFont="1" applyFill="1"/>
    <xf numFmtId="211" fontId="2" fillId="32" borderId="26" xfId="2" applyNumberFormat="1" applyFont="1" applyFill="1" applyBorder="1" applyAlignment="1">
      <alignment horizontal="center"/>
    </xf>
    <xf numFmtId="166" fontId="4" fillId="25" borderId="8" xfId="173" applyNumberFormat="1" applyFont="1" applyFill="1" applyBorder="1" applyAlignment="1">
      <alignment vertical="center"/>
    </xf>
    <xf numFmtId="43" fontId="4" fillId="25" borderId="8" xfId="173" applyFont="1" applyFill="1" applyBorder="1" applyAlignment="1">
      <alignment horizontal="right" vertical="center"/>
    </xf>
    <xf numFmtId="43" fontId="4" fillId="25" borderId="27" xfId="173" applyFont="1" applyFill="1" applyBorder="1" applyAlignment="1">
      <alignment horizontal="right" vertical="center"/>
    </xf>
    <xf numFmtId="167" fontId="0" fillId="44" borderId="115" xfId="0" applyFill="1" applyBorder="1"/>
    <xf numFmtId="165" fontId="230" fillId="0" borderId="115" xfId="5730" applyFont="1" applyBorder="1"/>
    <xf numFmtId="43" fontId="230" fillId="25" borderId="8" xfId="173" applyFont="1" applyFill="1" applyBorder="1" applyAlignment="1">
      <alignment horizontal="right" vertical="center"/>
    </xf>
    <xf numFmtId="167" fontId="218" fillId="115" borderId="19" xfId="0" applyFont="1" applyFill="1" applyBorder="1" applyAlignment="1">
      <alignment horizontal="center" vertical="center" wrapText="1"/>
    </xf>
    <xf numFmtId="0" fontId="18" fillId="0" borderId="32" xfId="153" applyFont="1" applyBorder="1" applyAlignment="1">
      <alignment horizontal="left" vertical="center"/>
    </xf>
    <xf numFmtId="167" fontId="232" fillId="0" borderId="115" xfId="0" applyFont="1" applyBorder="1" applyAlignment="1">
      <alignment horizontal="center" vertical="center"/>
    </xf>
    <xf numFmtId="167" fontId="232" fillId="118" borderId="115" xfId="0" applyFont="1" applyFill="1" applyBorder="1" applyAlignment="1">
      <alignment horizontal="center" vertical="center"/>
    </xf>
    <xf numFmtId="167" fontId="232" fillId="0" borderId="26" xfId="0" applyFont="1" applyBorder="1" applyAlignment="1">
      <alignment horizontal="center" vertical="center"/>
    </xf>
    <xf numFmtId="167" fontId="232" fillId="112" borderId="115" xfId="0" applyFont="1" applyFill="1" applyBorder="1" applyAlignment="1">
      <alignment horizontal="center" vertical="center"/>
    </xf>
    <xf numFmtId="2" fontId="0" fillId="0" borderId="0" xfId="2" quotePrefix="1" applyNumberFormat="1" applyFont="1"/>
    <xf numFmtId="9" fontId="68" fillId="2" borderId="0" xfId="12" applyFont="1" applyFill="1"/>
    <xf numFmtId="166" fontId="0" fillId="25" borderId="0" xfId="0" applyNumberFormat="1" applyFill="1"/>
    <xf numFmtId="166" fontId="0" fillId="25" borderId="0" xfId="12" applyNumberFormat="1" applyFont="1" applyFill="1"/>
    <xf numFmtId="166" fontId="0" fillId="25" borderId="0" xfId="2" applyNumberFormat="1" applyFont="1" applyFill="1"/>
    <xf numFmtId="165" fontId="220" fillId="25" borderId="115" xfId="10140" quotePrefix="1" applyFont="1" applyFill="1" applyBorder="1" applyAlignment="1">
      <alignment horizontal="center" vertical="center"/>
    </xf>
    <xf numFmtId="165" fontId="220" fillId="25" borderId="115" xfId="2" quotePrefix="1" applyFont="1" applyFill="1" applyBorder="1" applyAlignment="1">
      <alignment horizontal="center" vertical="center"/>
    </xf>
    <xf numFmtId="9" fontId="0" fillId="25" borderId="0" xfId="2" applyNumberFormat="1" applyFont="1" applyFill="1"/>
    <xf numFmtId="9" fontId="0" fillId="25" borderId="0" xfId="0" applyNumberFormat="1" applyFill="1"/>
    <xf numFmtId="167" fontId="0" fillId="25" borderId="0" xfId="0" applyFill="1" applyAlignment="1">
      <alignment horizontal="center" vertical="center"/>
    </xf>
    <xf numFmtId="165" fontId="0" fillId="25" borderId="0" xfId="2" applyFont="1" applyFill="1" applyAlignment="1">
      <alignment horizontal="center" vertical="center"/>
    </xf>
    <xf numFmtId="167" fontId="0" fillId="25" borderId="129" xfId="0" applyFill="1" applyBorder="1" applyAlignment="1">
      <alignment horizontal="center" wrapText="1"/>
    </xf>
    <xf numFmtId="167" fontId="0" fillId="25" borderId="129" xfId="0" applyFill="1" applyBorder="1" applyAlignment="1">
      <alignment wrapText="1"/>
    </xf>
    <xf numFmtId="0" fontId="17" fillId="2" borderId="9" xfId="0" applyNumberFormat="1" applyFont="1" applyFill="1" applyBorder="1" applyAlignment="1">
      <alignment horizontal="center"/>
    </xf>
    <xf numFmtId="212" fontId="0" fillId="2" borderId="0" xfId="0" applyNumberFormat="1" applyFill="1"/>
    <xf numFmtId="175" fontId="0" fillId="0" borderId="115" xfId="2" applyNumberFormat="1" applyFont="1" applyBorder="1"/>
    <xf numFmtId="172" fontId="209" fillId="2" borderId="0" xfId="0" applyNumberFormat="1" applyFont="1" applyFill="1" applyAlignment="1">
      <alignment horizontal="center"/>
    </xf>
    <xf numFmtId="167" fontId="231" fillId="117" borderId="19" xfId="0" applyFont="1" applyFill="1" applyBorder="1" applyAlignment="1">
      <alignment horizontal="center" vertical="center" wrapText="1"/>
    </xf>
    <xf numFmtId="195" fontId="228" fillId="0" borderId="0" xfId="2" applyNumberFormat="1" applyFont="1"/>
    <xf numFmtId="195" fontId="46" fillId="2" borderId="0" xfId="2" applyNumberFormat="1" applyFont="1" applyFill="1"/>
    <xf numFmtId="195" fontId="212" fillId="0" borderId="0" xfId="2" applyNumberFormat="1" applyFont="1"/>
    <xf numFmtId="195" fontId="46" fillId="2" borderId="0" xfId="0" applyNumberFormat="1" applyFont="1" applyFill="1"/>
    <xf numFmtId="195" fontId="228" fillId="2" borderId="0" xfId="2" applyNumberFormat="1" applyFont="1" applyFill="1"/>
    <xf numFmtId="195" fontId="99" fillId="2" borderId="0" xfId="2" applyNumberFormat="1" applyFont="1" applyFill="1"/>
    <xf numFmtId="169" fontId="8" fillId="26" borderId="115" xfId="2" applyNumberFormat="1" applyFont="1" applyFill="1" applyBorder="1" applyAlignment="1">
      <alignment horizontal="center"/>
    </xf>
    <xf numFmtId="166" fontId="76" fillId="2" borderId="123" xfId="13" applyNumberFormat="1" applyFont="1" applyFill="1" applyBorder="1" applyAlignment="1">
      <alignment horizontal="center" vertical="center"/>
    </xf>
    <xf numFmtId="166" fontId="75" fillId="2" borderId="120" xfId="13" applyNumberFormat="1" applyFont="1" applyFill="1" applyBorder="1" applyAlignment="1">
      <alignment horizontal="center" vertical="center"/>
    </xf>
    <xf numFmtId="166" fontId="75" fillId="2" borderId="23" xfId="13" applyNumberFormat="1" applyFont="1" applyFill="1" applyBorder="1" applyAlignment="1">
      <alignment horizontal="center" vertical="center"/>
    </xf>
    <xf numFmtId="166" fontId="76" fillId="2" borderId="123" xfId="3" applyNumberFormat="1" applyFont="1" applyFill="1" applyBorder="1" applyAlignment="1">
      <alignment horizontal="center" vertical="center"/>
    </xf>
    <xf numFmtId="166" fontId="75" fillId="2" borderId="120" xfId="3" applyNumberFormat="1" applyFont="1" applyFill="1" applyBorder="1" applyAlignment="1">
      <alignment horizontal="center" vertical="center"/>
    </xf>
    <xf numFmtId="167" fontId="0" fillId="2" borderId="115" xfId="0" applyFill="1" applyBorder="1"/>
    <xf numFmtId="167" fontId="13" fillId="3" borderId="137" xfId="0" quotePrefix="1" applyFont="1" applyFill="1" applyBorder="1" applyAlignment="1">
      <alignment horizontal="center"/>
    </xf>
    <xf numFmtId="181" fontId="45" fillId="2" borderId="137" xfId="2" applyNumberFormat="1" applyFont="1" applyFill="1" applyBorder="1" applyAlignment="1">
      <alignment horizontal="center"/>
    </xf>
    <xf numFmtId="3" fontId="13" fillId="16" borderId="9" xfId="2" applyNumberFormat="1" applyFont="1" applyFill="1" applyBorder="1" applyAlignment="1">
      <alignment horizontal="center"/>
    </xf>
    <xf numFmtId="167" fontId="15" fillId="2" borderId="115" xfId="0" applyFont="1" applyFill="1" applyBorder="1"/>
    <xf numFmtId="167" fontId="14" fillId="2" borderId="0" xfId="0" applyFont="1" applyFill="1"/>
    <xf numFmtId="167" fontId="14" fillId="2" borderId="18" xfId="0" applyFont="1" applyFill="1" applyBorder="1"/>
    <xf numFmtId="167" fontId="233" fillId="2" borderId="4" xfId="9" applyFont="1" applyFill="1" applyBorder="1" applyAlignment="1">
      <alignment horizontal="center"/>
    </xf>
    <xf numFmtId="167" fontId="234" fillId="2" borderId="115" xfId="10" applyFont="1" applyFill="1" applyBorder="1"/>
    <xf numFmtId="169" fontId="234" fillId="43" borderId="115" xfId="5730" applyNumberFormat="1" applyFont="1" applyFill="1" applyBorder="1"/>
    <xf numFmtId="169" fontId="234" fillId="114" borderId="115" xfId="5730" applyNumberFormat="1" applyFont="1" applyFill="1" applyBorder="1"/>
    <xf numFmtId="169" fontId="234" fillId="48" borderId="115" xfId="5730" applyNumberFormat="1" applyFont="1" applyFill="1" applyBorder="1"/>
    <xf numFmtId="169" fontId="234" fillId="119" borderId="115" xfId="5730" applyNumberFormat="1" applyFont="1" applyFill="1" applyBorder="1"/>
    <xf numFmtId="167" fontId="234" fillId="120" borderId="115" xfId="10" applyFont="1" applyFill="1" applyBorder="1"/>
    <xf numFmtId="169" fontId="234" fillId="120" borderId="115" xfId="10" applyNumberFormat="1" applyFont="1" applyFill="1" applyBorder="1"/>
    <xf numFmtId="167" fontId="234" fillId="2" borderId="0" xfId="10" applyFont="1" applyFill="1"/>
    <xf numFmtId="167" fontId="235" fillId="116" borderId="0" xfId="10" applyFont="1" applyFill="1" applyAlignment="1">
      <alignment vertical="top" wrapText="1"/>
    </xf>
    <xf numFmtId="1" fontId="235" fillId="116" borderId="0" xfId="10" applyNumberFormat="1" applyFont="1" applyFill="1"/>
    <xf numFmtId="165" fontId="234" fillId="120" borderId="115" xfId="2" applyFont="1" applyFill="1" applyBorder="1"/>
    <xf numFmtId="167" fontId="234" fillId="43" borderId="145" xfId="10" applyFont="1" applyFill="1" applyBorder="1" applyAlignment="1">
      <alignment horizontal="center" vertical="center"/>
    </xf>
    <xf numFmtId="167" fontId="234" fillId="114" borderId="145" xfId="10" applyFont="1" applyFill="1" applyBorder="1" applyAlignment="1">
      <alignment horizontal="center" vertical="center"/>
    </xf>
    <xf numFmtId="167" fontId="234" fillId="48" borderId="145" xfId="10" applyFont="1" applyFill="1" applyBorder="1" applyAlignment="1">
      <alignment horizontal="center" vertical="center"/>
    </xf>
    <xf numFmtId="167" fontId="234" fillId="119" borderId="145" xfId="10" applyFont="1" applyFill="1" applyBorder="1" applyAlignment="1">
      <alignment horizontal="center" vertical="center"/>
    </xf>
    <xf numFmtId="1" fontId="236" fillId="122" borderId="115" xfId="0" applyNumberFormat="1" applyFont="1" applyFill="1" applyBorder="1" applyAlignment="1">
      <alignment vertical="center"/>
    </xf>
    <xf numFmtId="165" fontId="234" fillId="121" borderId="115" xfId="2" applyFont="1" applyFill="1" applyBorder="1"/>
    <xf numFmtId="165" fontId="234" fillId="2" borderId="0" xfId="2" applyFont="1" applyFill="1"/>
    <xf numFmtId="165" fontId="237" fillId="2" borderId="0" xfId="2" applyFont="1" applyFill="1"/>
    <xf numFmtId="165" fontId="234" fillId="116" borderId="0" xfId="2" applyFont="1" applyFill="1"/>
    <xf numFmtId="167" fontId="238" fillId="120" borderId="0" xfId="10" applyFont="1" applyFill="1" applyAlignment="1">
      <alignment horizontal="center" vertical="center" wrapText="1"/>
    </xf>
    <xf numFmtId="165" fontId="239" fillId="123" borderId="0" xfId="2" applyFont="1" applyFill="1" applyAlignment="1">
      <alignment horizontal="center"/>
    </xf>
    <xf numFmtId="165" fontId="237" fillId="33" borderId="115" xfId="2" applyFont="1" applyFill="1" applyBorder="1"/>
    <xf numFmtId="10" fontId="18" fillId="2" borderId="0" xfId="12" applyNumberFormat="1" applyFont="1" applyFill="1"/>
    <xf numFmtId="165" fontId="4" fillId="2" borderId="0" xfId="2" applyFont="1" applyFill="1"/>
    <xf numFmtId="1" fontId="220" fillId="25" borderId="115" xfId="5741" quotePrefix="1" applyNumberFormat="1" applyFont="1" applyFill="1" applyBorder="1" applyAlignment="1">
      <alignment horizontal="right" vertical="center"/>
    </xf>
    <xf numFmtId="165" fontId="0" fillId="0" borderId="0" xfId="12" applyNumberFormat="1" applyFont="1"/>
    <xf numFmtId="165" fontId="13" fillId="3" borderId="115" xfId="2" quotePrefix="1" applyFont="1" applyFill="1" applyBorder="1" applyAlignment="1">
      <alignment horizontal="center"/>
    </xf>
    <xf numFmtId="4" fontId="0" fillId="0" borderId="0" xfId="0" applyNumberFormat="1"/>
    <xf numFmtId="165" fontId="50" fillId="25" borderId="158" xfId="5730" applyFont="1" applyFill="1" applyBorder="1" applyAlignment="1">
      <alignment horizontal="center"/>
    </xf>
    <xf numFmtId="165" fontId="50" fillId="25" borderId="159" xfId="5730" applyFont="1" applyFill="1" applyBorder="1" applyAlignment="1">
      <alignment horizontal="center"/>
    </xf>
    <xf numFmtId="169" fontId="50" fillId="25" borderId="158" xfId="5730" applyNumberFormat="1" applyFont="1" applyFill="1" applyBorder="1" applyAlignment="1">
      <alignment horizontal="center"/>
    </xf>
    <xf numFmtId="169" fontId="50" fillId="25" borderId="159" xfId="5730" applyNumberFormat="1" applyFont="1" applyFill="1" applyBorder="1" applyAlignment="1">
      <alignment horizontal="center"/>
    </xf>
    <xf numFmtId="167" fontId="0" fillId="25" borderId="26" xfId="0" applyFill="1" applyBorder="1"/>
    <xf numFmtId="165" fontId="50" fillId="25" borderId="21" xfId="5730" applyFont="1" applyFill="1" applyBorder="1" applyAlignment="1">
      <alignment horizontal="center"/>
    </xf>
    <xf numFmtId="165" fontId="50" fillId="25" borderId="9" xfId="5730" applyFont="1" applyFill="1" applyBorder="1" applyAlignment="1">
      <alignment horizontal="center"/>
    </xf>
    <xf numFmtId="169" fontId="50" fillId="25" borderId="21" xfId="5730" applyNumberFormat="1" applyFont="1" applyFill="1" applyBorder="1" applyAlignment="1">
      <alignment horizontal="center"/>
    </xf>
    <xf numFmtId="169" fontId="50" fillId="25" borderId="9" xfId="5730" applyNumberFormat="1" applyFont="1" applyFill="1" applyBorder="1" applyAlignment="1">
      <alignment horizontal="center"/>
    </xf>
    <xf numFmtId="167" fontId="231" fillId="117" borderId="115" xfId="0" applyFont="1" applyFill="1" applyBorder="1" applyAlignment="1">
      <alignment vertical="center" wrapText="1"/>
    </xf>
    <xf numFmtId="167" fontId="14" fillId="2" borderId="136" xfId="0" applyFont="1" applyFill="1" applyBorder="1" applyAlignment="1">
      <alignment horizontal="left"/>
    </xf>
    <xf numFmtId="167" fontId="14" fillId="2" borderId="116" xfId="0" applyFont="1" applyFill="1" applyBorder="1" applyAlignment="1">
      <alignment horizontal="left"/>
    </xf>
    <xf numFmtId="167" fontId="14" fillId="2" borderId="137" xfId="0" applyFont="1" applyFill="1" applyBorder="1" applyAlignment="1">
      <alignment horizontal="left"/>
    </xf>
    <xf numFmtId="43" fontId="4" fillId="25" borderId="8" xfId="3022" applyFont="1" applyFill="1" applyBorder="1" applyAlignment="1">
      <alignment horizontal="right" vertical="center"/>
    </xf>
    <xf numFmtId="2" fontId="4" fillId="25" borderId="8" xfId="3022" applyNumberFormat="1" applyFont="1" applyFill="1" applyBorder="1" applyAlignment="1">
      <alignment horizontal="right" vertical="center"/>
    </xf>
    <xf numFmtId="0" fontId="0" fillId="0" borderId="115" xfId="2" applyNumberFormat="1" applyFont="1" applyBorder="1"/>
    <xf numFmtId="2" fontId="0" fillId="0" borderId="115" xfId="2" applyNumberFormat="1" applyFont="1" applyBorder="1"/>
    <xf numFmtId="2" fontId="50" fillId="0" borderId="0" xfId="5730" applyNumberFormat="1" applyFont="1" applyBorder="1"/>
    <xf numFmtId="2" fontId="0" fillId="0" borderId="115" xfId="5730" applyNumberFormat="1" applyFont="1" applyBorder="1"/>
    <xf numFmtId="43" fontId="62" fillId="100" borderId="130" xfId="2" applyNumberFormat="1" applyFont="1" applyFill="1" applyBorder="1" applyAlignment="1">
      <alignment vertical="center"/>
    </xf>
    <xf numFmtId="2" fontId="62" fillId="100" borderId="130" xfId="2" applyNumberFormat="1" applyFont="1" applyFill="1" applyBorder="1" applyAlignment="1">
      <alignment vertical="center"/>
    </xf>
    <xf numFmtId="165" fontId="50" fillId="25" borderId="136" xfId="5730" applyFont="1" applyFill="1" applyBorder="1" applyAlignment="1"/>
    <xf numFmtId="165" fontId="50" fillId="25" borderId="137" xfId="5730" applyFont="1" applyFill="1" applyBorder="1" applyAlignment="1"/>
    <xf numFmtId="165" fontId="43" fillId="34" borderId="136" xfId="5730" applyFont="1" applyFill="1" applyBorder="1" applyAlignment="1"/>
    <xf numFmtId="165" fontId="43" fillId="34" borderId="137" xfId="5730" applyFont="1" applyFill="1" applyBorder="1" applyAlignment="1"/>
    <xf numFmtId="169" fontId="45" fillId="25" borderId="136" xfId="5730" applyNumberFormat="1" applyFont="1" applyFill="1" applyBorder="1" applyAlignment="1"/>
    <xf numFmtId="169" fontId="45" fillId="25" borderId="137" xfId="5730" applyNumberFormat="1" applyFont="1" applyFill="1" applyBorder="1" applyAlignment="1"/>
    <xf numFmtId="165" fontId="45" fillId="25" borderId="136" xfId="5730" applyFont="1" applyFill="1" applyBorder="1" applyAlignment="1"/>
    <xf numFmtId="165" fontId="4" fillId="25" borderId="8" xfId="2" applyFont="1" applyFill="1" applyBorder="1" applyAlignment="1">
      <alignment horizontal="right" vertical="center"/>
    </xf>
    <xf numFmtId="169" fontId="241" fillId="25" borderId="115" xfId="5741" quotePrefix="1" applyNumberFormat="1" applyFont="1" applyFill="1" applyBorder="1" applyAlignment="1">
      <alignment horizontal="center" vertical="center"/>
    </xf>
    <xf numFmtId="165" fontId="241" fillId="25" borderId="115" xfId="5741" quotePrefix="1" applyFont="1" applyFill="1" applyBorder="1" applyAlignment="1">
      <alignment horizontal="center" vertical="center"/>
    </xf>
    <xf numFmtId="169" fontId="241" fillId="25" borderId="26" xfId="5741" quotePrefix="1" applyNumberFormat="1" applyFont="1" applyFill="1" applyBorder="1" applyAlignment="1">
      <alignment horizontal="center" vertical="center"/>
    </xf>
    <xf numFmtId="165" fontId="241" fillId="25" borderId="26" xfId="5741" quotePrefix="1" applyFont="1" applyFill="1" applyBorder="1" applyAlignment="1">
      <alignment horizontal="center" vertical="center"/>
    </xf>
    <xf numFmtId="1" fontId="241" fillId="25" borderId="115" xfId="0" quotePrefix="1" applyNumberFormat="1" applyFont="1" applyFill="1" applyBorder="1" applyAlignment="1">
      <alignment horizontal="center" vertical="center"/>
    </xf>
    <xf numFmtId="169" fontId="241" fillId="0" borderId="115" xfId="5741" applyNumberFormat="1" applyFont="1" applyBorder="1" applyAlignment="1">
      <alignment horizontal="center" vertical="center"/>
    </xf>
    <xf numFmtId="167" fontId="242" fillId="0" borderId="115" xfId="0" applyFont="1" applyBorder="1" applyAlignment="1">
      <alignment horizontal="center" vertical="center"/>
    </xf>
    <xf numFmtId="165" fontId="241" fillId="25" borderId="115" xfId="10140" quotePrefix="1" applyFont="1" applyFill="1" applyBorder="1" applyAlignment="1">
      <alignment horizontal="center" vertical="center"/>
    </xf>
    <xf numFmtId="167" fontId="241" fillId="0" borderId="115" xfId="0" applyFont="1" applyBorder="1" applyAlignment="1">
      <alignment horizontal="center" vertical="center"/>
    </xf>
    <xf numFmtId="1" fontId="241" fillId="25" borderId="115" xfId="5741" quotePrefix="1" applyNumberFormat="1" applyFont="1" applyFill="1" applyBorder="1" applyAlignment="1">
      <alignment horizontal="right" vertical="center"/>
    </xf>
    <xf numFmtId="165" fontId="241" fillId="0" borderId="115" xfId="5741" applyFont="1" applyBorder="1" applyAlignment="1">
      <alignment horizontal="center" vertical="center"/>
    </xf>
    <xf numFmtId="167" fontId="243" fillId="0" borderId="115" xfId="0" applyFont="1" applyBorder="1" applyAlignment="1">
      <alignment horizontal="center" vertical="center"/>
    </xf>
    <xf numFmtId="167" fontId="241" fillId="25" borderId="115" xfId="0" quotePrefix="1" applyFont="1" applyFill="1" applyBorder="1" applyAlignment="1">
      <alignment horizontal="center" vertical="center"/>
    </xf>
    <xf numFmtId="165" fontId="241" fillId="25" borderId="115" xfId="2" quotePrefix="1" applyFont="1" applyFill="1" applyBorder="1" applyAlignment="1">
      <alignment horizontal="center" vertical="center"/>
    </xf>
    <xf numFmtId="169" fontId="242" fillId="25" borderId="115" xfId="5741" quotePrefix="1" applyNumberFormat="1" applyFont="1" applyFill="1" applyBorder="1" applyAlignment="1">
      <alignment horizontal="center" vertical="center"/>
    </xf>
    <xf numFmtId="169" fontId="241" fillId="25" borderId="115" xfId="5741" quotePrefix="1" applyNumberFormat="1" applyFont="1" applyFill="1" applyBorder="1" applyAlignment="1">
      <alignment horizontal="right" vertical="center"/>
    </xf>
    <xf numFmtId="169" fontId="243" fillId="25" borderId="115" xfId="5741" applyNumberFormat="1" applyFont="1" applyFill="1" applyBorder="1" applyAlignment="1">
      <alignment horizontal="center" vertical="center"/>
    </xf>
    <xf numFmtId="165" fontId="242" fillId="25" borderId="115" xfId="5741" quotePrefix="1" applyFont="1" applyFill="1" applyBorder="1" applyAlignment="1">
      <alignment horizontal="center" vertical="center"/>
    </xf>
    <xf numFmtId="165" fontId="241" fillId="25" borderId="115" xfId="5741" quotePrefix="1" applyFont="1" applyFill="1" applyBorder="1" applyAlignment="1">
      <alignment horizontal="center" vertical="center" indent="2"/>
    </xf>
    <xf numFmtId="167" fontId="14" fillId="2" borderId="18" xfId="0" applyFont="1" applyFill="1" applyBorder="1" applyAlignment="1">
      <alignment horizontal="left"/>
    </xf>
    <xf numFmtId="165" fontId="244" fillId="2" borderId="0" xfId="2" applyFont="1" applyFill="1"/>
    <xf numFmtId="167" fontId="218" fillId="44" borderId="0" xfId="0" applyFont="1" applyFill="1" applyAlignment="1">
      <alignment horizontal="center" vertical="center" wrapText="1"/>
    </xf>
    <xf numFmtId="167" fontId="219" fillId="25" borderId="0" xfId="0" applyFont="1" applyFill="1" applyAlignment="1">
      <alignment horizontal="center" vertical="center"/>
    </xf>
    <xf numFmtId="208" fontId="241" fillId="25" borderId="0" xfId="0" quotePrefix="1" applyNumberFormat="1" applyFont="1" applyFill="1" applyAlignment="1">
      <alignment horizontal="center" vertical="center"/>
    </xf>
    <xf numFmtId="1" fontId="241" fillId="25" borderId="0" xfId="0" quotePrefix="1" applyNumberFormat="1" applyFont="1" applyFill="1" applyAlignment="1">
      <alignment horizontal="center" vertical="center"/>
    </xf>
    <xf numFmtId="167" fontId="242" fillId="0" borderId="0" xfId="0" applyFont="1" applyAlignment="1">
      <alignment horizontal="center" vertical="center"/>
    </xf>
    <xf numFmtId="167" fontId="241" fillId="0" borderId="0" xfId="0" applyFont="1" applyAlignment="1">
      <alignment horizontal="center" vertical="center"/>
    </xf>
    <xf numFmtId="167" fontId="243" fillId="0" borderId="0" xfId="0" applyFont="1" applyAlignment="1">
      <alignment horizontal="center" vertical="center"/>
    </xf>
    <xf numFmtId="167" fontId="241" fillId="25" borderId="0" xfId="0" quotePrefix="1" applyFont="1" applyFill="1" applyAlignment="1">
      <alignment horizontal="center" vertical="center"/>
    </xf>
    <xf numFmtId="169" fontId="241" fillId="25" borderId="0" xfId="5741" quotePrefix="1" applyNumberFormat="1" applyFont="1" applyFill="1" applyBorder="1" applyAlignment="1">
      <alignment horizontal="center" vertical="center"/>
    </xf>
    <xf numFmtId="169" fontId="242" fillId="25" borderId="0" xfId="5741" quotePrefix="1" applyNumberFormat="1" applyFont="1" applyFill="1" applyBorder="1" applyAlignment="1">
      <alignment horizontal="center" vertical="center"/>
    </xf>
    <xf numFmtId="43" fontId="4" fillId="44" borderId="8" xfId="3022" applyFont="1" applyFill="1" applyBorder="1" applyAlignment="1">
      <alignment horizontal="right" vertical="center"/>
    </xf>
    <xf numFmtId="165" fontId="0" fillId="44" borderId="115" xfId="2" applyFont="1" applyFill="1" applyBorder="1"/>
    <xf numFmtId="166" fontId="4" fillId="44" borderId="8" xfId="3022" applyNumberFormat="1" applyFont="1" applyFill="1" applyBorder="1" applyAlignment="1">
      <alignment horizontal="right" vertical="center"/>
    </xf>
    <xf numFmtId="169" fontId="2" fillId="2" borderId="6" xfId="5730" applyNumberFormat="1" applyFont="1" applyFill="1" applyBorder="1" applyAlignment="1">
      <alignment horizontal="center"/>
    </xf>
    <xf numFmtId="165" fontId="2" fillId="2" borderId="6" xfId="5730" applyFont="1" applyFill="1" applyBorder="1" applyAlignment="1">
      <alignment horizontal="center"/>
    </xf>
    <xf numFmtId="165" fontId="0" fillId="2" borderId="8" xfId="5730" applyFont="1" applyFill="1" applyBorder="1"/>
    <xf numFmtId="169" fontId="2" fillId="25" borderId="6" xfId="5730" applyNumberFormat="1" applyFont="1" applyFill="1" applyBorder="1" applyAlignment="1">
      <alignment horizontal="center"/>
    </xf>
    <xf numFmtId="169" fontId="48" fillId="0" borderId="6" xfId="5730" applyNumberFormat="1" applyFont="1" applyFill="1" applyBorder="1" applyAlignment="1">
      <alignment horizontal="center"/>
    </xf>
    <xf numFmtId="165" fontId="0" fillId="44" borderId="8" xfId="5730" applyFont="1" applyFill="1" applyBorder="1"/>
    <xf numFmtId="169" fontId="2" fillId="2" borderId="115" xfId="5730" applyNumberFormat="1" applyFont="1" applyFill="1" applyBorder="1" applyAlignment="1">
      <alignment horizontal="center"/>
    </xf>
    <xf numFmtId="169" fontId="0" fillId="2" borderId="7" xfId="5730" applyNumberFormat="1" applyFont="1" applyFill="1" applyBorder="1"/>
    <xf numFmtId="169" fontId="48" fillId="2" borderId="6" xfId="5730" applyNumberFormat="1" applyFont="1" applyFill="1" applyBorder="1" applyAlignment="1">
      <alignment horizontal="center"/>
    </xf>
    <xf numFmtId="169" fontId="0" fillId="2" borderId="6" xfId="5730" applyNumberFormat="1" applyFont="1" applyFill="1" applyBorder="1"/>
    <xf numFmtId="175" fontId="48" fillId="0" borderId="6" xfId="5730" applyNumberFormat="1" applyFont="1" applyFill="1" applyBorder="1" applyAlignment="1">
      <alignment horizontal="center"/>
    </xf>
    <xf numFmtId="176" fontId="0" fillId="34" borderId="20" xfId="0" applyNumberFormat="1" applyFill="1" applyBorder="1" applyAlignment="1">
      <alignment horizontal="center"/>
    </xf>
    <xf numFmtId="169" fontId="2" fillId="2" borderId="145" xfId="5730" applyNumberFormat="1" applyFont="1" applyFill="1" applyBorder="1" applyAlignment="1">
      <alignment horizontal="center"/>
    </xf>
    <xf numFmtId="165" fontId="2" fillId="2" borderId="145" xfId="5730" applyFont="1" applyFill="1" applyBorder="1" applyAlignment="1">
      <alignment horizontal="center"/>
    </xf>
    <xf numFmtId="167" fontId="231" fillId="117" borderId="136" xfId="0" applyFont="1" applyFill="1" applyBorder="1" applyAlignment="1">
      <alignment vertical="center" wrapText="1"/>
    </xf>
    <xf numFmtId="167" fontId="231" fillId="117" borderId="116" xfId="0" applyFont="1" applyFill="1" applyBorder="1" applyAlignment="1">
      <alignment vertical="center" wrapText="1"/>
    </xf>
    <xf numFmtId="167" fontId="231" fillId="117" borderId="137" xfId="0" applyFont="1" applyFill="1" applyBorder="1" applyAlignment="1">
      <alignment vertical="center" wrapText="1"/>
    </xf>
    <xf numFmtId="167" fontId="218" fillId="115" borderId="0" xfId="0" applyFont="1" applyFill="1" applyAlignment="1">
      <alignment horizontal="center" vertical="center"/>
    </xf>
    <xf numFmtId="169" fontId="2" fillId="25" borderId="145" xfId="5730" applyNumberFormat="1" applyFont="1" applyFill="1" applyBorder="1" applyAlignment="1">
      <alignment horizontal="center"/>
    </xf>
    <xf numFmtId="169" fontId="48" fillId="0" borderId="145" xfId="5730" applyNumberFormat="1" applyFont="1" applyFill="1" applyBorder="1" applyAlignment="1">
      <alignment horizontal="center"/>
    </xf>
    <xf numFmtId="165" fontId="48" fillId="0" borderId="145" xfId="5730" applyFont="1" applyFill="1" applyBorder="1" applyAlignment="1">
      <alignment horizontal="center"/>
    </xf>
    <xf numFmtId="165" fontId="50" fillId="25" borderId="0" xfId="5730" applyFont="1" applyFill="1" applyBorder="1" applyAlignment="1">
      <alignment horizontal="right"/>
    </xf>
    <xf numFmtId="169" fontId="50" fillId="25" borderId="0" xfId="5730" applyNumberFormat="1" applyFont="1" applyFill="1" applyBorder="1" applyAlignment="1">
      <alignment horizontal="center"/>
    </xf>
    <xf numFmtId="43" fontId="50" fillId="25" borderId="136" xfId="5730" applyNumberFormat="1" applyFont="1" applyFill="1" applyBorder="1" applyAlignment="1"/>
    <xf numFmtId="43" fontId="50" fillId="25" borderId="137" xfId="5730" applyNumberFormat="1" applyFont="1" applyFill="1" applyBorder="1" applyAlignment="1"/>
    <xf numFmtId="43" fontId="50" fillId="25" borderId="0" xfId="5730" applyNumberFormat="1" applyFont="1" applyFill="1" applyBorder="1" applyAlignment="1"/>
    <xf numFmtId="165" fontId="243" fillId="0" borderId="115" xfId="2" applyFont="1" applyBorder="1" applyAlignment="1">
      <alignment horizontal="center" vertical="center"/>
    </xf>
    <xf numFmtId="167" fontId="199" fillId="25" borderId="0" xfId="0" quotePrefix="1" applyFont="1" applyFill="1" applyAlignment="1">
      <alignment horizontal="left" vertical="center" wrapText="1"/>
    </xf>
    <xf numFmtId="165" fontId="0" fillId="0" borderId="115" xfId="2" applyFont="1" applyFill="1" applyBorder="1"/>
    <xf numFmtId="0" fontId="0" fillId="0" borderId="115" xfId="2" applyNumberFormat="1" applyFont="1" applyFill="1" applyBorder="1"/>
    <xf numFmtId="2" fontId="0" fillId="0" borderId="115" xfId="2" applyNumberFormat="1" applyFont="1" applyFill="1" applyBorder="1"/>
    <xf numFmtId="165" fontId="0" fillId="0" borderId="0" xfId="2" applyFont="1" applyFill="1"/>
    <xf numFmtId="169" fontId="0" fillId="0" borderId="0" xfId="2" applyNumberFormat="1" applyFont="1" applyFill="1"/>
    <xf numFmtId="2" fontId="50" fillId="0" borderId="115" xfId="5730" applyNumberFormat="1" applyFont="1" applyBorder="1"/>
    <xf numFmtId="2" fontId="62" fillId="100" borderId="177" xfId="2" applyNumberFormat="1" applyFont="1" applyFill="1" applyBorder="1" applyAlignment="1">
      <alignment vertical="center"/>
    </xf>
    <xf numFmtId="43" fontId="62" fillId="100" borderId="157" xfId="2" applyNumberFormat="1" applyFont="1" applyFill="1" applyBorder="1" applyAlignment="1">
      <alignment vertical="center"/>
    </xf>
    <xf numFmtId="167" fontId="0" fillId="0" borderId="26" xfId="0" applyBorder="1"/>
    <xf numFmtId="167" fontId="245" fillId="2" borderId="0" xfId="10" applyFont="1" applyFill="1"/>
    <xf numFmtId="198" fontId="0" fillId="2" borderId="6" xfId="5730" applyNumberFormat="1" applyFont="1" applyFill="1" applyBorder="1"/>
    <xf numFmtId="165" fontId="0" fillId="124" borderId="115" xfId="2" applyFont="1" applyFill="1" applyBorder="1"/>
    <xf numFmtId="167" fontId="101" fillId="0" borderId="0" xfId="0" quotePrefix="1" applyFont="1" applyAlignment="1">
      <alignment vertical="center"/>
    </xf>
    <xf numFmtId="167" fontId="101" fillId="0" borderId="0" xfId="0" applyFont="1" applyAlignment="1">
      <alignment vertical="center"/>
    </xf>
    <xf numFmtId="165" fontId="0" fillId="122" borderId="115" xfId="2" applyFont="1" applyFill="1" applyBorder="1"/>
    <xf numFmtId="169" fontId="0" fillId="122" borderId="115" xfId="2" applyNumberFormat="1" applyFont="1" applyFill="1" applyBorder="1"/>
    <xf numFmtId="165" fontId="241" fillId="0" borderId="115" xfId="2" applyFont="1" applyBorder="1" applyAlignment="1">
      <alignment horizontal="center" vertical="center"/>
    </xf>
    <xf numFmtId="195" fontId="43" fillId="0" borderId="26" xfId="2" applyNumberFormat="1" applyFont="1" applyBorder="1"/>
    <xf numFmtId="195" fontId="0" fillId="0" borderId="115" xfId="2" applyNumberFormat="1" applyFont="1" applyBorder="1"/>
    <xf numFmtId="2" fontId="62" fillId="100" borderId="0" xfId="2" applyNumberFormat="1" applyFont="1" applyFill="1" applyAlignment="1">
      <alignment vertical="center"/>
    </xf>
    <xf numFmtId="165" fontId="43" fillId="0" borderId="19" xfId="2" applyFont="1" applyFill="1" applyBorder="1"/>
    <xf numFmtId="205" fontId="222" fillId="40" borderId="178" xfId="0" applyNumberFormat="1" applyFont="1" applyFill="1" applyBorder="1" applyAlignment="1">
      <alignment horizontal="center" vertical="center"/>
    </xf>
    <xf numFmtId="167" fontId="246" fillId="2" borderId="0" xfId="10" applyFont="1" applyFill="1"/>
    <xf numFmtId="205" fontId="0" fillId="2" borderId="6" xfId="0" applyNumberFormat="1" applyFill="1" applyBorder="1"/>
    <xf numFmtId="205" fontId="0" fillId="2" borderId="8" xfId="0" applyNumberFormat="1" applyFill="1" applyBorder="1"/>
    <xf numFmtId="43" fontId="4" fillId="122" borderId="8" xfId="3022" applyFont="1" applyFill="1" applyBorder="1" applyAlignment="1">
      <alignment horizontal="right" vertical="center"/>
    </xf>
    <xf numFmtId="166" fontId="4" fillId="122" borderId="8" xfId="3022" applyNumberFormat="1" applyFont="1" applyFill="1" applyBorder="1" applyAlignment="1">
      <alignment horizontal="right" vertical="center"/>
    </xf>
    <xf numFmtId="213" fontId="0" fillId="2" borderId="0" xfId="12" applyNumberFormat="1" applyFont="1" applyFill="1"/>
    <xf numFmtId="167" fontId="247" fillId="2" borderId="0" xfId="10" applyFont="1" applyFill="1"/>
    <xf numFmtId="175" fontId="45" fillId="25" borderId="137" xfId="5730" applyNumberFormat="1" applyFont="1" applyFill="1" applyBorder="1" applyAlignment="1"/>
    <xf numFmtId="165" fontId="45" fillId="25" borderId="137" xfId="5730" applyFont="1" applyFill="1" applyBorder="1" applyAlignment="1"/>
    <xf numFmtId="1" fontId="50" fillId="0" borderId="115" xfId="5730" applyNumberFormat="1" applyFont="1" applyBorder="1"/>
    <xf numFmtId="1" fontId="62" fillId="100" borderId="177" xfId="2" applyNumberFormat="1" applyFont="1" applyFill="1" applyBorder="1" applyAlignment="1">
      <alignment vertical="center"/>
    </xf>
    <xf numFmtId="211" fontId="217" fillId="25" borderId="26" xfId="0" applyNumberFormat="1" applyFont="1" applyFill="1" applyBorder="1" applyAlignment="1">
      <alignment horizontal="center"/>
    </xf>
    <xf numFmtId="167" fontId="0" fillId="0" borderId="0" xfId="0" quotePrefix="1" applyAlignment="1">
      <alignment vertical="center"/>
    </xf>
    <xf numFmtId="167" fontId="248" fillId="2" borderId="0" xfId="10" applyFont="1" applyFill="1"/>
    <xf numFmtId="165" fontId="2" fillId="2" borderId="0" xfId="2" applyFont="1" applyFill="1" applyBorder="1" applyAlignment="1">
      <alignment horizontal="center"/>
    </xf>
    <xf numFmtId="169" fontId="51" fillId="125" borderId="115" xfId="2" applyNumberFormat="1" applyFont="1" applyFill="1" applyBorder="1"/>
    <xf numFmtId="167" fontId="0" fillId="0" borderId="0" xfId="0" quotePrefix="1" applyAlignment="1">
      <alignment horizontal="left" vertical="center" wrapText="1"/>
    </xf>
    <xf numFmtId="167" fontId="0" fillId="0" borderId="0" xfId="0" quotePrefix="1" applyAlignment="1">
      <alignment horizontal="left" vertical="center"/>
    </xf>
    <xf numFmtId="167" fontId="109" fillId="25" borderId="0" xfId="0" applyFont="1" applyFill="1" applyAlignment="1">
      <alignment horizontal="center" vertical="center"/>
    </xf>
    <xf numFmtId="167" fontId="62" fillId="100" borderId="163" xfId="0" applyFont="1" applyFill="1" applyBorder="1" applyAlignment="1">
      <alignment horizontal="center" vertical="center" wrapText="1"/>
    </xf>
    <xf numFmtId="167" fontId="62" fillId="100" borderId="164" xfId="0" applyFont="1" applyFill="1" applyBorder="1" applyAlignment="1">
      <alignment horizontal="center" vertical="center" wrapText="1"/>
    </xf>
    <xf numFmtId="167" fontId="62" fillId="100" borderId="167" xfId="0" applyFont="1" applyFill="1" applyBorder="1" applyAlignment="1">
      <alignment horizontal="center" vertical="center" wrapText="1"/>
    </xf>
    <xf numFmtId="167" fontId="62" fillId="100" borderId="118" xfId="0" applyFont="1" applyFill="1" applyBorder="1" applyAlignment="1">
      <alignment horizontal="center" vertical="center" wrapText="1"/>
    </xf>
    <xf numFmtId="167" fontId="62" fillId="100" borderId="124" xfId="0" applyFont="1" applyFill="1" applyBorder="1" applyAlignment="1">
      <alignment horizontal="center" vertical="center"/>
    </xf>
    <xf numFmtId="167" fontId="62" fillId="100" borderId="125" xfId="0" applyFont="1" applyFill="1" applyBorder="1" applyAlignment="1">
      <alignment horizontal="center" vertical="center"/>
    </xf>
    <xf numFmtId="167" fontId="62" fillId="100" borderId="126" xfId="0" applyFont="1" applyFill="1" applyBorder="1" applyAlignment="1">
      <alignment horizontal="center" vertical="center"/>
    </xf>
    <xf numFmtId="167" fontId="62" fillId="100" borderId="160" xfId="0" applyFont="1" applyFill="1" applyBorder="1" applyAlignment="1">
      <alignment horizontal="center" vertical="center"/>
    </xf>
    <xf numFmtId="167" fontId="62" fillId="100" borderId="162" xfId="0" applyFont="1" applyFill="1" applyBorder="1" applyAlignment="1">
      <alignment horizontal="center" vertical="center"/>
    </xf>
    <xf numFmtId="167" fontId="62" fillId="100" borderId="161" xfId="0" applyFont="1" applyFill="1" applyBorder="1" applyAlignment="1">
      <alignment horizontal="center" vertical="center"/>
    </xf>
    <xf numFmtId="1" fontId="183" fillId="25" borderId="136" xfId="0" applyNumberFormat="1" applyFont="1" applyFill="1" applyBorder="1" applyAlignment="1">
      <alignment horizontal="center" vertical="center"/>
    </xf>
    <xf numFmtId="1" fontId="183" fillId="25" borderId="116" xfId="0" applyNumberFormat="1" applyFont="1" applyFill="1" applyBorder="1" applyAlignment="1">
      <alignment horizontal="center" vertical="center"/>
    </xf>
    <xf numFmtId="1" fontId="183" fillId="25" borderId="137" xfId="0" applyNumberFormat="1" applyFont="1" applyFill="1" applyBorder="1" applyAlignment="1">
      <alignment horizontal="center" vertical="center"/>
    </xf>
    <xf numFmtId="0" fontId="184" fillId="25" borderId="0" xfId="3596" applyFont="1" applyFill="1" applyBorder="1" applyAlignment="1" applyProtection="1">
      <alignment horizontal="center" vertical="center"/>
    </xf>
    <xf numFmtId="167" fontId="182" fillId="25" borderId="0" xfId="0" applyFont="1" applyFill="1" applyAlignment="1">
      <alignment horizontal="center"/>
    </xf>
    <xf numFmtId="167" fontId="182" fillId="25" borderId="0" xfId="0" applyFont="1" applyFill="1" applyAlignment="1">
      <alignment horizontal="center" vertical="center"/>
    </xf>
    <xf numFmtId="167" fontId="182" fillId="25" borderId="4" xfId="0" applyFont="1" applyFill="1" applyBorder="1" applyAlignment="1">
      <alignment horizontal="center" vertical="center"/>
    </xf>
    <xf numFmtId="167" fontId="180" fillId="25" borderId="0" xfId="0" applyFont="1" applyFill="1" applyAlignment="1">
      <alignment horizontal="left"/>
    </xf>
    <xf numFmtId="167" fontId="180" fillId="25" borderId="0" xfId="0" applyFont="1" applyFill="1" applyAlignment="1">
      <alignment horizontal="center"/>
    </xf>
    <xf numFmtId="167" fontId="183" fillId="25" borderId="136" xfId="0" applyFont="1" applyFill="1" applyBorder="1" applyAlignment="1">
      <alignment horizontal="center"/>
    </xf>
    <xf numFmtId="167" fontId="183" fillId="25" borderId="116" xfId="0" applyFont="1" applyFill="1" applyBorder="1" applyAlignment="1">
      <alignment horizontal="center"/>
    </xf>
    <xf numFmtId="167" fontId="183" fillId="25" borderId="137" xfId="0" applyFont="1" applyFill="1" applyBorder="1" applyAlignment="1">
      <alignment horizontal="center"/>
    </xf>
    <xf numFmtId="167" fontId="181" fillId="25" borderId="0" xfId="0" applyFont="1" applyFill="1" applyAlignment="1">
      <alignment horizontal="center" vertical="center"/>
    </xf>
    <xf numFmtId="167" fontId="0" fillId="39" borderId="0" xfId="0" quotePrefix="1" applyFill="1" applyAlignment="1">
      <alignment horizontal="left" vertical="top" wrapText="1" indent="1"/>
    </xf>
    <xf numFmtId="165" fontId="43" fillId="34" borderId="136" xfId="5730" applyFont="1" applyFill="1" applyBorder="1" applyAlignment="1">
      <alignment horizontal="center"/>
    </xf>
    <xf numFmtId="165" fontId="43" fillId="34" borderId="137" xfId="5730" applyFont="1" applyFill="1" applyBorder="1" applyAlignment="1">
      <alignment horizontal="center"/>
    </xf>
    <xf numFmtId="169" fontId="43" fillId="34" borderId="136" xfId="5730" applyNumberFormat="1" applyFont="1" applyFill="1" applyBorder="1" applyAlignment="1">
      <alignment horizontal="center"/>
    </xf>
    <xf numFmtId="169" fontId="43" fillId="34" borderId="137" xfId="5730" applyNumberFormat="1" applyFont="1" applyFill="1" applyBorder="1" applyAlignment="1">
      <alignment horizontal="center"/>
    </xf>
    <xf numFmtId="167" fontId="199" fillId="25" borderId="0" xfId="0" quotePrefix="1" applyFont="1" applyFill="1" applyAlignment="1">
      <alignment horizontal="left" vertical="top" wrapText="1"/>
    </xf>
    <xf numFmtId="167" fontId="213" fillId="25" borderId="0" xfId="0" quotePrefix="1" applyFont="1" applyFill="1" applyAlignment="1">
      <alignment horizontal="left" wrapText="1"/>
    </xf>
    <xf numFmtId="165" fontId="50" fillId="25" borderId="136" xfId="5730" applyFont="1" applyFill="1" applyBorder="1" applyAlignment="1">
      <alignment horizontal="center"/>
    </xf>
    <xf numFmtId="165" fontId="50" fillId="25" borderId="137" xfId="5730" applyFont="1" applyFill="1" applyBorder="1" applyAlignment="1">
      <alignment horizontal="center"/>
    </xf>
    <xf numFmtId="169" fontId="43" fillId="34" borderId="136" xfId="2" applyNumberFormat="1" applyFont="1" applyFill="1" applyBorder="1" applyAlignment="1">
      <alignment horizontal="center"/>
    </xf>
    <xf numFmtId="169" fontId="43" fillId="34" borderId="137" xfId="2" applyNumberFormat="1" applyFont="1" applyFill="1" applyBorder="1" applyAlignment="1">
      <alignment horizontal="center"/>
    </xf>
    <xf numFmtId="169" fontId="50" fillId="25" borderId="136" xfId="5730" applyNumberFormat="1" applyFont="1" applyFill="1" applyBorder="1" applyAlignment="1">
      <alignment horizontal="center"/>
    </xf>
    <xf numFmtId="169" fontId="50" fillId="25" borderId="137" xfId="5730" applyNumberFormat="1" applyFont="1" applyFill="1" applyBorder="1" applyAlignment="1">
      <alignment horizontal="center"/>
    </xf>
    <xf numFmtId="167" fontId="62" fillId="100" borderId="165" xfId="0" applyFont="1" applyFill="1" applyBorder="1" applyAlignment="1">
      <alignment horizontal="center" vertical="center"/>
    </xf>
    <xf numFmtId="167" fontId="62" fillId="100" borderId="166" xfId="0" applyFont="1" applyFill="1" applyBorder="1" applyAlignment="1">
      <alignment horizontal="center" vertical="center"/>
    </xf>
    <xf numFmtId="167" fontId="62" fillId="100" borderId="169" xfId="0" applyFont="1" applyFill="1" applyBorder="1" applyAlignment="1">
      <alignment horizontal="center" vertical="center"/>
    </xf>
    <xf numFmtId="167" fontId="62" fillId="100" borderId="159" xfId="0" applyFont="1" applyFill="1" applyBorder="1" applyAlignment="1">
      <alignment horizontal="center" vertical="center"/>
    </xf>
    <xf numFmtId="167" fontId="62" fillId="100" borderId="168" xfId="0" applyFont="1" applyFill="1" applyBorder="1" applyAlignment="1">
      <alignment horizontal="center" vertical="center"/>
    </xf>
    <xf numFmtId="167" fontId="62" fillId="100" borderId="170" xfId="0" applyFont="1" applyFill="1" applyBorder="1" applyAlignment="1">
      <alignment horizontal="center" vertical="center"/>
    </xf>
    <xf numFmtId="167" fontId="0" fillId="2" borderId="0" xfId="0" applyFill="1" applyAlignment="1">
      <alignment horizontal="center" wrapText="1"/>
    </xf>
    <xf numFmtId="167" fontId="9" fillId="37" borderId="116" xfId="11" applyFont="1" applyFill="1" applyBorder="1" applyAlignment="1">
      <alignment horizontal="right"/>
    </xf>
    <xf numFmtId="167" fontId="9" fillId="37" borderId="137" xfId="11" applyFont="1" applyFill="1" applyBorder="1" applyAlignment="1">
      <alignment horizontal="right"/>
    </xf>
    <xf numFmtId="167" fontId="9" fillId="33" borderId="116" xfId="11" applyFont="1" applyFill="1" applyBorder="1" applyAlignment="1">
      <alignment horizontal="center"/>
    </xf>
    <xf numFmtId="167" fontId="9" fillId="33" borderId="137" xfId="11" applyFont="1" applyFill="1" applyBorder="1" applyAlignment="1">
      <alignment horizontal="center"/>
    </xf>
    <xf numFmtId="167" fontId="59" fillId="2" borderId="115" xfId="0" applyFont="1" applyFill="1" applyBorder="1" applyAlignment="1">
      <alignment horizontal="left"/>
    </xf>
    <xf numFmtId="167" fontId="59" fillId="25" borderId="115" xfId="0" applyFont="1" applyFill="1" applyBorder="1" applyAlignment="1">
      <alignment horizontal="left"/>
    </xf>
    <xf numFmtId="167" fontId="43" fillId="2" borderId="115" xfId="0" applyFont="1" applyFill="1" applyBorder="1" applyAlignment="1">
      <alignment horizontal="center"/>
    </xf>
    <xf numFmtId="167" fontId="15" fillId="2" borderId="115" xfId="0" applyFont="1" applyFill="1" applyBorder="1" applyAlignment="1">
      <alignment horizontal="center"/>
    </xf>
    <xf numFmtId="167" fontId="17" fillId="2" borderId="115" xfId="0" applyFont="1" applyFill="1" applyBorder="1" applyAlignment="1">
      <alignment horizontal="center"/>
    </xf>
    <xf numFmtId="167" fontId="14" fillId="2" borderId="3" xfId="0" applyFont="1" applyFill="1" applyBorder="1" applyAlignment="1">
      <alignment horizontal="center" vertical="center" wrapText="1"/>
    </xf>
    <xf numFmtId="167" fontId="14" fillId="2" borderId="156" xfId="0" applyFont="1" applyFill="1" applyBorder="1" applyAlignment="1">
      <alignment horizontal="center" vertical="center" wrapText="1"/>
    </xf>
    <xf numFmtId="167" fontId="14" fillId="2" borderId="30" xfId="0" applyFont="1" applyFill="1" applyBorder="1" applyAlignment="1">
      <alignment horizontal="center" vertical="center" wrapText="1"/>
    </xf>
    <xf numFmtId="167" fontId="14" fillId="2" borderId="18" xfId="0" applyFont="1" applyFill="1" applyBorder="1" applyAlignment="1">
      <alignment horizontal="center" vertical="center" wrapText="1"/>
    </xf>
    <xf numFmtId="167" fontId="14" fillId="2" borderId="21" xfId="0" applyFont="1" applyFill="1" applyBorder="1" applyAlignment="1">
      <alignment horizontal="center" vertical="center" wrapText="1"/>
    </xf>
    <xf numFmtId="167" fontId="14" fillId="2" borderId="9" xfId="0" applyFont="1" applyFill="1" applyBorder="1" applyAlignment="1">
      <alignment horizontal="center" vertical="center" wrapText="1"/>
    </xf>
    <xf numFmtId="167" fontId="18" fillId="8" borderId="145" xfId="11" applyFont="1" applyFill="1" applyBorder="1" applyAlignment="1">
      <alignment horizontal="center" vertical="center" wrapText="1"/>
    </xf>
    <xf numFmtId="167" fontId="18" fillId="8" borderId="19" xfId="11" applyFont="1" applyFill="1" applyBorder="1" applyAlignment="1">
      <alignment horizontal="center" vertical="center" wrapText="1"/>
    </xf>
    <xf numFmtId="167" fontId="18" fillId="8" borderId="26" xfId="11" applyFont="1" applyFill="1" applyBorder="1" applyAlignment="1">
      <alignment horizontal="center" vertical="center" wrapText="1"/>
    </xf>
    <xf numFmtId="167" fontId="18" fillId="8" borderId="19" xfId="11" applyFont="1" applyFill="1" applyBorder="1" applyAlignment="1">
      <alignment horizontal="center" vertical="center"/>
    </xf>
    <xf numFmtId="167" fontId="18" fillId="8" borderId="26" xfId="11" applyFont="1" applyFill="1" applyBorder="1" applyAlignment="1">
      <alignment horizontal="center" vertical="center"/>
    </xf>
    <xf numFmtId="167" fontId="40" fillId="2" borderId="115" xfId="0" applyFont="1" applyFill="1" applyBorder="1" applyAlignment="1">
      <alignment horizontal="center" vertical="center"/>
    </xf>
    <xf numFmtId="1" fontId="17" fillId="14" borderId="136" xfId="0" applyNumberFormat="1" applyFont="1" applyFill="1" applyBorder="1" applyAlignment="1">
      <alignment horizontal="center"/>
    </xf>
    <xf numFmtId="1" fontId="17" fillId="14" borderId="137" xfId="0" applyNumberFormat="1" applyFont="1" applyFill="1" applyBorder="1" applyAlignment="1">
      <alignment horizontal="center"/>
    </xf>
    <xf numFmtId="167" fontId="16" fillId="6" borderId="78" xfId="0" applyFont="1" applyFill="1" applyBorder="1" applyAlignment="1">
      <alignment horizontal="center" vertical="center"/>
    </xf>
    <xf numFmtId="167" fontId="13" fillId="18" borderId="55" xfId="0" applyFont="1" applyFill="1" applyBorder="1" applyAlignment="1">
      <alignment horizontal="center"/>
    </xf>
    <xf numFmtId="167" fontId="13" fillId="18" borderId="63" xfId="0" applyFont="1" applyFill="1" applyBorder="1" applyAlignment="1">
      <alignment horizontal="center"/>
    </xf>
    <xf numFmtId="167" fontId="16" fillId="6" borderId="36" xfId="0" applyFont="1" applyFill="1" applyBorder="1" applyAlignment="1">
      <alignment horizontal="center"/>
    </xf>
    <xf numFmtId="167" fontId="16" fillId="6" borderId="84" xfId="0" applyFont="1" applyFill="1" applyBorder="1" applyAlignment="1">
      <alignment horizontal="center"/>
    </xf>
    <xf numFmtId="167" fontId="13" fillId="18" borderId="10" xfId="0" applyFont="1" applyFill="1" applyBorder="1" applyAlignment="1">
      <alignment horizontal="center"/>
    </xf>
    <xf numFmtId="167" fontId="13" fillId="18" borderId="35" xfId="0" applyFont="1" applyFill="1" applyBorder="1" applyAlignment="1">
      <alignment horizontal="center"/>
    </xf>
    <xf numFmtId="167" fontId="13" fillId="18" borderId="119" xfId="0" applyFont="1" applyFill="1" applyBorder="1" applyAlignment="1">
      <alignment horizontal="center"/>
    </xf>
    <xf numFmtId="167" fontId="13" fillId="18" borderId="144" xfId="0" applyFont="1" applyFill="1" applyBorder="1" applyAlignment="1">
      <alignment horizontal="center"/>
    </xf>
    <xf numFmtId="167" fontId="40" fillId="18" borderId="131" xfId="0" applyFont="1" applyFill="1" applyBorder="1" applyAlignment="1">
      <alignment horizontal="center" vertical="center"/>
    </xf>
    <xf numFmtId="167" fontId="40" fillId="18" borderId="17" xfId="0" applyFont="1" applyFill="1" applyBorder="1" applyAlignment="1">
      <alignment horizontal="center" vertical="center"/>
    </xf>
    <xf numFmtId="167" fontId="40" fillId="18" borderId="108" xfId="0" applyFont="1" applyFill="1" applyBorder="1" applyAlignment="1">
      <alignment horizontal="center" vertical="center"/>
    </xf>
    <xf numFmtId="167" fontId="16" fillId="6" borderId="140" xfId="0" applyFont="1" applyFill="1" applyBorder="1" applyAlignment="1">
      <alignment horizontal="center"/>
    </xf>
    <xf numFmtId="167" fontId="16" fillId="6" borderId="85" xfId="0" applyFont="1" applyFill="1" applyBorder="1" applyAlignment="1">
      <alignment horizontal="center"/>
    </xf>
    <xf numFmtId="167" fontId="23" fillId="6" borderId="115" xfId="0" applyFont="1" applyFill="1" applyBorder="1" applyAlignment="1">
      <alignment horizontal="center"/>
    </xf>
    <xf numFmtId="43" fontId="0" fillId="2" borderId="145" xfId="0" applyNumberFormat="1" applyFill="1" applyBorder="1" applyAlignment="1">
      <alignment horizontal="center" vertical="center"/>
    </xf>
    <xf numFmtId="43" fontId="0" fillId="2" borderId="19" xfId="0" applyNumberFormat="1" applyFill="1" applyBorder="1" applyAlignment="1">
      <alignment horizontal="center" vertical="center"/>
    </xf>
    <xf numFmtId="43" fontId="0" fillId="2" borderId="26" xfId="0" applyNumberFormat="1" applyFill="1" applyBorder="1" applyAlignment="1">
      <alignment horizontal="center" vertical="center"/>
    </xf>
    <xf numFmtId="167" fontId="40" fillId="2" borderId="145" xfId="0" applyFont="1" applyFill="1" applyBorder="1" applyAlignment="1">
      <alignment horizontal="center" vertical="center"/>
    </xf>
    <xf numFmtId="167" fontId="40" fillId="2" borderId="19" xfId="0" applyFont="1" applyFill="1" applyBorder="1" applyAlignment="1">
      <alignment horizontal="center" vertical="center"/>
    </xf>
    <xf numFmtId="167" fontId="40" fillId="2" borderId="26" xfId="0" applyFont="1" applyFill="1" applyBorder="1" applyAlignment="1">
      <alignment horizontal="center" vertical="center"/>
    </xf>
    <xf numFmtId="167" fontId="0" fillId="2" borderId="41" xfId="0" applyFill="1" applyBorder="1" applyAlignment="1">
      <alignment horizontal="center"/>
    </xf>
    <xf numFmtId="167" fontId="0" fillId="2" borderId="18" xfId="0" applyFill="1" applyBorder="1" applyAlignment="1">
      <alignment horizontal="center"/>
    </xf>
    <xf numFmtId="167" fontId="14" fillId="2" borderId="155" xfId="0" applyFont="1" applyFill="1" applyBorder="1" applyAlignment="1">
      <alignment horizontal="center" vertical="center" wrapText="1"/>
    </xf>
    <xf numFmtId="167" fontId="14" fillId="2" borderId="0" xfId="0" applyFont="1" applyFill="1" applyAlignment="1">
      <alignment horizontal="center" vertical="center" wrapText="1"/>
    </xf>
    <xf numFmtId="167" fontId="14" fillId="2" borderId="4" xfId="0" applyFont="1" applyFill="1" applyBorder="1" applyAlignment="1">
      <alignment horizontal="center" vertical="center" wrapText="1"/>
    </xf>
    <xf numFmtId="167" fontId="14" fillId="2" borderId="115" xfId="0" applyFont="1" applyFill="1" applyBorder="1" applyAlignment="1">
      <alignment horizontal="left"/>
    </xf>
    <xf numFmtId="167" fontId="240" fillId="33" borderId="115" xfId="10" applyFont="1" applyFill="1" applyBorder="1" applyAlignment="1">
      <alignment horizontal="center" vertical="center" wrapText="1"/>
    </xf>
    <xf numFmtId="167" fontId="235" fillId="119" borderId="136" xfId="10" applyFont="1" applyFill="1" applyBorder="1" applyAlignment="1">
      <alignment horizontal="center" vertical="center"/>
    </xf>
    <xf numFmtId="167" fontId="235" fillId="119" borderId="137" xfId="10" applyFont="1" applyFill="1" applyBorder="1" applyAlignment="1">
      <alignment horizontal="center" vertical="center"/>
    </xf>
    <xf numFmtId="167" fontId="235" fillId="122" borderId="145" xfId="10" applyFont="1" applyFill="1" applyBorder="1" applyAlignment="1">
      <alignment horizontal="center" vertical="center" wrapText="1"/>
    </xf>
    <xf numFmtId="167" fontId="235" fillId="122" borderId="19" xfId="10" applyFont="1" applyFill="1" applyBorder="1" applyAlignment="1">
      <alignment horizontal="center" vertical="center" wrapText="1"/>
    </xf>
    <xf numFmtId="167" fontId="235" fillId="121" borderId="115" xfId="10" applyFont="1" applyFill="1" applyBorder="1" applyAlignment="1">
      <alignment horizontal="center" vertical="center" wrapText="1"/>
    </xf>
    <xf numFmtId="167" fontId="31" fillId="7" borderId="145" xfId="10" applyFont="1" applyFill="1" applyBorder="1" applyAlignment="1">
      <alignment horizontal="center" vertical="center"/>
    </xf>
    <xf numFmtId="167" fontId="31" fillId="7" borderId="19" xfId="10" applyFont="1" applyFill="1" applyBorder="1" applyAlignment="1">
      <alignment horizontal="center" vertical="center"/>
    </xf>
    <xf numFmtId="167" fontId="31" fillId="7" borderId="26" xfId="10" applyFont="1" applyFill="1" applyBorder="1" applyAlignment="1">
      <alignment horizontal="center" vertical="center"/>
    </xf>
    <xf numFmtId="167" fontId="31" fillId="13" borderId="115" xfId="10" applyFont="1" applyFill="1" applyBorder="1" applyAlignment="1" applyProtection="1">
      <alignment horizontal="center"/>
      <protection locked="0"/>
    </xf>
    <xf numFmtId="167" fontId="235" fillId="43" borderId="136" xfId="10" applyFont="1" applyFill="1" applyBorder="1" applyAlignment="1">
      <alignment horizontal="center" vertical="center"/>
    </xf>
    <xf numFmtId="167" fontId="235" fillId="43" borderId="137" xfId="10" applyFont="1" applyFill="1" applyBorder="1" applyAlignment="1">
      <alignment horizontal="center" vertical="center"/>
    </xf>
    <xf numFmtId="167" fontId="235" fillId="114" borderId="136" xfId="10" applyFont="1" applyFill="1" applyBorder="1" applyAlignment="1">
      <alignment horizontal="center" vertical="center"/>
    </xf>
    <xf numFmtId="167" fontId="235" fillId="114" borderId="137" xfId="10" applyFont="1" applyFill="1" applyBorder="1" applyAlignment="1">
      <alignment horizontal="center" vertical="center"/>
    </xf>
    <xf numFmtId="167" fontId="235" fillId="48" borderId="136" xfId="10" applyFont="1" applyFill="1" applyBorder="1" applyAlignment="1">
      <alignment horizontal="center" vertical="center"/>
    </xf>
    <xf numFmtId="167" fontId="235" fillId="48" borderId="137" xfId="10" applyFont="1" applyFill="1" applyBorder="1" applyAlignment="1">
      <alignment horizontal="center" vertical="center"/>
    </xf>
    <xf numFmtId="167" fontId="234" fillId="2" borderId="145" xfId="10" applyFont="1" applyFill="1" applyBorder="1" applyAlignment="1">
      <alignment horizontal="center" vertical="center"/>
    </xf>
    <xf numFmtId="167" fontId="234" fillId="2" borderId="19" xfId="10" applyFont="1" applyFill="1" applyBorder="1" applyAlignment="1">
      <alignment horizontal="center" vertical="center"/>
    </xf>
    <xf numFmtId="167" fontId="18" fillId="3" borderId="115" xfId="10" applyFont="1" applyFill="1" applyBorder="1" applyAlignment="1">
      <alignment horizontal="center"/>
    </xf>
    <xf numFmtId="167" fontId="18" fillId="12" borderId="115" xfId="10" applyFont="1" applyFill="1" applyBorder="1" applyAlignment="1">
      <alignment horizontal="center"/>
    </xf>
    <xf numFmtId="16" fontId="0" fillId="48" borderId="3" xfId="257" applyNumberFormat="1" applyFont="1" applyFill="1" applyBorder="1" applyAlignment="1">
      <alignment horizontal="center"/>
    </xf>
    <xf numFmtId="16" fontId="0" fillId="48" borderId="155" xfId="257" applyNumberFormat="1" applyFont="1" applyFill="1" applyBorder="1" applyAlignment="1">
      <alignment horizontal="center"/>
    </xf>
    <xf numFmtId="166" fontId="105" fillId="41" borderId="145" xfId="143" applyNumberFormat="1" applyFont="1" applyFill="1" applyBorder="1" applyAlignment="1">
      <alignment horizontal="center" vertical="center"/>
    </xf>
    <xf numFmtId="166" fontId="105" fillId="41" borderId="26" xfId="143" applyNumberFormat="1" applyFont="1" applyFill="1" applyBorder="1" applyAlignment="1">
      <alignment horizontal="center" vertical="center"/>
    </xf>
    <xf numFmtId="16" fontId="50" fillId="48" borderId="155" xfId="257" applyNumberFormat="1" applyFill="1" applyBorder="1" applyAlignment="1">
      <alignment horizontal="center"/>
    </xf>
    <xf numFmtId="16" fontId="0" fillId="48" borderId="156" xfId="257" applyNumberFormat="1" applyFont="1" applyFill="1" applyBorder="1" applyAlignment="1">
      <alignment horizontal="center"/>
    </xf>
    <xf numFmtId="0" fontId="50" fillId="0" borderId="145" xfId="257" applyBorder="1" applyAlignment="1">
      <alignment horizontal="center"/>
    </xf>
    <xf numFmtId="0" fontId="50" fillId="0" borderId="26" xfId="257" applyBorder="1" applyAlignment="1">
      <alignment horizontal="center"/>
    </xf>
    <xf numFmtId="17" fontId="105" fillId="41" borderId="145" xfId="143" applyNumberFormat="1" applyFont="1" applyFill="1" applyBorder="1" applyAlignment="1">
      <alignment horizontal="center" vertical="center"/>
    </xf>
    <xf numFmtId="17" fontId="105" fillId="41" borderId="26" xfId="143" applyNumberFormat="1" applyFont="1" applyFill="1" applyBorder="1" applyAlignment="1">
      <alignment horizontal="center" vertical="center"/>
    </xf>
    <xf numFmtId="167" fontId="223" fillId="116" borderId="115" xfId="0" applyFont="1" applyFill="1" applyBorder="1" applyAlignment="1">
      <alignment horizontal="center"/>
    </xf>
    <xf numFmtId="167" fontId="62" fillId="100" borderId="127" xfId="0" applyFont="1" applyFill="1" applyBorder="1" applyAlignment="1">
      <alignment horizontal="center" vertical="center"/>
    </xf>
    <xf numFmtId="167" fontId="62" fillId="100" borderId="128" xfId="0" applyFont="1" applyFill="1" applyBorder="1" applyAlignment="1">
      <alignment horizontal="center" vertical="center"/>
    </xf>
    <xf numFmtId="167" fontId="172" fillId="100" borderId="96" xfId="0" applyFont="1" applyFill="1" applyBorder="1" applyAlignment="1">
      <alignment horizontal="center" vertical="center"/>
    </xf>
    <xf numFmtId="167" fontId="172" fillId="100" borderId="98" xfId="0" applyFont="1" applyFill="1" applyBorder="1" applyAlignment="1">
      <alignment horizontal="center" vertical="center"/>
    </xf>
    <xf numFmtId="167" fontId="172" fillId="100" borderId="97" xfId="0" applyFont="1" applyFill="1" applyBorder="1" applyAlignment="1">
      <alignment horizontal="center" vertical="center"/>
    </xf>
    <xf numFmtId="167" fontId="172" fillId="100" borderId="99" xfId="0" applyFont="1" applyFill="1" applyBorder="1" applyAlignment="1">
      <alignment horizontal="center" vertical="center"/>
    </xf>
    <xf numFmtId="167" fontId="172" fillId="100" borderId="0" xfId="0" applyFont="1" applyFill="1" applyAlignment="1">
      <alignment horizontal="center" vertical="center"/>
    </xf>
    <xf numFmtId="167" fontId="172" fillId="100" borderId="117" xfId="0" applyFont="1" applyFill="1" applyBorder="1" applyAlignment="1">
      <alignment horizontal="center" vertical="center"/>
    </xf>
    <xf numFmtId="167" fontId="172" fillId="100" borderId="4" xfId="0" applyFont="1" applyFill="1" applyBorder="1" applyAlignment="1">
      <alignment horizontal="center" vertical="center"/>
    </xf>
    <xf numFmtId="167" fontId="172" fillId="100" borderId="118" xfId="0" applyFont="1" applyFill="1" applyBorder="1" applyAlignment="1">
      <alignment horizontal="center" vertical="center"/>
    </xf>
    <xf numFmtId="43" fontId="0" fillId="42" borderId="147" xfId="173" applyFont="1" applyFill="1" applyBorder="1" applyAlignment="1">
      <alignment horizontal="center"/>
    </xf>
    <xf numFmtId="43" fontId="0" fillId="42" borderId="116" xfId="173" applyFont="1" applyFill="1" applyBorder="1" applyAlignment="1">
      <alignment horizontal="center"/>
    </xf>
    <xf numFmtId="43" fontId="0" fillId="25" borderId="115" xfId="173" applyFont="1" applyFill="1" applyBorder="1" applyAlignment="1">
      <alignment horizontal="center"/>
    </xf>
    <xf numFmtId="43" fontId="0" fillId="25" borderId="136" xfId="173" applyFont="1" applyFill="1" applyBorder="1" applyAlignment="1">
      <alignment horizontal="center"/>
    </xf>
    <xf numFmtId="43" fontId="0" fillId="25" borderId="36" xfId="173" applyFont="1" applyFill="1" applyBorder="1" applyAlignment="1">
      <alignment horizontal="center"/>
    </xf>
    <xf numFmtId="43" fontId="0" fillId="25" borderId="37" xfId="173" applyFont="1" applyFill="1" applyBorder="1" applyAlignment="1">
      <alignment horizontal="center"/>
    </xf>
    <xf numFmtId="43" fontId="0" fillId="25" borderId="38" xfId="173" applyFont="1" applyFill="1" applyBorder="1" applyAlignment="1">
      <alignment horizontal="center"/>
    </xf>
    <xf numFmtId="43" fontId="4" fillId="25" borderId="136" xfId="173" applyFont="1" applyFill="1" applyBorder="1" applyAlignment="1">
      <alignment horizontal="center"/>
    </xf>
    <xf numFmtId="43" fontId="4" fillId="25" borderId="116" xfId="173" applyFont="1" applyFill="1" applyBorder="1" applyAlignment="1">
      <alignment horizontal="center"/>
    </xf>
    <xf numFmtId="43" fontId="4" fillId="25" borderId="137" xfId="173" applyFont="1" applyFill="1" applyBorder="1" applyAlignment="1">
      <alignment horizontal="center"/>
    </xf>
    <xf numFmtId="43" fontId="4" fillId="25" borderId="147" xfId="173" applyFont="1" applyFill="1" applyBorder="1" applyAlignment="1">
      <alignment horizontal="center"/>
    </xf>
    <xf numFmtId="43" fontId="4" fillId="25" borderId="148" xfId="173" applyFont="1" applyFill="1" applyBorder="1" applyAlignment="1">
      <alignment horizontal="center"/>
    </xf>
    <xf numFmtId="167" fontId="10" fillId="26" borderId="136" xfId="0" applyFont="1" applyFill="1" applyBorder="1" applyAlignment="1">
      <alignment horizontal="left"/>
    </xf>
    <xf numFmtId="167" fontId="10" fillId="26" borderId="137" xfId="0" applyFont="1" applyFill="1" applyBorder="1" applyAlignment="1">
      <alignment horizontal="left"/>
    </xf>
    <xf numFmtId="167" fontId="8" fillId="3" borderId="136" xfId="0" applyFont="1" applyFill="1" applyBorder="1" applyAlignment="1">
      <alignment horizontal="center"/>
    </xf>
    <xf numFmtId="167" fontId="8" fillId="3" borderId="137" xfId="0" applyFont="1" applyFill="1" applyBorder="1" applyAlignment="1">
      <alignment horizontal="center"/>
    </xf>
    <xf numFmtId="165" fontId="218" fillId="115" borderId="18" xfId="2" applyFont="1" applyFill="1" applyBorder="1" applyAlignment="1">
      <alignment horizontal="center" vertical="center"/>
    </xf>
    <xf numFmtId="167" fontId="218" fillId="115" borderId="171" xfId="0" applyFont="1" applyFill="1" applyBorder="1" applyAlignment="1">
      <alignment horizontal="center" vertical="center" wrapText="1"/>
    </xf>
    <xf numFmtId="167" fontId="218" fillId="115" borderId="172" xfId="0" applyFont="1" applyFill="1" applyBorder="1" applyAlignment="1">
      <alignment horizontal="center" vertical="center" wrapText="1"/>
    </xf>
    <xf numFmtId="167" fontId="218" fillId="115" borderId="173" xfId="0" applyFont="1" applyFill="1" applyBorder="1" applyAlignment="1">
      <alignment horizontal="center" vertical="center" wrapText="1"/>
    </xf>
    <xf numFmtId="167" fontId="231" fillId="117" borderId="115" xfId="0" applyFont="1" applyFill="1" applyBorder="1" applyAlignment="1">
      <alignment horizontal="center" vertical="center" wrapText="1"/>
    </xf>
    <xf numFmtId="167" fontId="218" fillId="115" borderId="171" xfId="0" applyFont="1" applyFill="1" applyBorder="1" applyAlignment="1">
      <alignment horizontal="center" vertical="center"/>
    </xf>
    <xf numFmtId="167" fontId="218" fillId="115" borderId="172" xfId="0" applyFont="1" applyFill="1" applyBorder="1" applyAlignment="1">
      <alignment horizontal="center" vertical="center"/>
    </xf>
    <xf numFmtId="167" fontId="218" fillId="115" borderId="173" xfId="0" applyFont="1" applyFill="1" applyBorder="1" applyAlignment="1">
      <alignment horizontal="center" vertical="center"/>
    </xf>
    <xf numFmtId="167" fontId="231" fillId="117" borderId="136" xfId="0" applyFont="1" applyFill="1" applyBorder="1" applyAlignment="1">
      <alignment horizontal="center" vertical="center" wrapText="1"/>
    </xf>
    <xf numFmtId="167" fontId="231" fillId="117" borderId="116" xfId="0" applyFont="1" applyFill="1" applyBorder="1" applyAlignment="1">
      <alignment horizontal="center" vertical="center" wrapText="1"/>
    </xf>
    <xf numFmtId="167" fontId="231" fillId="117" borderId="137" xfId="0" applyFont="1" applyFill="1" applyBorder="1" applyAlignment="1">
      <alignment horizontal="center" vertical="center" wrapText="1"/>
    </xf>
    <xf numFmtId="0" fontId="205" fillId="25" borderId="115" xfId="3143" applyFont="1" applyFill="1" applyBorder="1" applyAlignment="1">
      <alignment horizontal="center"/>
    </xf>
    <xf numFmtId="1" fontId="43" fillId="43" borderId="155" xfId="0" applyNumberFormat="1" applyFont="1" applyFill="1" applyBorder="1" applyAlignment="1">
      <alignment horizontal="center"/>
    </xf>
    <xf numFmtId="1" fontId="105" fillId="41" borderId="145" xfId="143" applyNumberFormat="1" applyFont="1" applyFill="1" applyBorder="1" applyAlignment="1">
      <alignment horizontal="center"/>
    </xf>
    <xf numFmtId="1" fontId="105" fillId="41" borderId="26" xfId="143" applyNumberFormat="1" applyFont="1" applyFill="1" applyBorder="1" applyAlignment="1">
      <alignment horizontal="center"/>
    </xf>
    <xf numFmtId="167" fontId="0" fillId="0" borderId="145" xfId="0" applyBorder="1" applyAlignment="1">
      <alignment horizontal="center"/>
    </xf>
    <xf numFmtId="167" fontId="0" fillId="0" borderId="26" xfId="0" applyBorder="1" applyAlignment="1">
      <alignment horizontal="center"/>
    </xf>
    <xf numFmtId="1" fontId="43" fillId="40" borderId="146" xfId="0" applyNumberFormat="1" applyFont="1" applyFill="1" applyBorder="1" applyAlignment="1">
      <alignment horizontal="center"/>
    </xf>
    <xf numFmtId="1" fontId="43" fillId="42" borderId="155" xfId="0" applyNumberFormat="1" applyFont="1" applyFill="1" applyBorder="1" applyAlignment="1">
      <alignment horizontal="center"/>
    </xf>
    <xf numFmtId="0" fontId="167" fillId="101" borderId="3" xfId="160" applyFont="1" applyFill="1" applyBorder="1" applyAlignment="1">
      <alignment horizontal="center" vertical="center" wrapText="1"/>
    </xf>
    <xf numFmtId="0" fontId="167" fillId="101" borderId="155" xfId="160" applyFont="1" applyFill="1" applyBorder="1" applyAlignment="1">
      <alignment horizontal="center" vertical="center" wrapText="1"/>
    </xf>
    <xf numFmtId="0" fontId="167" fillId="101" borderId="156" xfId="160" applyFont="1" applyFill="1" applyBorder="1" applyAlignment="1">
      <alignment horizontal="center" vertical="center" wrapText="1"/>
    </xf>
    <xf numFmtId="0" fontId="167" fillId="101" borderId="21" xfId="160" applyFont="1" applyFill="1" applyBorder="1" applyAlignment="1">
      <alignment horizontal="center" vertical="center" wrapText="1"/>
    </xf>
    <xf numFmtId="0" fontId="167" fillId="101" borderId="4" xfId="160" applyFont="1" applyFill="1" applyBorder="1" applyAlignment="1">
      <alignment horizontal="center" vertical="center" wrapText="1"/>
    </xf>
    <xf numFmtId="0" fontId="167" fillId="101" borderId="9" xfId="160" applyFont="1" applyFill="1" applyBorder="1" applyAlignment="1">
      <alignment horizontal="center" vertical="center" wrapText="1"/>
    </xf>
    <xf numFmtId="0" fontId="167" fillId="5" borderId="3" xfId="160" applyFont="1" applyFill="1" applyBorder="1" applyAlignment="1">
      <alignment horizontal="center" vertical="center" wrapText="1"/>
    </xf>
    <xf numFmtId="0" fontId="167" fillId="5" borderId="155" xfId="160" applyFont="1" applyFill="1" applyBorder="1" applyAlignment="1">
      <alignment horizontal="center" vertical="center" wrapText="1"/>
    </xf>
    <xf numFmtId="0" fontId="167" fillId="5" borderId="156" xfId="160" applyFont="1" applyFill="1" applyBorder="1" applyAlignment="1">
      <alignment horizontal="center" vertical="center" wrapText="1"/>
    </xf>
    <xf numFmtId="0" fontId="167" fillId="5" borderId="21" xfId="160" applyFont="1" applyFill="1" applyBorder="1" applyAlignment="1">
      <alignment horizontal="center" vertical="center" wrapText="1"/>
    </xf>
    <xf numFmtId="0" fontId="167" fillId="5" borderId="4" xfId="160" applyFont="1" applyFill="1" applyBorder="1" applyAlignment="1">
      <alignment horizontal="center" vertical="center" wrapText="1"/>
    </xf>
    <xf numFmtId="0" fontId="167" fillId="5" borderId="9" xfId="160" applyFont="1" applyFill="1" applyBorder="1" applyAlignment="1">
      <alignment horizontal="center" vertical="center" wrapText="1"/>
    </xf>
    <xf numFmtId="167" fontId="43" fillId="101" borderId="115" xfId="0" applyFont="1" applyFill="1" applyBorder="1" applyAlignment="1">
      <alignment horizontal="center" vertical="center"/>
    </xf>
    <xf numFmtId="167" fontId="43" fillId="101" borderId="145" xfId="0" applyFont="1" applyFill="1" applyBorder="1" applyAlignment="1">
      <alignment horizontal="center" vertical="center"/>
    </xf>
    <xf numFmtId="167" fontId="66" fillId="19" borderId="40" xfId="15" applyFont="1" applyFill="1" applyBorder="1" applyAlignment="1">
      <alignment horizontal="center" vertical="center"/>
    </xf>
    <xf numFmtId="167" fontId="66" fillId="19" borderId="45" xfId="15" applyFont="1" applyFill="1" applyBorder="1" applyAlignment="1">
      <alignment horizontal="center" vertical="center"/>
    </xf>
    <xf numFmtId="167" fontId="67" fillId="20" borderId="36" xfId="15" applyFont="1" applyBorder="1" applyAlignment="1">
      <alignment horizontal="center" vertical="center"/>
    </xf>
    <xf numFmtId="167" fontId="67" fillId="20" borderId="37" xfId="15" applyFont="1" applyBorder="1" applyAlignment="1">
      <alignment horizontal="center" vertical="center"/>
    </xf>
    <xf numFmtId="167" fontId="67" fillId="20" borderId="38" xfId="15" applyFont="1" applyBorder="1" applyAlignment="1">
      <alignment horizontal="center" vertical="center"/>
    </xf>
    <xf numFmtId="167" fontId="66" fillId="19" borderId="46" xfId="15" applyFont="1" applyFill="1" applyBorder="1" applyAlignment="1">
      <alignment horizontal="center" vertical="center"/>
    </xf>
    <xf numFmtId="167" fontId="66" fillId="19" borderId="139" xfId="15" applyFont="1" applyFill="1" applyBorder="1" applyAlignment="1">
      <alignment horizontal="center" vertical="center"/>
    </xf>
  </cellXfs>
  <cellStyles count="10144">
    <cellStyle name="‡" xfId="333" xr:uid="{00000000-0005-0000-0000-000000000000}"/>
    <cellStyle name="‡ 2" xfId="334" xr:uid="{00000000-0005-0000-0000-000001000000}"/>
    <cellStyle name="‡ 2 2" xfId="335" xr:uid="{00000000-0005-0000-0000-000002000000}"/>
    <cellStyle name="‡ 3" xfId="336" xr:uid="{00000000-0005-0000-0000-000003000000}"/>
    <cellStyle name="‡_01. equipment hour rental   jan09" xfId="337" xr:uid="{00000000-0005-0000-0000-000004000000}"/>
    <cellStyle name="‡_01. equipment hour rental   jan09 2" xfId="338" xr:uid="{00000000-0005-0000-0000-000005000000}"/>
    <cellStyle name="‡_01. equipment hour rental   jan09 3" xfId="339" xr:uid="{00000000-0005-0000-0000-000006000000}"/>
    <cellStyle name="‡_4.HD465-7_Equipment Recond Price_261107" xfId="340" xr:uid="{00000000-0005-0000-0000-000007000000}"/>
    <cellStyle name="‡_Bargeloading February 2012" xfId="341" xr:uid="{00000000-0005-0000-0000-000008000000}"/>
    <cellStyle name="‡_BAS" xfId="342" xr:uid="{00000000-0005-0000-0000-000009000000}"/>
    <cellStyle name="‡_BAS Exc_Daily-MA UA UO_Nov' 08" xfId="343" xr:uid="{00000000-0005-0000-0000-00000A000000}"/>
    <cellStyle name="‡_BAS feb_R1" xfId="344" xr:uid="{00000000-0005-0000-0000-00000B000000}"/>
    <cellStyle name="‡_BOOK1" xfId="345" xr:uid="{00000000-0005-0000-0000-00000C000000}"/>
    <cellStyle name="‡_BOOK1 2" xfId="346" xr:uid="{00000000-0005-0000-0000-00000D000000}"/>
    <cellStyle name="‡_BOOK1 2 2" xfId="347" xr:uid="{00000000-0005-0000-0000-00000E000000}"/>
    <cellStyle name="‡_BOOK1 3" xfId="348" xr:uid="{00000000-0005-0000-0000-00000F000000}"/>
    <cellStyle name="‡_BOOK1_01. equipment hour rental   jan09" xfId="349" xr:uid="{00000000-0005-0000-0000-000010000000}"/>
    <cellStyle name="‡_BOOK1_01. equipment hour rental   jan09 2" xfId="350" xr:uid="{00000000-0005-0000-0000-000011000000}"/>
    <cellStyle name="‡_BOOK1_01. equipment hour rental   jan09 3" xfId="351" xr:uid="{00000000-0005-0000-0000-000012000000}"/>
    <cellStyle name="‡_BOOK1_4.HD465-7_Equipment Recond Price_261107" xfId="352" xr:uid="{00000000-0005-0000-0000-000013000000}"/>
    <cellStyle name="‡_BOOK1_Bargeloading February 2012" xfId="353" xr:uid="{00000000-0005-0000-0000-000014000000}"/>
    <cellStyle name="‡_BOOK1_BAS" xfId="354" xr:uid="{00000000-0005-0000-0000-000015000000}"/>
    <cellStyle name="‡_BOOK1_BAS Exc_Daily-MA UA UO_Nov' 08" xfId="355" xr:uid="{00000000-0005-0000-0000-000016000000}"/>
    <cellStyle name="‡_BOOK1_BAS feb_R1" xfId="356" xr:uid="{00000000-0005-0000-0000-000017000000}"/>
    <cellStyle name="‡_BOOK1_Contractor Performance Plan of  2009_V7" xfId="357" xr:uid="{00000000-0005-0000-0000-000018000000}"/>
    <cellStyle name="‡_BOOK1_CSMU" xfId="358" xr:uid="{00000000-0005-0000-0000-000019000000}"/>
    <cellStyle name="‡_BOOK1_CSMU DES R12008" xfId="359" xr:uid="{00000000-0005-0000-0000-00001A000000}"/>
    <cellStyle name="‡_BOOK1_CSMU_r1" xfId="360" xr:uid="{00000000-0005-0000-0000-00001B000000}"/>
    <cellStyle name="‡_BOOK1_EQUIPMENT EXCAVATOR PT. GAS" xfId="361" xr:uid="{00000000-0005-0000-0000-00001C000000}"/>
    <cellStyle name="‡_BOOK1_Equipment Performance end of Jan09" xfId="362" xr:uid="{00000000-0005-0000-0000-00001D000000}"/>
    <cellStyle name="‡_BOOK1_Equipment Performance end of November" xfId="363" xr:uid="{00000000-0005-0000-0000-00001E000000}"/>
    <cellStyle name="‡_BOOK1_Equipment Performance end of November_BAS feb_R1" xfId="364" xr:uid="{00000000-0005-0000-0000-00001F000000}"/>
    <cellStyle name="‡_BOOK1_Equipment Performance end of November_Exc_Daily-MA-UA-OA_0109" xfId="365" xr:uid="{00000000-0005-0000-0000-000020000000}"/>
    <cellStyle name="‡_BOOK1_Equipment Performance end of November_Exc_Daily-MA-UA-OA_Des' 08" xfId="366" xr:uid="{00000000-0005-0000-0000-000021000000}"/>
    <cellStyle name="‡_BOOK1_Equipment Performance end of October" xfId="367" xr:uid="{00000000-0005-0000-0000-000022000000}"/>
    <cellStyle name="‡_BOOK1_Equipment Performance end of October_BAS feb_R1" xfId="368" xr:uid="{00000000-0005-0000-0000-000023000000}"/>
    <cellStyle name="‡_BOOK1_Equipment Performance end of October_Exc_Daily-MA-UA-OA_0109" xfId="369" xr:uid="{00000000-0005-0000-0000-000024000000}"/>
    <cellStyle name="‡_BOOK1_Equipment Performance end of October_Exc_Daily-MA-UA-OA_Des' 08" xfId="370" xr:uid="{00000000-0005-0000-0000-000025000000}"/>
    <cellStyle name="‡_BOOK1_Equipment Performance Gaswara_feb_" xfId="371" xr:uid="{00000000-0005-0000-0000-000026000000}"/>
    <cellStyle name="‡_BOOK1_EQUIPMENT PERFORMANCE OB PT. CSMU FEB 2009" xfId="372" xr:uid="{00000000-0005-0000-0000-000027000000}"/>
    <cellStyle name="‡_BOOK1_Equipment Performance Plan 2010" xfId="373" xr:uid="{00000000-0005-0000-0000-000028000000}"/>
    <cellStyle name="‡_BOOK1_EQUIPMENT PERFORMANCE PT. CSMU NOP 2008" xfId="374" xr:uid="{00000000-0005-0000-0000-000029000000}"/>
    <cellStyle name="‡_BOOK1_Exc_Daily-MA-UA-OA_0109" xfId="375" xr:uid="{00000000-0005-0000-0000-00002A000000}"/>
    <cellStyle name="‡_BOOK1_Exc_Daily-MA-UA-OA_Des' 08" xfId="376" xr:uid="{00000000-0005-0000-0000-00002B000000}"/>
    <cellStyle name="‡_BOOK1_Form Performance Unit HE-Nov08" xfId="377" xr:uid="{00000000-0005-0000-0000-00002C000000}"/>
    <cellStyle name="‡_BOOK1_GASWARA JANUARI" xfId="378" xr:uid="{00000000-0005-0000-0000-00002D000000}"/>
    <cellStyle name="‡_BOOK1_Gaswara_DecR1" xfId="379" xr:uid="{00000000-0005-0000-0000-00002E000000}"/>
    <cellStyle name="‡_BOOK1_ITM Rain v WH Availabke R0" xfId="380" xr:uid="{00000000-0005-0000-0000-00002F000000}"/>
    <cellStyle name="‡_BOOK1_ITM Rain v WH Availabke R0_BAS" xfId="381" xr:uid="{00000000-0005-0000-0000-000030000000}"/>
    <cellStyle name="‡_BOOK1_ITM Rain v WH Availabke R0_BAS Exc_Daily-MA UA UO_Nov' 08" xfId="382" xr:uid="{00000000-0005-0000-0000-000031000000}"/>
    <cellStyle name="‡_BOOK1_ITM Rain v WH Availabke R0_BAS feb_R1" xfId="383" xr:uid="{00000000-0005-0000-0000-000032000000}"/>
    <cellStyle name="‡_BOOK1_ITM Rain v WH Availabke R0_Contractor Performance Plan of  2009_V7" xfId="384" xr:uid="{00000000-0005-0000-0000-000033000000}"/>
    <cellStyle name="‡_BOOK1_ITM Rain v WH Availabke R0_CSMU" xfId="385" xr:uid="{00000000-0005-0000-0000-000034000000}"/>
    <cellStyle name="‡_BOOK1_ITM Rain v WH Availabke R0_CSMU DES R12008" xfId="386" xr:uid="{00000000-0005-0000-0000-000035000000}"/>
    <cellStyle name="‡_BOOK1_ITM Rain v WH Availabke R0_CSMU_r1" xfId="387" xr:uid="{00000000-0005-0000-0000-000036000000}"/>
    <cellStyle name="‡_BOOK1_ITM Rain v WH Availabke R0_EQUIPMENT EXCAVATOR PT. GAS" xfId="388" xr:uid="{00000000-0005-0000-0000-000037000000}"/>
    <cellStyle name="‡_BOOK1_ITM Rain v WH Availabke R0_Equipment Performance end of Jan09" xfId="389" xr:uid="{00000000-0005-0000-0000-000038000000}"/>
    <cellStyle name="‡_BOOK1_ITM Rain v WH Availabke R0_Equipment Performance end of November" xfId="390" xr:uid="{00000000-0005-0000-0000-000039000000}"/>
    <cellStyle name="‡_BOOK1_ITM Rain v WH Availabke R0_Equipment Performance end of November_BAS feb_R1" xfId="391" xr:uid="{00000000-0005-0000-0000-00003A000000}"/>
    <cellStyle name="‡_BOOK1_ITM Rain v WH Availabke R0_Equipment Performance end of November_Exc_Daily-MA-UA-OA_0109" xfId="392" xr:uid="{00000000-0005-0000-0000-00003B000000}"/>
    <cellStyle name="‡_BOOK1_ITM Rain v WH Availabke R0_Equipment Performance end of November_Exc_Daily-MA-UA-OA_Des' 08" xfId="393" xr:uid="{00000000-0005-0000-0000-00003C000000}"/>
    <cellStyle name="‡_BOOK1_ITM Rain v WH Availabke R0_Equipment Performance end of October" xfId="394" xr:uid="{00000000-0005-0000-0000-00003D000000}"/>
    <cellStyle name="‡_BOOK1_ITM Rain v WH Availabke R0_Equipment Performance end of October_BAS feb_R1" xfId="395" xr:uid="{00000000-0005-0000-0000-00003E000000}"/>
    <cellStyle name="‡_BOOK1_ITM Rain v WH Availabke R0_Equipment Performance end of October_Exc_Daily-MA-UA-OA_0109" xfId="396" xr:uid="{00000000-0005-0000-0000-00003F000000}"/>
    <cellStyle name="‡_BOOK1_ITM Rain v WH Availabke R0_Equipment Performance end of October_Exc_Daily-MA-UA-OA_Des' 08" xfId="397" xr:uid="{00000000-0005-0000-0000-000040000000}"/>
    <cellStyle name="‡_BOOK1_ITM Rain v WH Availabke R0_Equipment Performance Gaswara_feb_" xfId="398" xr:uid="{00000000-0005-0000-0000-000041000000}"/>
    <cellStyle name="‡_BOOK1_ITM Rain v WH Availabke R0_EQUIPMENT PERFORMANCE OB PT. CSMU FEB 2009" xfId="399" xr:uid="{00000000-0005-0000-0000-000042000000}"/>
    <cellStyle name="‡_BOOK1_ITM Rain v WH Availabke R0_Equipment Performance Plan 2010" xfId="400" xr:uid="{00000000-0005-0000-0000-000043000000}"/>
    <cellStyle name="‡_BOOK1_ITM Rain v WH Availabke R0_EQUIPMENT PERFORMANCE PT. CSMU NOP 2008" xfId="401" xr:uid="{00000000-0005-0000-0000-000044000000}"/>
    <cellStyle name="‡_BOOK1_ITM Rain v WH Availabke R0_Exc_Daily-MA-UA-OA_0109" xfId="402" xr:uid="{00000000-0005-0000-0000-000045000000}"/>
    <cellStyle name="‡_BOOK1_ITM Rain v WH Availabke R0_Exc_Daily-MA-UA-OA_Des' 08" xfId="403" xr:uid="{00000000-0005-0000-0000-000046000000}"/>
    <cellStyle name="‡_BOOK1_ITM Rain v WH Availabke R0_Form Performance Unit HE-Nov08" xfId="404" xr:uid="{00000000-0005-0000-0000-000047000000}"/>
    <cellStyle name="‡_BOOK1_ITM Rain v WH Availabke R0_GASWARA JANUARI" xfId="405" xr:uid="{00000000-0005-0000-0000-000048000000}"/>
    <cellStyle name="‡_BOOK1_ITM Rain v WH Availabke R0_Gaswara_DecR1" xfId="406" xr:uid="{00000000-0005-0000-0000-000049000000}"/>
    <cellStyle name="‡_BOOK1_ITM Rain v WH Availabke R0_Performance Unit Feb 09-up to JBG.xlsSTS" xfId="407" xr:uid="{00000000-0005-0000-0000-00004A000000}"/>
    <cellStyle name="‡_BOOK1_ITM Rain v WH Availabke R0_RCP Report JAN 09_r1" xfId="408" xr:uid="{00000000-0005-0000-0000-00004B000000}"/>
    <cellStyle name="‡_BOOK1_ITM Rain v WH Availabke R0_RCP_R1" xfId="409" xr:uid="{00000000-0005-0000-0000-00004C000000}"/>
    <cellStyle name="‡_BOOK1_ITM Rain v WH Availabke R0_STS" xfId="410" xr:uid="{00000000-0005-0000-0000-00004D000000}"/>
    <cellStyle name="‡_BOOK1_ITM Rain v WH Availabke R0_STS rev1" xfId="411" xr:uid="{00000000-0005-0000-0000-00004E000000}"/>
    <cellStyle name="‡_BOOK1_ITM Rain v WH Availabke R0_STS_BAS feb_R1" xfId="412" xr:uid="{00000000-0005-0000-0000-00004F000000}"/>
    <cellStyle name="‡_BOOK1_ITM Rain v WH Availabke R0_STS_Exc_Daily-MA-UA-OA_0109" xfId="413" xr:uid="{00000000-0005-0000-0000-000050000000}"/>
    <cellStyle name="‡_BOOK1_ITM Rain v WH Availabke R0_STS_Exc_Daily-MA-UA-OA_Des' 08" xfId="414" xr:uid="{00000000-0005-0000-0000-000051000000}"/>
    <cellStyle name="‡_BOOK1_ITM Rain v WH Availabke R0_STS_r1" xfId="415" xr:uid="{00000000-0005-0000-0000-000052000000}"/>
    <cellStyle name="‡_BOOK1_Pere Equipment 2008 TCM" xfId="416" xr:uid="{00000000-0005-0000-0000-000053000000}"/>
    <cellStyle name="‡_BOOK1_Pere Equipment 2008 TCM_BAS" xfId="417" xr:uid="{00000000-0005-0000-0000-000054000000}"/>
    <cellStyle name="‡_BOOK1_Pere Equipment 2008 TCM_BAS Exc_Daily-MA UA UO_Nov' 08" xfId="418" xr:uid="{00000000-0005-0000-0000-000055000000}"/>
    <cellStyle name="‡_BOOK1_Pere Equipment 2008 TCM_BAS feb_R1" xfId="419" xr:uid="{00000000-0005-0000-0000-000056000000}"/>
    <cellStyle name="‡_BOOK1_Pere Equipment 2008 TCM_Contractor Performance Plan of  2009_V7" xfId="420" xr:uid="{00000000-0005-0000-0000-000057000000}"/>
    <cellStyle name="‡_BOOK1_Pere Equipment 2008 TCM_CSMU" xfId="421" xr:uid="{00000000-0005-0000-0000-000058000000}"/>
    <cellStyle name="‡_BOOK1_Pere Equipment 2008 TCM_CSMU DES R12008" xfId="422" xr:uid="{00000000-0005-0000-0000-000059000000}"/>
    <cellStyle name="‡_BOOK1_Pere Equipment 2008 TCM_CSMU_r1" xfId="423" xr:uid="{00000000-0005-0000-0000-00005A000000}"/>
    <cellStyle name="‡_BOOK1_Pere Equipment 2008 TCM_EQUIPMENT EXCAVATOR PT. GAS" xfId="424" xr:uid="{00000000-0005-0000-0000-00005B000000}"/>
    <cellStyle name="‡_BOOK1_Pere Equipment 2008 TCM_Equipment Performance end of Jan09" xfId="425" xr:uid="{00000000-0005-0000-0000-00005C000000}"/>
    <cellStyle name="‡_BOOK1_Pere Equipment 2008 TCM_Equipment Performance end of November" xfId="426" xr:uid="{00000000-0005-0000-0000-00005D000000}"/>
    <cellStyle name="‡_BOOK1_Pere Equipment 2008 TCM_Equipment Performance end of November_BAS feb_R1" xfId="427" xr:uid="{00000000-0005-0000-0000-00005E000000}"/>
    <cellStyle name="‡_BOOK1_Pere Equipment 2008 TCM_Equipment Performance end of November_Exc_Daily-MA-UA-OA_0109" xfId="428" xr:uid="{00000000-0005-0000-0000-00005F000000}"/>
    <cellStyle name="‡_BOOK1_Pere Equipment 2008 TCM_Equipment Performance end of November_Exc_Daily-MA-UA-OA_Des' 08" xfId="429" xr:uid="{00000000-0005-0000-0000-000060000000}"/>
    <cellStyle name="‡_BOOK1_Pere Equipment 2008 TCM_Equipment Performance end of October" xfId="430" xr:uid="{00000000-0005-0000-0000-000061000000}"/>
    <cellStyle name="‡_BOOK1_Pere Equipment 2008 TCM_Equipment Performance end of October_BAS feb_R1" xfId="431" xr:uid="{00000000-0005-0000-0000-000062000000}"/>
    <cellStyle name="‡_BOOK1_Pere Equipment 2008 TCM_Equipment Performance end of October_Exc_Daily-MA-UA-OA_0109" xfId="432" xr:uid="{00000000-0005-0000-0000-000063000000}"/>
    <cellStyle name="‡_BOOK1_Pere Equipment 2008 TCM_Equipment Performance end of October_Exc_Daily-MA-UA-OA_Des' 08" xfId="433" xr:uid="{00000000-0005-0000-0000-000064000000}"/>
    <cellStyle name="‡_BOOK1_Pere Equipment 2008 TCM_Equipment Performance Gaswara_feb_" xfId="434" xr:uid="{00000000-0005-0000-0000-000065000000}"/>
    <cellStyle name="‡_BOOK1_Pere Equipment 2008 TCM_EQUIPMENT PERFORMANCE OB PT. CSMU FEB 2009" xfId="435" xr:uid="{00000000-0005-0000-0000-000066000000}"/>
    <cellStyle name="‡_BOOK1_Pere Equipment 2008 TCM_Equipment Performance Plan 2010" xfId="436" xr:uid="{00000000-0005-0000-0000-000067000000}"/>
    <cellStyle name="‡_BOOK1_Pere Equipment 2008 TCM_EQUIPMENT PERFORMANCE PT. CSMU NOP 2008" xfId="437" xr:uid="{00000000-0005-0000-0000-000068000000}"/>
    <cellStyle name="‡_BOOK1_Pere Equipment 2008 TCM_Exc_Daily-MA-UA-OA_0109" xfId="438" xr:uid="{00000000-0005-0000-0000-000069000000}"/>
    <cellStyle name="‡_BOOK1_Pere Equipment 2008 TCM_Exc_Daily-MA-UA-OA_Des' 08" xfId="439" xr:uid="{00000000-0005-0000-0000-00006A000000}"/>
    <cellStyle name="‡_BOOK1_Pere Equipment 2008 TCM_Form Performance Unit HE-Nov08" xfId="440" xr:uid="{00000000-0005-0000-0000-00006B000000}"/>
    <cellStyle name="‡_BOOK1_Pere Equipment 2008 TCM_GASWARA JANUARI" xfId="441" xr:uid="{00000000-0005-0000-0000-00006C000000}"/>
    <cellStyle name="‡_BOOK1_Pere Equipment 2008 TCM_Gaswara_DecR1" xfId="442" xr:uid="{00000000-0005-0000-0000-00006D000000}"/>
    <cellStyle name="‡_BOOK1_Pere Equipment 2008 TCM_Performance Unit Feb 09-up to JBG.xlsSTS" xfId="443" xr:uid="{00000000-0005-0000-0000-00006E000000}"/>
    <cellStyle name="‡_BOOK1_Pere Equipment 2008 TCM_RCP Report JAN 09_r1" xfId="444" xr:uid="{00000000-0005-0000-0000-00006F000000}"/>
    <cellStyle name="‡_BOOK1_Pere Equipment 2008 TCM_RCP_R1" xfId="445" xr:uid="{00000000-0005-0000-0000-000070000000}"/>
    <cellStyle name="‡_BOOK1_Pere Equipment 2008 TCM_STS" xfId="446" xr:uid="{00000000-0005-0000-0000-000071000000}"/>
    <cellStyle name="‡_BOOK1_Pere Equipment 2008 TCM_STS rev1" xfId="447" xr:uid="{00000000-0005-0000-0000-000072000000}"/>
    <cellStyle name="‡_BOOK1_Pere Equipment 2008 TCM_STS_BAS feb_R1" xfId="448" xr:uid="{00000000-0005-0000-0000-000073000000}"/>
    <cellStyle name="‡_BOOK1_Pere Equipment 2008 TCM_STS_Exc_Daily-MA-UA-OA_0109" xfId="449" xr:uid="{00000000-0005-0000-0000-000074000000}"/>
    <cellStyle name="‡_BOOK1_Pere Equipment 2008 TCM_STS_Exc_Daily-MA-UA-OA_Des' 08" xfId="450" xr:uid="{00000000-0005-0000-0000-000075000000}"/>
    <cellStyle name="‡_BOOK1_Pere Equipment 2008 TCM_STS_r1" xfId="451" xr:uid="{00000000-0005-0000-0000-000076000000}"/>
    <cellStyle name="‡_BOOK1_Pere Jkt Y 2008 NB R6 HO_iqb (8Feb08)" xfId="452" xr:uid="{00000000-0005-0000-0000-000077000000}"/>
    <cellStyle name="‡_BOOK1_Pere Jkt Y 2008 NB R6 HO_iqb (8Feb08)_BAS" xfId="453" xr:uid="{00000000-0005-0000-0000-000078000000}"/>
    <cellStyle name="‡_BOOK1_Pere Jkt Y 2008 NB R6 HO_iqb (8Feb08)_BAS Exc_Daily-MA UA UO_Nov' 08" xfId="454" xr:uid="{00000000-0005-0000-0000-000079000000}"/>
    <cellStyle name="‡_BOOK1_Pere Jkt Y 2008 NB R6 HO_iqb (8Feb08)_BAS feb_R1" xfId="455" xr:uid="{00000000-0005-0000-0000-00007A000000}"/>
    <cellStyle name="‡_BOOK1_Pere Jkt Y 2008 NB R6 HO_iqb (8Feb08)_Contractor Performance Plan of  2009_V7" xfId="456" xr:uid="{00000000-0005-0000-0000-00007B000000}"/>
    <cellStyle name="‡_BOOK1_Pere Jkt Y 2008 NB R6 HO_iqb (8Feb08)_CSMU" xfId="457" xr:uid="{00000000-0005-0000-0000-00007C000000}"/>
    <cellStyle name="‡_BOOK1_Pere Jkt Y 2008 NB R6 HO_iqb (8Feb08)_CSMU DES R12008" xfId="458" xr:uid="{00000000-0005-0000-0000-00007D000000}"/>
    <cellStyle name="‡_BOOK1_Pere Jkt Y 2008 NB R6 HO_iqb (8Feb08)_CSMU_r1" xfId="459" xr:uid="{00000000-0005-0000-0000-00007E000000}"/>
    <cellStyle name="‡_BOOK1_Pere Jkt Y 2008 NB R6 HO_iqb (8Feb08)_EQUIPMENT EXCAVATOR PT. GAS" xfId="460" xr:uid="{00000000-0005-0000-0000-00007F000000}"/>
    <cellStyle name="‡_BOOK1_Pere Jkt Y 2008 NB R6 HO_iqb (8Feb08)_Equipment Performance end of Jan09" xfId="461" xr:uid="{00000000-0005-0000-0000-000080000000}"/>
    <cellStyle name="‡_BOOK1_Pere Jkt Y 2008 NB R6 HO_iqb (8Feb08)_Equipment Performance end of November" xfId="462" xr:uid="{00000000-0005-0000-0000-000081000000}"/>
    <cellStyle name="‡_BOOK1_Pere Jkt Y 2008 NB R6 HO_iqb (8Feb08)_Equipment Performance end of November_BAS feb_R1" xfId="463" xr:uid="{00000000-0005-0000-0000-000082000000}"/>
    <cellStyle name="‡_BOOK1_Pere Jkt Y 2008 NB R6 HO_iqb (8Feb08)_Equipment Performance end of November_Exc_Daily-MA-UA-OA_0109" xfId="464" xr:uid="{00000000-0005-0000-0000-000083000000}"/>
    <cellStyle name="‡_BOOK1_Pere Jkt Y 2008 NB R6 HO_iqb (8Feb08)_Equipment Performance end of November_Exc_Daily-MA-UA-OA_Des' 08" xfId="465" xr:uid="{00000000-0005-0000-0000-000084000000}"/>
    <cellStyle name="‡_BOOK1_Pere Jkt Y 2008 NB R6 HO_iqb (8Feb08)_Equipment Performance end of October" xfId="466" xr:uid="{00000000-0005-0000-0000-000085000000}"/>
    <cellStyle name="‡_BOOK1_Pere Jkt Y 2008 NB R6 HO_iqb (8Feb08)_Equipment Performance end of October_BAS feb_R1" xfId="467" xr:uid="{00000000-0005-0000-0000-000086000000}"/>
    <cellStyle name="‡_BOOK1_Pere Jkt Y 2008 NB R6 HO_iqb (8Feb08)_Equipment Performance end of October_Exc_Daily-MA-UA-OA_0109" xfId="468" xr:uid="{00000000-0005-0000-0000-000087000000}"/>
    <cellStyle name="‡_BOOK1_Pere Jkt Y 2008 NB R6 HO_iqb (8Feb08)_Equipment Performance end of October_Exc_Daily-MA-UA-OA_Des' 08" xfId="469" xr:uid="{00000000-0005-0000-0000-000088000000}"/>
    <cellStyle name="‡_BOOK1_Pere Jkt Y 2008 NB R6 HO_iqb (8Feb08)_Equipment Performance Gaswara_feb_" xfId="470" xr:uid="{00000000-0005-0000-0000-000089000000}"/>
    <cellStyle name="‡_BOOK1_Pere Jkt Y 2008 NB R6 HO_iqb (8Feb08)_EQUIPMENT PERFORMANCE OB PT. CSMU FEB 2009" xfId="471" xr:uid="{00000000-0005-0000-0000-00008A000000}"/>
    <cellStyle name="‡_BOOK1_Pere Jkt Y 2008 NB R6 HO_iqb (8Feb08)_Equipment Performance Plan 2010" xfId="472" xr:uid="{00000000-0005-0000-0000-00008B000000}"/>
    <cellStyle name="‡_BOOK1_Pere Jkt Y 2008 NB R6 HO_iqb (8Feb08)_EQUIPMENT PERFORMANCE PT. CSMU NOP 2008" xfId="473" xr:uid="{00000000-0005-0000-0000-00008C000000}"/>
    <cellStyle name="‡_BOOK1_Pere Jkt Y 2008 NB R6 HO_iqb (8Feb08)_Exc_Daily-MA-UA-OA_0109" xfId="474" xr:uid="{00000000-0005-0000-0000-00008D000000}"/>
    <cellStyle name="‡_BOOK1_Pere Jkt Y 2008 NB R6 HO_iqb (8Feb08)_Exc_Daily-MA-UA-OA_Des' 08" xfId="475" xr:uid="{00000000-0005-0000-0000-00008E000000}"/>
    <cellStyle name="‡_BOOK1_Pere Jkt Y 2008 NB R6 HO_iqb (8Feb08)_Form Performance Unit HE-Nov08" xfId="476" xr:uid="{00000000-0005-0000-0000-00008F000000}"/>
    <cellStyle name="‡_BOOK1_Pere Jkt Y 2008 NB R6 HO_iqb (8Feb08)_GASWARA JANUARI" xfId="477" xr:uid="{00000000-0005-0000-0000-000090000000}"/>
    <cellStyle name="‡_BOOK1_Pere Jkt Y 2008 NB R6 HO_iqb (8Feb08)_Gaswara_DecR1" xfId="478" xr:uid="{00000000-0005-0000-0000-000091000000}"/>
    <cellStyle name="‡_BOOK1_Pere Jkt Y 2008 NB R6 HO_iqb (8Feb08)_Performance Unit Feb 09-up to JBG.xlsSTS" xfId="479" xr:uid="{00000000-0005-0000-0000-000092000000}"/>
    <cellStyle name="‡_BOOK1_Pere Jkt Y 2008 NB R6 HO_iqb (8Feb08)_RCP Report JAN 09_r1" xfId="480" xr:uid="{00000000-0005-0000-0000-000093000000}"/>
    <cellStyle name="‡_BOOK1_Pere Jkt Y 2008 NB R6 HO_iqb (8Feb08)_RCP_R1" xfId="481" xr:uid="{00000000-0005-0000-0000-000094000000}"/>
    <cellStyle name="‡_BOOK1_Pere Jkt Y 2008 NB R6 HO_iqb (8Feb08)_STS" xfId="482" xr:uid="{00000000-0005-0000-0000-000095000000}"/>
    <cellStyle name="‡_BOOK1_Pere Jkt Y 2008 NB R6 HO_iqb (8Feb08)_STS rev1" xfId="483" xr:uid="{00000000-0005-0000-0000-000096000000}"/>
    <cellStyle name="‡_BOOK1_Pere Jkt Y 2008 NB R6 HO_iqb (8Feb08)_STS_BAS feb_R1" xfId="484" xr:uid="{00000000-0005-0000-0000-000097000000}"/>
    <cellStyle name="‡_BOOK1_Pere Jkt Y 2008 NB R6 HO_iqb (8Feb08)_STS_Exc_Daily-MA-UA-OA_0109" xfId="485" xr:uid="{00000000-0005-0000-0000-000098000000}"/>
    <cellStyle name="‡_BOOK1_Pere Jkt Y 2008 NB R6 HO_iqb (8Feb08)_STS_Exc_Daily-MA-UA-OA_Des' 08" xfId="486" xr:uid="{00000000-0005-0000-0000-000099000000}"/>
    <cellStyle name="‡_BOOK1_Pere Jkt Y 2008 NB R6 HO_iqb (8Feb08)_STS_r1" xfId="487" xr:uid="{00000000-0005-0000-0000-00009A000000}"/>
    <cellStyle name="‡_BOOK1_Performance Unit Feb 09-up to JBG.xlsSTS" xfId="488" xr:uid="{00000000-0005-0000-0000-00009B000000}"/>
    <cellStyle name="‡_BOOK1_RCP Report JAN 09_r1" xfId="489" xr:uid="{00000000-0005-0000-0000-00009C000000}"/>
    <cellStyle name="‡_BOOK1_RCP_R1" xfId="490" xr:uid="{00000000-0005-0000-0000-00009D000000}"/>
    <cellStyle name="‡_BOOK1_Recond Comp Capex budget&amp;MA ex-rcp equipment_150608" xfId="491" xr:uid="{00000000-0005-0000-0000-00009E000000}"/>
    <cellStyle name="‡_BOOK1_STS" xfId="492" xr:uid="{00000000-0005-0000-0000-00009F000000}"/>
    <cellStyle name="‡_BOOK1_STS rev1" xfId="493" xr:uid="{00000000-0005-0000-0000-0000A0000000}"/>
    <cellStyle name="‡_BOOK1_STS_BAS feb_R1" xfId="494" xr:uid="{00000000-0005-0000-0000-0000A1000000}"/>
    <cellStyle name="‡_BOOK1_STS_Exc_Daily-MA-UA-OA_0109" xfId="495" xr:uid="{00000000-0005-0000-0000-0000A2000000}"/>
    <cellStyle name="‡_BOOK1_STS_Exc_Daily-MA-UA-OA_Des' 08" xfId="496" xr:uid="{00000000-0005-0000-0000-0000A3000000}"/>
    <cellStyle name="‡_BOOK1_STS_r1" xfId="497" xr:uid="{00000000-0005-0000-0000-0000A4000000}"/>
    <cellStyle name="‡_BOOK1_TCM performance report_V3 (prelim)22Feb08" xfId="498" xr:uid="{00000000-0005-0000-0000-0000A5000000}"/>
    <cellStyle name="‡_BOOK1_TCM performance report_V3 (prelim)22Feb08_BAS" xfId="499" xr:uid="{00000000-0005-0000-0000-0000A6000000}"/>
    <cellStyle name="‡_BOOK1_TCM performance report_V3 (prelim)22Feb08_BAS Exc_Daily-MA UA UO_Nov' 08" xfId="500" xr:uid="{00000000-0005-0000-0000-0000A7000000}"/>
    <cellStyle name="‡_BOOK1_TCM performance report_V3 (prelim)22Feb08_BAS feb_R1" xfId="501" xr:uid="{00000000-0005-0000-0000-0000A8000000}"/>
    <cellStyle name="‡_BOOK1_TCM performance report_V3 (prelim)22Feb08_Contractor Performance Plan of  2009_V7" xfId="502" xr:uid="{00000000-0005-0000-0000-0000A9000000}"/>
    <cellStyle name="‡_BOOK1_TCM performance report_V3 (prelim)22Feb08_CSMU" xfId="503" xr:uid="{00000000-0005-0000-0000-0000AA000000}"/>
    <cellStyle name="‡_BOOK1_TCM performance report_V3 (prelim)22Feb08_CSMU DES R12008" xfId="504" xr:uid="{00000000-0005-0000-0000-0000AB000000}"/>
    <cellStyle name="‡_BOOK1_TCM performance report_V3 (prelim)22Feb08_CSMU_r1" xfId="505" xr:uid="{00000000-0005-0000-0000-0000AC000000}"/>
    <cellStyle name="‡_BOOK1_TCM performance report_V3 (prelim)22Feb08_EQUIPMENT EXCAVATOR PT. GAS" xfId="506" xr:uid="{00000000-0005-0000-0000-0000AD000000}"/>
    <cellStyle name="‡_BOOK1_TCM performance report_V3 (prelim)22Feb08_Equipment Performance end of Jan09" xfId="507" xr:uid="{00000000-0005-0000-0000-0000AE000000}"/>
    <cellStyle name="‡_BOOK1_TCM performance report_V3 (prelim)22Feb08_Equipment Performance end of November" xfId="508" xr:uid="{00000000-0005-0000-0000-0000AF000000}"/>
    <cellStyle name="‡_BOOK1_TCM performance report_V3 (prelim)22Feb08_Equipment Performance end of November_BAS feb_R1" xfId="509" xr:uid="{00000000-0005-0000-0000-0000B0000000}"/>
    <cellStyle name="‡_BOOK1_TCM performance report_V3 (prelim)22Feb08_Equipment Performance end of November_Exc_Daily-MA-UA-OA_0109" xfId="510" xr:uid="{00000000-0005-0000-0000-0000B1000000}"/>
    <cellStyle name="‡_BOOK1_TCM performance report_V3 (prelim)22Feb08_Equipment Performance end of November_Exc_Daily-MA-UA-OA_Des' 08" xfId="511" xr:uid="{00000000-0005-0000-0000-0000B2000000}"/>
    <cellStyle name="‡_BOOK1_TCM performance report_V3 (prelim)22Feb08_Equipment Performance end of October" xfId="512" xr:uid="{00000000-0005-0000-0000-0000B3000000}"/>
    <cellStyle name="‡_BOOK1_TCM performance report_V3 (prelim)22Feb08_Equipment Performance end of October_BAS feb_R1" xfId="513" xr:uid="{00000000-0005-0000-0000-0000B4000000}"/>
    <cellStyle name="‡_BOOK1_TCM performance report_V3 (prelim)22Feb08_Equipment Performance end of October_Exc_Daily-MA-UA-OA_0109" xfId="514" xr:uid="{00000000-0005-0000-0000-0000B5000000}"/>
    <cellStyle name="‡_BOOK1_TCM performance report_V3 (prelim)22Feb08_Equipment Performance end of October_Exc_Daily-MA-UA-OA_Des' 08" xfId="515" xr:uid="{00000000-0005-0000-0000-0000B6000000}"/>
    <cellStyle name="‡_BOOK1_TCM performance report_V3 (prelim)22Feb08_Equipment Performance Gaswara_feb_" xfId="516" xr:uid="{00000000-0005-0000-0000-0000B7000000}"/>
    <cellStyle name="‡_BOOK1_TCM performance report_V3 (prelim)22Feb08_EQUIPMENT PERFORMANCE OB PT. CSMU FEB 2009" xfId="517" xr:uid="{00000000-0005-0000-0000-0000B8000000}"/>
    <cellStyle name="‡_BOOK1_TCM performance report_V3 (prelim)22Feb08_Equipment Performance Plan 2010" xfId="518" xr:uid="{00000000-0005-0000-0000-0000B9000000}"/>
    <cellStyle name="‡_BOOK1_TCM performance report_V3 (prelim)22Feb08_EQUIPMENT PERFORMANCE PT. CSMU NOP 2008" xfId="519" xr:uid="{00000000-0005-0000-0000-0000BA000000}"/>
    <cellStyle name="‡_BOOK1_TCM performance report_V3 (prelim)22Feb08_Exc_Daily-MA-UA-OA_0109" xfId="520" xr:uid="{00000000-0005-0000-0000-0000BB000000}"/>
    <cellStyle name="‡_BOOK1_TCM performance report_V3 (prelim)22Feb08_Exc_Daily-MA-UA-OA_Des' 08" xfId="521" xr:uid="{00000000-0005-0000-0000-0000BC000000}"/>
    <cellStyle name="‡_BOOK1_TCM performance report_V3 (prelim)22Feb08_Form Performance Unit HE-Nov08" xfId="522" xr:uid="{00000000-0005-0000-0000-0000BD000000}"/>
    <cellStyle name="‡_BOOK1_TCM performance report_V3 (prelim)22Feb08_GASWARA JANUARI" xfId="523" xr:uid="{00000000-0005-0000-0000-0000BE000000}"/>
    <cellStyle name="‡_BOOK1_TCM performance report_V3 (prelim)22Feb08_Gaswara_DecR1" xfId="524" xr:uid="{00000000-0005-0000-0000-0000BF000000}"/>
    <cellStyle name="‡_BOOK1_TCM performance report_V3 (prelim)22Feb08_Performance Unit Feb 09-up to JBG.xlsSTS" xfId="525" xr:uid="{00000000-0005-0000-0000-0000C0000000}"/>
    <cellStyle name="‡_BOOK1_TCM performance report_V3 (prelim)22Feb08_RCP Report JAN 09_r1" xfId="526" xr:uid="{00000000-0005-0000-0000-0000C1000000}"/>
    <cellStyle name="‡_BOOK1_TCM performance report_V3 (prelim)22Feb08_RCP_R1" xfId="527" xr:uid="{00000000-0005-0000-0000-0000C2000000}"/>
    <cellStyle name="‡_BOOK1_TCM performance report_V3 (prelim)22Feb08_STS" xfId="528" xr:uid="{00000000-0005-0000-0000-0000C3000000}"/>
    <cellStyle name="‡_BOOK1_TCM performance report_V3 (prelim)22Feb08_STS rev1" xfId="529" xr:uid="{00000000-0005-0000-0000-0000C4000000}"/>
    <cellStyle name="‡_BOOK1_TCM performance report_V3 (prelim)22Feb08_STS_BAS feb_R1" xfId="530" xr:uid="{00000000-0005-0000-0000-0000C5000000}"/>
    <cellStyle name="‡_BOOK1_TCM performance report_V3 (prelim)22Feb08_STS_Exc_Daily-MA-UA-OA_0109" xfId="531" xr:uid="{00000000-0005-0000-0000-0000C6000000}"/>
    <cellStyle name="‡_BOOK1_TCM performance report_V3 (prelim)22Feb08_STS_Exc_Daily-MA-UA-OA_Des' 08" xfId="532" xr:uid="{00000000-0005-0000-0000-0000C7000000}"/>
    <cellStyle name="‡_BOOK1_TCM performance report_V3 (prelim)22Feb08_STS_r1" xfId="533" xr:uid="{00000000-0005-0000-0000-0000C8000000}"/>
    <cellStyle name="‡_Contractor Performance Plan of  2009_V7" xfId="534" xr:uid="{00000000-0005-0000-0000-0000C9000000}"/>
    <cellStyle name="‡_CSMU" xfId="535" xr:uid="{00000000-0005-0000-0000-0000CA000000}"/>
    <cellStyle name="‡_CSMU DES R12008" xfId="536" xr:uid="{00000000-0005-0000-0000-0000CB000000}"/>
    <cellStyle name="‡_CSMU_r1" xfId="537" xr:uid="{00000000-0005-0000-0000-0000CC000000}"/>
    <cellStyle name="‡_EQUIPMENT EXCAVATOR PT. GAS" xfId="538" xr:uid="{00000000-0005-0000-0000-0000CD000000}"/>
    <cellStyle name="‡_Equipment Performance end of Jan09" xfId="539" xr:uid="{00000000-0005-0000-0000-0000CE000000}"/>
    <cellStyle name="‡_Equipment Performance end of November" xfId="540" xr:uid="{00000000-0005-0000-0000-0000CF000000}"/>
    <cellStyle name="‡_Equipment Performance end of November_BAS feb_R1" xfId="541" xr:uid="{00000000-0005-0000-0000-0000D0000000}"/>
    <cellStyle name="‡_Equipment Performance end of November_Exc_Daily-MA-UA-OA_0109" xfId="542" xr:uid="{00000000-0005-0000-0000-0000D1000000}"/>
    <cellStyle name="‡_Equipment Performance end of November_Exc_Daily-MA-UA-OA_Des' 08" xfId="543" xr:uid="{00000000-0005-0000-0000-0000D2000000}"/>
    <cellStyle name="‡_Equipment Performance end of October" xfId="544" xr:uid="{00000000-0005-0000-0000-0000D3000000}"/>
    <cellStyle name="‡_Equipment Performance end of October_BAS feb_R1" xfId="545" xr:uid="{00000000-0005-0000-0000-0000D4000000}"/>
    <cellStyle name="‡_Equipment Performance end of October_Exc_Daily-MA-UA-OA_0109" xfId="546" xr:uid="{00000000-0005-0000-0000-0000D5000000}"/>
    <cellStyle name="‡_Equipment Performance end of October_Exc_Daily-MA-UA-OA_Des' 08" xfId="547" xr:uid="{00000000-0005-0000-0000-0000D6000000}"/>
    <cellStyle name="‡_Equipment Performance Gaswara_feb_" xfId="548" xr:uid="{00000000-0005-0000-0000-0000D7000000}"/>
    <cellStyle name="‡_EQUIPMENT PERFORMANCE OB PT. CSMU FEB 2009" xfId="549" xr:uid="{00000000-0005-0000-0000-0000D8000000}"/>
    <cellStyle name="‡_Equipment Performance Plan 2010" xfId="550" xr:uid="{00000000-0005-0000-0000-0000D9000000}"/>
    <cellStyle name="‡_EQUIPMENT PERFORMANCE PT. CSMU NOP 2008" xfId="551" xr:uid="{00000000-0005-0000-0000-0000DA000000}"/>
    <cellStyle name="‡_Exc_Daily-MA-UA-OA_0109" xfId="552" xr:uid="{00000000-0005-0000-0000-0000DB000000}"/>
    <cellStyle name="‡_Exc_Daily-MA-UA-OA_Des' 08" xfId="553" xr:uid="{00000000-0005-0000-0000-0000DC000000}"/>
    <cellStyle name="‡_Form Performance Unit HE-Nov08" xfId="554" xr:uid="{00000000-0005-0000-0000-0000DD000000}"/>
    <cellStyle name="‡_GASWARA JANUARI" xfId="555" xr:uid="{00000000-0005-0000-0000-0000DE000000}"/>
    <cellStyle name="‡_Gaswara_DecR1" xfId="556" xr:uid="{00000000-0005-0000-0000-0000DF000000}"/>
    <cellStyle name="‡_ITM Rain v WH Availabke R0" xfId="557" xr:uid="{00000000-0005-0000-0000-0000E0000000}"/>
    <cellStyle name="‡_ITM Rain v WH Availabke R0_BAS" xfId="558" xr:uid="{00000000-0005-0000-0000-0000E1000000}"/>
    <cellStyle name="‡_ITM Rain v WH Availabke R0_BAS Exc_Daily-MA UA UO_Nov' 08" xfId="559" xr:uid="{00000000-0005-0000-0000-0000E2000000}"/>
    <cellStyle name="‡_ITM Rain v WH Availabke R0_BAS feb_R1" xfId="560" xr:uid="{00000000-0005-0000-0000-0000E3000000}"/>
    <cellStyle name="‡_ITM Rain v WH Availabke R0_Contractor Performance Plan of  2009_V7" xfId="561" xr:uid="{00000000-0005-0000-0000-0000E4000000}"/>
    <cellStyle name="‡_ITM Rain v WH Availabke R0_CSMU" xfId="562" xr:uid="{00000000-0005-0000-0000-0000E5000000}"/>
    <cellStyle name="‡_ITM Rain v WH Availabke R0_CSMU DES R12008" xfId="563" xr:uid="{00000000-0005-0000-0000-0000E6000000}"/>
    <cellStyle name="‡_ITM Rain v WH Availabke R0_CSMU_r1" xfId="564" xr:uid="{00000000-0005-0000-0000-0000E7000000}"/>
    <cellStyle name="‡_ITM Rain v WH Availabke R0_EQUIPMENT EXCAVATOR PT. GAS" xfId="565" xr:uid="{00000000-0005-0000-0000-0000E8000000}"/>
    <cellStyle name="‡_ITM Rain v WH Availabke R0_Equipment Performance end of Jan09" xfId="566" xr:uid="{00000000-0005-0000-0000-0000E9000000}"/>
    <cellStyle name="‡_ITM Rain v WH Availabke R0_Equipment Performance end of November" xfId="567" xr:uid="{00000000-0005-0000-0000-0000EA000000}"/>
    <cellStyle name="‡_ITM Rain v WH Availabke R0_Equipment Performance end of November_BAS feb_R1" xfId="568" xr:uid="{00000000-0005-0000-0000-0000EB000000}"/>
    <cellStyle name="‡_ITM Rain v WH Availabke R0_Equipment Performance end of November_Exc_Daily-MA-UA-OA_0109" xfId="569" xr:uid="{00000000-0005-0000-0000-0000EC000000}"/>
    <cellStyle name="‡_ITM Rain v WH Availabke R0_Equipment Performance end of November_Exc_Daily-MA-UA-OA_Des' 08" xfId="570" xr:uid="{00000000-0005-0000-0000-0000ED000000}"/>
    <cellStyle name="‡_ITM Rain v WH Availabke R0_Equipment Performance end of October" xfId="571" xr:uid="{00000000-0005-0000-0000-0000EE000000}"/>
    <cellStyle name="‡_ITM Rain v WH Availabke R0_Equipment Performance end of October_BAS feb_R1" xfId="572" xr:uid="{00000000-0005-0000-0000-0000EF000000}"/>
    <cellStyle name="‡_ITM Rain v WH Availabke R0_Equipment Performance end of October_Exc_Daily-MA-UA-OA_0109" xfId="573" xr:uid="{00000000-0005-0000-0000-0000F0000000}"/>
    <cellStyle name="‡_ITM Rain v WH Availabke R0_Equipment Performance end of October_Exc_Daily-MA-UA-OA_Des' 08" xfId="574" xr:uid="{00000000-0005-0000-0000-0000F1000000}"/>
    <cellStyle name="‡_ITM Rain v WH Availabke R0_Equipment Performance Gaswara_feb_" xfId="575" xr:uid="{00000000-0005-0000-0000-0000F2000000}"/>
    <cellStyle name="‡_ITM Rain v WH Availabke R0_EQUIPMENT PERFORMANCE OB PT. CSMU FEB 2009" xfId="576" xr:uid="{00000000-0005-0000-0000-0000F3000000}"/>
    <cellStyle name="‡_ITM Rain v WH Availabke R0_Equipment Performance Plan 2010" xfId="577" xr:uid="{00000000-0005-0000-0000-0000F4000000}"/>
    <cellStyle name="‡_ITM Rain v WH Availabke R0_EQUIPMENT PERFORMANCE PT. CSMU NOP 2008" xfId="578" xr:uid="{00000000-0005-0000-0000-0000F5000000}"/>
    <cellStyle name="‡_ITM Rain v WH Availabke R0_Exc_Daily-MA-UA-OA_0109" xfId="579" xr:uid="{00000000-0005-0000-0000-0000F6000000}"/>
    <cellStyle name="‡_ITM Rain v WH Availabke R0_Exc_Daily-MA-UA-OA_Des' 08" xfId="580" xr:uid="{00000000-0005-0000-0000-0000F7000000}"/>
    <cellStyle name="‡_ITM Rain v WH Availabke R0_Form Performance Unit HE-Nov08" xfId="581" xr:uid="{00000000-0005-0000-0000-0000F8000000}"/>
    <cellStyle name="‡_ITM Rain v WH Availabke R0_GASWARA JANUARI" xfId="582" xr:uid="{00000000-0005-0000-0000-0000F9000000}"/>
    <cellStyle name="‡_ITM Rain v WH Availabke R0_Gaswara_DecR1" xfId="583" xr:uid="{00000000-0005-0000-0000-0000FA000000}"/>
    <cellStyle name="‡_ITM Rain v WH Availabke R0_Performance Unit Feb 09-up to JBG.xlsSTS" xfId="584" xr:uid="{00000000-0005-0000-0000-0000FB000000}"/>
    <cellStyle name="‡_ITM Rain v WH Availabke R0_RCP Report JAN 09_r1" xfId="585" xr:uid="{00000000-0005-0000-0000-0000FC000000}"/>
    <cellStyle name="‡_ITM Rain v WH Availabke R0_RCP_R1" xfId="586" xr:uid="{00000000-0005-0000-0000-0000FD000000}"/>
    <cellStyle name="‡_ITM Rain v WH Availabke R0_STS" xfId="587" xr:uid="{00000000-0005-0000-0000-0000FE000000}"/>
    <cellStyle name="‡_ITM Rain v WH Availabke R0_STS rev1" xfId="588" xr:uid="{00000000-0005-0000-0000-0000FF000000}"/>
    <cellStyle name="‡_ITM Rain v WH Availabke R0_STS_BAS feb_R1" xfId="589" xr:uid="{00000000-0005-0000-0000-000000010000}"/>
    <cellStyle name="‡_ITM Rain v WH Availabke R0_STS_Exc_Daily-MA-UA-OA_0109" xfId="590" xr:uid="{00000000-0005-0000-0000-000001010000}"/>
    <cellStyle name="‡_ITM Rain v WH Availabke R0_STS_Exc_Daily-MA-UA-OA_Des' 08" xfId="591" xr:uid="{00000000-0005-0000-0000-000002010000}"/>
    <cellStyle name="‡_ITM Rain v WH Availabke R0_STS_r1" xfId="592" xr:uid="{00000000-0005-0000-0000-000003010000}"/>
    <cellStyle name="‡_Pere Equipment 2008 TCM" xfId="593" xr:uid="{00000000-0005-0000-0000-000004010000}"/>
    <cellStyle name="‡_Pere Equipment 2008 TCM_BAS" xfId="594" xr:uid="{00000000-0005-0000-0000-000005010000}"/>
    <cellStyle name="‡_Pere Equipment 2008 TCM_BAS Exc_Daily-MA UA UO_Nov' 08" xfId="595" xr:uid="{00000000-0005-0000-0000-000006010000}"/>
    <cellStyle name="‡_Pere Equipment 2008 TCM_BAS feb_R1" xfId="596" xr:uid="{00000000-0005-0000-0000-000007010000}"/>
    <cellStyle name="‡_Pere Equipment 2008 TCM_Contractor Performance Plan of  2009_V7" xfId="597" xr:uid="{00000000-0005-0000-0000-000008010000}"/>
    <cellStyle name="‡_Pere Equipment 2008 TCM_CSMU" xfId="598" xr:uid="{00000000-0005-0000-0000-000009010000}"/>
    <cellStyle name="‡_Pere Equipment 2008 TCM_CSMU DES R12008" xfId="599" xr:uid="{00000000-0005-0000-0000-00000A010000}"/>
    <cellStyle name="‡_Pere Equipment 2008 TCM_CSMU_r1" xfId="600" xr:uid="{00000000-0005-0000-0000-00000B010000}"/>
    <cellStyle name="‡_Pere Equipment 2008 TCM_EQUIPMENT EXCAVATOR PT. GAS" xfId="601" xr:uid="{00000000-0005-0000-0000-00000C010000}"/>
    <cellStyle name="‡_Pere Equipment 2008 TCM_Equipment Performance end of Jan09" xfId="602" xr:uid="{00000000-0005-0000-0000-00000D010000}"/>
    <cellStyle name="‡_Pere Equipment 2008 TCM_Equipment Performance end of November" xfId="603" xr:uid="{00000000-0005-0000-0000-00000E010000}"/>
    <cellStyle name="‡_Pere Equipment 2008 TCM_Equipment Performance end of November_BAS feb_R1" xfId="604" xr:uid="{00000000-0005-0000-0000-00000F010000}"/>
    <cellStyle name="‡_Pere Equipment 2008 TCM_Equipment Performance end of November_Exc_Daily-MA-UA-OA_0109" xfId="605" xr:uid="{00000000-0005-0000-0000-000010010000}"/>
    <cellStyle name="‡_Pere Equipment 2008 TCM_Equipment Performance end of November_Exc_Daily-MA-UA-OA_Des' 08" xfId="606" xr:uid="{00000000-0005-0000-0000-000011010000}"/>
    <cellStyle name="‡_Pere Equipment 2008 TCM_Equipment Performance end of October" xfId="607" xr:uid="{00000000-0005-0000-0000-000012010000}"/>
    <cellStyle name="‡_Pere Equipment 2008 TCM_Equipment Performance end of October_BAS feb_R1" xfId="608" xr:uid="{00000000-0005-0000-0000-000013010000}"/>
    <cellStyle name="‡_Pere Equipment 2008 TCM_Equipment Performance end of October_Exc_Daily-MA-UA-OA_0109" xfId="609" xr:uid="{00000000-0005-0000-0000-000014010000}"/>
    <cellStyle name="‡_Pere Equipment 2008 TCM_Equipment Performance end of October_Exc_Daily-MA-UA-OA_Des' 08" xfId="610" xr:uid="{00000000-0005-0000-0000-000015010000}"/>
    <cellStyle name="‡_Pere Equipment 2008 TCM_Equipment Performance Gaswara_feb_" xfId="611" xr:uid="{00000000-0005-0000-0000-000016010000}"/>
    <cellStyle name="‡_Pere Equipment 2008 TCM_EQUIPMENT PERFORMANCE OB PT. CSMU FEB 2009" xfId="612" xr:uid="{00000000-0005-0000-0000-000017010000}"/>
    <cellStyle name="‡_Pere Equipment 2008 TCM_Equipment Performance Plan 2010" xfId="613" xr:uid="{00000000-0005-0000-0000-000018010000}"/>
    <cellStyle name="‡_Pere Equipment 2008 TCM_EQUIPMENT PERFORMANCE PT. CSMU NOP 2008" xfId="614" xr:uid="{00000000-0005-0000-0000-000019010000}"/>
    <cellStyle name="‡_Pere Equipment 2008 TCM_Exc_Daily-MA-UA-OA_0109" xfId="615" xr:uid="{00000000-0005-0000-0000-00001A010000}"/>
    <cellStyle name="‡_Pere Equipment 2008 TCM_Exc_Daily-MA-UA-OA_Des' 08" xfId="616" xr:uid="{00000000-0005-0000-0000-00001B010000}"/>
    <cellStyle name="‡_Pere Equipment 2008 TCM_Form Performance Unit HE-Nov08" xfId="617" xr:uid="{00000000-0005-0000-0000-00001C010000}"/>
    <cellStyle name="‡_Pere Equipment 2008 TCM_GASWARA JANUARI" xfId="618" xr:uid="{00000000-0005-0000-0000-00001D010000}"/>
    <cellStyle name="‡_Pere Equipment 2008 TCM_Gaswara_DecR1" xfId="619" xr:uid="{00000000-0005-0000-0000-00001E010000}"/>
    <cellStyle name="‡_Pere Equipment 2008 TCM_Performance Unit Feb 09-up to JBG.xlsSTS" xfId="620" xr:uid="{00000000-0005-0000-0000-00001F010000}"/>
    <cellStyle name="‡_Pere Equipment 2008 TCM_RCP Report JAN 09_r1" xfId="621" xr:uid="{00000000-0005-0000-0000-000020010000}"/>
    <cellStyle name="‡_Pere Equipment 2008 TCM_RCP_R1" xfId="622" xr:uid="{00000000-0005-0000-0000-000021010000}"/>
    <cellStyle name="‡_Pere Equipment 2008 TCM_STS" xfId="623" xr:uid="{00000000-0005-0000-0000-000022010000}"/>
    <cellStyle name="‡_Pere Equipment 2008 TCM_STS rev1" xfId="624" xr:uid="{00000000-0005-0000-0000-000023010000}"/>
    <cellStyle name="‡_Pere Equipment 2008 TCM_STS_BAS feb_R1" xfId="625" xr:uid="{00000000-0005-0000-0000-000024010000}"/>
    <cellStyle name="‡_Pere Equipment 2008 TCM_STS_Exc_Daily-MA-UA-OA_0109" xfId="626" xr:uid="{00000000-0005-0000-0000-000025010000}"/>
    <cellStyle name="‡_Pere Equipment 2008 TCM_STS_Exc_Daily-MA-UA-OA_Des' 08" xfId="627" xr:uid="{00000000-0005-0000-0000-000026010000}"/>
    <cellStyle name="‡_Pere Equipment 2008 TCM_STS_r1" xfId="628" xr:uid="{00000000-0005-0000-0000-000027010000}"/>
    <cellStyle name="‡_Pere Jkt Y 2008 NB R6 HO_iqb (8Feb08)" xfId="629" xr:uid="{00000000-0005-0000-0000-000028010000}"/>
    <cellStyle name="‡_Pere Jkt Y 2008 NB R6 HO_iqb (8Feb08)_BAS" xfId="630" xr:uid="{00000000-0005-0000-0000-000029010000}"/>
    <cellStyle name="‡_Pere Jkt Y 2008 NB R6 HO_iqb (8Feb08)_BAS Exc_Daily-MA UA UO_Nov' 08" xfId="631" xr:uid="{00000000-0005-0000-0000-00002A010000}"/>
    <cellStyle name="‡_Pere Jkt Y 2008 NB R6 HO_iqb (8Feb08)_BAS feb_R1" xfId="632" xr:uid="{00000000-0005-0000-0000-00002B010000}"/>
    <cellStyle name="‡_Pere Jkt Y 2008 NB R6 HO_iqb (8Feb08)_Contractor Performance Plan of  2009_V7" xfId="633" xr:uid="{00000000-0005-0000-0000-00002C010000}"/>
    <cellStyle name="‡_Pere Jkt Y 2008 NB R6 HO_iqb (8Feb08)_CSMU" xfId="634" xr:uid="{00000000-0005-0000-0000-00002D010000}"/>
    <cellStyle name="‡_Pere Jkt Y 2008 NB R6 HO_iqb (8Feb08)_CSMU DES R12008" xfId="635" xr:uid="{00000000-0005-0000-0000-00002E010000}"/>
    <cellStyle name="‡_Pere Jkt Y 2008 NB R6 HO_iqb (8Feb08)_CSMU_r1" xfId="636" xr:uid="{00000000-0005-0000-0000-00002F010000}"/>
    <cellStyle name="‡_Pere Jkt Y 2008 NB R6 HO_iqb (8Feb08)_EQUIPMENT EXCAVATOR PT. GAS" xfId="637" xr:uid="{00000000-0005-0000-0000-000030010000}"/>
    <cellStyle name="‡_Pere Jkt Y 2008 NB R6 HO_iqb (8Feb08)_Equipment Performance end of Jan09" xfId="638" xr:uid="{00000000-0005-0000-0000-000031010000}"/>
    <cellStyle name="‡_Pere Jkt Y 2008 NB R6 HO_iqb (8Feb08)_Equipment Performance end of November" xfId="639" xr:uid="{00000000-0005-0000-0000-000032010000}"/>
    <cellStyle name="‡_Pere Jkt Y 2008 NB R6 HO_iqb (8Feb08)_Equipment Performance end of November_BAS feb_R1" xfId="640" xr:uid="{00000000-0005-0000-0000-000033010000}"/>
    <cellStyle name="‡_Pere Jkt Y 2008 NB R6 HO_iqb (8Feb08)_Equipment Performance end of November_Exc_Daily-MA-UA-OA_0109" xfId="641" xr:uid="{00000000-0005-0000-0000-000034010000}"/>
    <cellStyle name="‡_Pere Jkt Y 2008 NB R6 HO_iqb (8Feb08)_Equipment Performance end of November_Exc_Daily-MA-UA-OA_Des' 08" xfId="642" xr:uid="{00000000-0005-0000-0000-000035010000}"/>
    <cellStyle name="‡_Pere Jkt Y 2008 NB R6 HO_iqb (8Feb08)_Equipment Performance end of October" xfId="643" xr:uid="{00000000-0005-0000-0000-000036010000}"/>
    <cellStyle name="‡_Pere Jkt Y 2008 NB R6 HO_iqb (8Feb08)_Equipment Performance end of October_BAS feb_R1" xfId="644" xr:uid="{00000000-0005-0000-0000-000037010000}"/>
    <cellStyle name="‡_Pere Jkt Y 2008 NB R6 HO_iqb (8Feb08)_Equipment Performance end of October_Exc_Daily-MA-UA-OA_0109" xfId="645" xr:uid="{00000000-0005-0000-0000-000038010000}"/>
    <cellStyle name="‡_Pere Jkt Y 2008 NB R6 HO_iqb (8Feb08)_Equipment Performance end of October_Exc_Daily-MA-UA-OA_Des' 08" xfId="646" xr:uid="{00000000-0005-0000-0000-000039010000}"/>
    <cellStyle name="‡_Pere Jkt Y 2008 NB R6 HO_iqb (8Feb08)_Equipment Performance Gaswara_feb_" xfId="647" xr:uid="{00000000-0005-0000-0000-00003A010000}"/>
    <cellStyle name="‡_Pere Jkt Y 2008 NB R6 HO_iqb (8Feb08)_EQUIPMENT PERFORMANCE OB PT. CSMU FEB 2009" xfId="648" xr:uid="{00000000-0005-0000-0000-00003B010000}"/>
    <cellStyle name="‡_Pere Jkt Y 2008 NB R6 HO_iqb (8Feb08)_Equipment Performance Plan 2010" xfId="649" xr:uid="{00000000-0005-0000-0000-00003C010000}"/>
    <cellStyle name="‡_Pere Jkt Y 2008 NB R6 HO_iqb (8Feb08)_EQUIPMENT PERFORMANCE PT. CSMU NOP 2008" xfId="650" xr:uid="{00000000-0005-0000-0000-00003D010000}"/>
    <cellStyle name="‡_Pere Jkt Y 2008 NB R6 HO_iqb (8Feb08)_Exc_Daily-MA-UA-OA_0109" xfId="651" xr:uid="{00000000-0005-0000-0000-00003E010000}"/>
    <cellStyle name="‡_Pere Jkt Y 2008 NB R6 HO_iqb (8Feb08)_Exc_Daily-MA-UA-OA_Des' 08" xfId="652" xr:uid="{00000000-0005-0000-0000-00003F010000}"/>
    <cellStyle name="‡_Pere Jkt Y 2008 NB R6 HO_iqb (8Feb08)_Form Performance Unit HE-Nov08" xfId="653" xr:uid="{00000000-0005-0000-0000-000040010000}"/>
    <cellStyle name="‡_Pere Jkt Y 2008 NB R6 HO_iqb (8Feb08)_GASWARA JANUARI" xfId="654" xr:uid="{00000000-0005-0000-0000-000041010000}"/>
    <cellStyle name="‡_Pere Jkt Y 2008 NB R6 HO_iqb (8Feb08)_Gaswara_DecR1" xfId="655" xr:uid="{00000000-0005-0000-0000-000042010000}"/>
    <cellStyle name="‡_Pere Jkt Y 2008 NB R6 HO_iqb (8Feb08)_Performance Unit Feb 09-up to JBG.xlsSTS" xfId="656" xr:uid="{00000000-0005-0000-0000-000043010000}"/>
    <cellStyle name="‡_Pere Jkt Y 2008 NB R6 HO_iqb (8Feb08)_RCP Report JAN 09_r1" xfId="657" xr:uid="{00000000-0005-0000-0000-000044010000}"/>
    <cellStyle name="‡_Pere Jkt Y 2008 NB R6 HO_iqb (8Feb08)_RCP_R1" xfId="658" xr:uid="{00000000-0005-0000-0000-000045010000}"/>
    <cellStyle name="‡_Pere Jkt Y 2008 NB R6 HO_iqb (8Feb08)_STS" xfId="659" xr:uid="{00000000-0005-0000-0000-000046010000}"/>
    <cellStyle name="‡_Pere Jkt Y 2008 NB R6 HO_iqb (8Feb08)_STS rev1" xfId="660" xr:uid="{00000000-0005-0000-0000-000047010000}"/>
    <cellStyle name="‡_Pere Jkt Y 2008 NB R6 HO_iqb (8Feb08)_STS_BAS feb_R1" xfId="661" xr:uid="{00000000-0005-0000-0000-000048010000}"/>
    <cellStyle name="‡_Pere Jkt Y 2008 NB R6 HO_iqb (8Feb08)_STS_Exc_Daily-MA-UA-OA_0109" xfId="662" xr:uid="{00000000-0005-0000-0000-000049010000}"/>
    <cellStyle name="‡_Pere Jkt Y 2008 NB R6 HO_iqb (8Feb08)_STS_Exc_Daily-MA-UA-OA_Des' 08" xfId="663" xr:uid="{00000000-0005-0000-0000-00004A010000}"/>
    <cellStyle name="‡_Pere Jkt Y 2008 NB R6 HO_iqb (8Feb08)_STS_r1" xfId="664" xr:uid="{00000000-0005-0000-0000-00004B010000}"/>
    <cellStyle name="‡_Performance Unit Feb 09-up to JBG.xlsSTS" xfId="665" xr:uid="{00000000-0005-0000-0000-00004C010000}"/>
    <cellStyle name="‡_RCP Report JAN 09_r1" xfId="666" xr:uid="{00000000-0005-0000-0000-00004D010000}"/>
    <cellStyle name="‡_RCP_R1" xfId="667" xr:uid="{00000000-0005-0000-0000-00004E010000}"/>
    <cellStyle name="‡_Recond Comp Capex budget&amp;MA ex-rcp equipment_150608" xfId="668" xr:uid="{00000000-0005-0000-0000-00004F010000}"/>
    <cellStyle name="‡_STA-DRP" xfId="669" xr:uid="{00000000-0005-0000-0000-000050010000}"/>
    <cellStyle name="‡_STA-DRP 2" xfId="670" xr:uid="{00000000-0005-0000-0000-000051010000}"/>
    <cellStyle name="‡_STA-DRP 2 2" xfId="671" xr:uid="{00000000-0005-0000-0000-000052010000}"/>
    <cellStyle name="‡_STA-DRP 3" xfId="672" xr:uid="{00000000-0005-0000-0000-000053010000}"/>
    <cellStyle name="‡_STA-DRP_01. equipment hour rental   jan09" xfId="673" xr:uid="{00000000-0005-0000-0000-000054010000}"/>
    <cellStyle name="‡_STA-DRP_01. equipment hour rental   jan09 2" xfId="674" xr:uid="{00000000-0005-0000-0000-000055010000}"/>
    <cellStyle name="‡_STA-DRP_01. equipment hour rental   jan09 3" xfId="675" xr:uid="{00000000-0005-0000-0000-000056010000}"/>
    <cellStyle name="‡_STA-DRP_4.HD465-7_Equipment Recond Price_261107" xfId="676" xr:uid="{00000000-0005-0000-0000-000057010000}"/>
    <cellStyle name="‡_STA-DRP_Bargeloading February 2012" xfId="677" xr:uid="{00000000-0005-0000-0000-000058010000}"/>
    <cellStyle name="‡_STA-DRP_BAS" xfId="678" xr:uid="{00000000-0005-0000-0000-000059010000}"/>
    <cellStyle name="‡_STA-DRP_BAS Exc_Daily-MA UA UO_Nov' 08" xfId="679" xr:uid="{00000000-0005-0000-0000-00005A010000}"/>
    <cellStyle name="‡_STA-DRP_BAS feb_R1" xfId="680" xr:uid="{00000000-0005-0000-0000-00005B010000}"/>
    <cellStyle name="‡_STA-DRP_BOOK1" xfId="681" xr:uid="{00000000-0005-0000-0000-00005C010000}"/>
    <cellStyle name="‡_STA-DRP_BOOK1 2" xfId="682" xr:uid="{00000000-0005-0000-0000-00005D010000}"/>
    <cellStyle name="‡_STA-DRP_BOOK1 2 2" xfId="683" xr:uid="{00000000-0005-0000-0000-00005E010000}"/>
    <cellStyle name="‡_STA-DRP_BOOK1 3" xfId="684" xr:uid="{00000000-0005-0000-0000-00005F010000}"/>
    <cellStyle name="‡_STA-DRP_BOOK1_01. equipment hour rental   jan09" xfId="685" xr:uid="{00000000-0005-0000-0000-000060010000}"/>
    <cellStyle name="‡_STA-DRP_BOOK1_01. equipment hour rental   jan09 2" xfId="686" xr:uid="{00000000-0005-0000-0000-000061010000}"/>
    <cellStyle name="‡_STA-DRP_BOOK1_01. equipment hour rental   jan09 3" xfId="687" xr:uid="{00000000-0005-0000-0000-000062010000}"/>
    <cellStyle name="‡_STA-DRP_BOOK1_4.HD465-7_Equipment Recond Price_261107" xfId="688" xr:uid="{00000000-0005-0000-0000-000063010000}"/>
    <cellStyle name="‡_STA-DRP_BOOK1_Bargeloading February 2012" xfId="689" xr:uid="{00000000-0005-0000-0000-000064010000}"/>
    <cellStyle name="‡_STA-DRP_BOOK1_BAS" xfId="690" xr:uid="{00000000-0005-0000-0000-000065010000}"/>
    <cellStyle name="‡_STA-DRP_BOOK1_BAS Exc_Daily-MA UA UO_Nov' 08" xfId="691" xr:uid="{00000000-0005-0000-0000-000066010000}"/>
    <cellStyle name="‡_STA-DRP_BOOK1_BAS feb_R1" xfId="692" xr:uid="{00000000-0005-0000-0000-000067010000}"/>
    <cellStyle name="‡_STA-DRP_BOOK1_Contractor Performance Plan of  2009_V7" xfId="693" xr:uid="{00000000-0005-0000-0000-000068010000}"/>
    <cellStyle name="‡_STA-DRP_BOOK1_CSMU" xfId="694" xr:uid="{00000000-0005-0000-0000-000069010000}"/>
    <cellStyle name="‡_STA-DRP_BOOK1_CSMU DES R12008" xfId="695" xr:uid="{00000000-0005-0000-0000-00006A010000}"/>
    <cellStyle name="‡_STA-DRP_BOOK1_CSMU_r1" xfId="696" xr:uid="{00000000-0005-0000-0000-00006B010000}"/>
    <cellStyle name="‡_STA-DRP_BOOK1_EQUIPMENT EXCAVATOR PT. GAS" xfId="697" xr:uid="{00000000-0005-0000-0000-00006C010000}"/>
    <cellStyle name="‡_STA-DRP_BOOK1_Equipment Performance end of Jan09" xfId="698" xr:uid="{00000000-0005-0000-0000-00006D010000}"/>
    <cellStyle name="‡_STA-DRP_BOOK1_Equipment Performance end of November" xfId="699" xr:uid="{00000000-0005-0000-0000-00006E010000}"/>
    <cellStyle name="‡_STA-DRP_BOOK1_Equipment Performance end of November_BAS feb_R1" xfId="700" xr:uid="{00000000-0005-0000-0000-00006F010000}"/>
    <cellStyle name="‡_STA-DRP_BOOK1_Equipment Performance end of November_Exc_Daily-MA-UA-OA_0109" xfId="701" xr:uid="{00000000-0005-0000-0000-000070010000}"/>
    <cellStyle name="‡_STA-DRP_BOOK1_Equipment Performance end of November_Exc_Daily-MA-UA-OA_Des' 08" xfId="702" xr:uid="{00000000-0005-0000-0000-000071010000}"/>
    <cellStyle name="‡_STA-DRP_BOOK1_Equipment Performance end of October" xfId="703" xr:uid="{00000000-0005-0000-0000-000072010000}"/>
    <cellStyle name="‡_STA-DRP_BOOK1_Equipment Performance end of October_BAS feb_R1" xfId="704" xr:uid="{00000000-0005-0000-0000-000073010000}"/>
    <cellStyle name="‡_STA-DRP_BOOK1_Equipment Performance end of October_Exc_Daily-MA-UA-OA_0109" xfId="705" xr:uid="{00000000-0005-0000-0000-000074010000}"/>
    <cellStyle name="‡_STA-DRP_BOOK1_Equipment Performance end of October_Exc_Daily-MA-UA-OA_Des' 08" xfId="706" xr:uid="{00000000-0005-0000-0000-000075010000}"/>
    <cellStyle name="‡_STA-DRP_BOOK1_Equipment Performance Gaswara_feb_" xfId="707" xr:uid="{00000000-0005-0000-0000-000076010000}"/>
    <cellStyle name="‡_STA-DRP_BOOK1_EQUIPMENT PERFORMANCE OB PT. CSMU FEB 2009" xfId="708" xr:uid="{00000000-0005-0000-0000-000077010000}"/>
    <cellStyle name="‡_STA-DRP_BOOK1_Equipment Performance Plan 2010" xfId="709" xr:uid="{00000000-0005-0000-0000-000078010000}"/>
    <cellStyle name="‡_STA-DRP_BOOK1_EQUIPMENT PERFORMANCE PT. CSMU NOP 2008" xfId="710" xr:uid="{00000000-0005-0000-0000-000079010000}"/>
    <cellStyle name="‡_STA-DRP_BOOK1_Exc_Daily-MA-UA-OA_0109" xfId="711" xr:uid="{00000000-0005-0000-0000-00007A010000}"/>
    <cellStyle name="‡_STA-DRP_BOOK1_Exc_Daily-MA-UA-OA_Des' 08" xfId="712" xr:uid="{00000000-0005-0000-0000-00007B010000}"/>
    <cellStyle name="‡_STA-DRP_BOOK1_Form Performance Unit HE-Nov08" xfId="713" xr:uid="{00000000-0005-0000-0000-00007C010000}"/>
    <cellStyle name="‡_STA-DRP_BOOK1_GASWARA JANUARI" xfId="714" xr:uid="{00000000-0005-0000-0000-00007D010000}"/>
    <cellStyle name="‡_STA-DRP_BOOK1_Gaswara_DecR1" xfId="715" xr:uid="{00000000-0005-0000-0000-00007E010000}"/>
    <cellStyle name="‡_STA-DRP_BOOK1_ITM Rain v WH Availabke R0" xfId="716" xr:uid="{00000000-0005-0000-0000-00007F010000}"/>
    <cellStyle name="‡_STA-DRP_BOOK1_ITM Rain v WH Availabke R0_BAS" xfId="717" xr:uid="{00000000-0005-0000-0000-000080010000}"/>
    <cellStyle name="‡_STA-DRP_BOOK1_ITM Rain v WH Availabke R0_BAS Exc_Daily-MA UA UO_Nov' 08" xfId="718" xr:uid="{00000000-0005-0000-0000-000081010000}"/>
    <cellStyle name="‡_STA-DRP_BOOK1_ITM Rain v WH Availabke R0_BAS feb_R1" xfId="719" xr:uid="{00000000-0005-0000-0000-000082010000}"/>
    <cellStyle name="‡_STA-DRP_BOOK1_ITM Rain v WH Availabke R0_Contractor Performance Plan of  2009_V7" xfId="720" xr:uid="{00000000-0005-0000-0000-000083010000}"/>
    <cellStyle name="‡_STA-DRP_BOOK1_ITM Rain v WH Availabke R0_CSMU" xfId="721" xr:uid="{00000000-0005-0000-0000-000084010000}"/>
    <cellStyle name="‡_STA-DRP_BOOK1_ITM Rain v WH Availabke R0_CSMU DES R12008" xfId="722" xr:uid="{00000000-0005-0000-0000-000085010000}"/>
    <cellStyle name="‡_STA-DRP_BOOK1_ITM Rain v WH Availabke R0_CSMU_r1" xfId="723" xr:uid="{00000000-0005-0000-0000-000086010000}"/>
    <cellStyle name="‡_STA-DRP_BOOK1_ITM Rain v WH Availabke R0_EQUIPMENT EXCAVATOR PT. GAS" xfId="724" xr:uid="{00000000-0005-0000-0000-000087010000}"/>
    <cellStyle name="‡_STA-DRP_BOOK1_ITM Rain v WH Availabke R0_Equipment Performance end of Jan09" xfId="725" xr:uid="{00000000-0005-0000-0000-000088010000}"/>
    <cellStyle name="‡_STA-DRP_BOOK1_ITM Rain v WH Availabke R0_Equipment Performance end of November" xfId="726" xr:uid="{00000000-0005-0000-0000-000089010000}"/>
    <cellStyle name="‡_STA-DRP_BOOK1_ITM Rain v WH Availabke R0_Equipment Performance end of November_BAS feb_R1" xfId="727" xr:uid="{00000000-0005-0000-0000-00008A010000}"/>
    <cellStyle name="‡_STA-DRP_BOOK1_ITM Rain v WH Availabke R0_Equipment Performance end of November_Exc_Daily-MA-UA-OA_0109" xfId="728" xr:uid="{00000000-0005-0000-0000-00008B010000}"/>
    <cellStyle name="‡_STA-DRP_BOOK1_ITM Rain v WH Availabke R0_Equipment Performance end of November_Exc_Daily-MA-UA-OA_Des' 08" xfId="729" xr:uid="{00000000-0005-0000-0000-00008C010000}"/>
    <cellStyle name="‡_STA-DRP_BOOK1_ITM Rain v WH Availabke R0_Equipment Performance end of October" xfId="730" xr:uid="{00000000-0005-0000-0000-00008D010000}"/>
    <cellStyle name="‡_STA-DRP_BOOK1_ITM Rain v WH Availabke R0_Equipment Performance end of October_BAS feb_R1" xfId="731" xr:uid="{00000000-0005-0000-0000-00008E010000}"/>
    <cellStyle name="‡_STA-DRP_BOOK1_ITM Rain v WH Availabke R0_Equipment Performance end of October_Exc_Daily-MA-UA-OA_0109" xfId="732" xr:uid="{00000000-0005-0000-0000-00008F010000}"/>
    <cellStyle name="‡_STA-DRP_BOOK1_ITM Rain v WH Availabke R0_Equipment Performance end of October_Exc_Daily-MA-UA-OA_Des' 08" xfId="733" xr:uid="{00000000-0005-0000-0000-000090010000}"/>
    <cellStyle name="‡_STA-DRP_BOOK1_ITM Rain v WH Availabke R0_Equipment Performance Gaswara_feb_" xfId="734" xr:uid="{00000000-0005-0000-0000-000091010000}"/>
    <cellStyle name="‡_STA-DRP_BOOK1_ITM Rain v WH Availabke R0_EQUIPMENT PERFORMANCE OB PT. CSMU FEB 2009" xfId="735" xr:uid="{00000000-0005-0000-0000-000092010000}"/>
    <cellStyle name="‡_STA-DRP_BOOK1_ITM Rain v WH Availabke R0_Equipment Performance Plan 2010" xfId="736" xr:uid="{00000000-0005-0000-0000-000093010000}"/>
    <cellStyle name="‡_STA-DRP_BOOK1_ITM Rain v WH Availabke R0_EQUIPMENT PERFORMANCE PT. CSMU NOP 2008" xfId="737" xr:uid="{00000000-0005-0000-0000-000094010000}"/>
    <cellStyle name="‡_STA-DRP_BOOK1_ITM Rain v WH Availabke R0_Exc_Daily-MA-UA-OA_0109" xfId="738" xr:uid="{00000000-0005-0000-0000-000095010000}"/>
    <cellStyle name="‡_STA-DRP_BOOK1_ITM Rain v WH Availabke R0_Exc_Daily-MA-UA-OA_Des' 08" xfId="739" xr:uid="{00000000-0005-0000-0000-000096010000}"/>
    <cellStyle name="‡_STA-DRP_BOOK1_ITM Rain v WH Availabke R0_Form Performance Unit HE-Nov08" xfId="740" xr:uid="{00000000-0005-0000-0000-000097010000}"/>
    <cellStyle name="‡_STA-DRP_BOOK1_ITM Rain v WH Availabke R0_GASWARA JANUARI" xfId="741" xr:uid="{00000000-0005-0000-0000-000098010000}"/>
    <cellStyle name="‡_STA-DRP_BOOK1_ITM Rain v WH Availabke R0_Gaswara_DecR1" xfId="742" xr:uid="{00000000-0005-0000-0000-000099010000}"/>
    <cellStyle name="‡_STA-DRP_BOOK1_ITM Rain v WH Availabke R0_Performance Unit Feb 09-up to JBG.xlsSTS" xfId="743" xr:uid="{00000000-0005-0000-0000-00009A010000}"/>
    <cellStyle name="‡_STA-DRP_BOOK1_ITM Rain v WH Availabke R0_RCP Report JAN 09_r1" xfId="744" xr:uid="{00000000-0005-0000-0000-00009B010000}"/>
    <cellStyle name="‡_STA-DRP_BOOK1_ITM Rain v WH Availabke R0_RCP_R1" xfId="745" xr:uid="{00000000-0005-0000-0000-00009C010000}"/>
    <cellStyle name="‡_STA-DRP_BOOK1_ITM Rain v WH Availabke R0_STS" xfId="746" xr:uid="{00000000-0005-0000-0000-00009D010000}"/>
    <cellStyle name="‡_STA-DRP_BOOK1_ITM Rain v WH Availabke R0_STS rev1" xfId="747" xr:uid="{00000000-0005-0000-0000-00009E010000}"/>
    <cellStyle name="‡_STA-DRP_BOOK1_ITM Rain v WH Availabke R0_STS_BAS feb_R1" xfId="748" xr:uid="{00000000-0005-0000-0000-00009F010000}"/>
    <cellStyle name="‡_STA-DRP_BOOK1_ITM Rain v WH Availabke R0_STS_Exc_Daily-MA-UA-OA_0109" xfId="749" xr:uid="{00000000-0005-0000-0000-0000A0010000}"/>
    <cellStyle name="‡_STA-DRP_BOOK1_ITM Rain v WH Availabke R0_STS_Exc_Daily-MA-UA-OA_Des' 08" xfId="750" xr:uid="{00000000-0005-0000-0000-0000A1010000}"/>
    <cellStyle name="‡_STA-DRP_BOOK1_ITM Rain v WH Availabke R0_STS_r1" xfId="751" xr:uid="{00000000-0005-0000-0000-0000A2010000}"/>
    <cellStyle name="‡_STA-DRP_BOOK1_Pere Equipment 2008 TCM" xfId="752" xr:uid="{00000000-0005-0000-0000-0000A3010000}"/>
    <cellStyle name="‡_STA-DRP_BOOK1_Pere Equipment 2008 TCM_BAS" xfId="753" xr:uid="{00000000-0005-0000-0000-0000A4010000}"/>
    <cellStyle name="‡_STA-DRP_BOOK1_Pere Equipment 2008 TCM_BAS Exc_Daily-MA UA UO_Nov' 08" xfId="754" xr:uid="{00000000-0005-0000-0000-0000A5010000}"/>
    <cellStyle name="‡_STA-DRP_BOOK1_Pere Equipment 2008 TCM_BAS feb_R1" xfId="755" xr:uid="{00000000-0005-0000-0000-0000A6010000}"/>
    <cellStyle name="‡_STA-DRP_BOOK1_Pere Equipment 2008 TCM_Contractor Performance Plan of  2009_V7" xfId="756" xr:uid="{00000000-0005-0000-0000-0000A7010000}"/>
    <cellStyle name="‡_STA-DRP_BOOK1_Pere Equipment 2008 TCM_CSMU" xfId="757" xr:uid="{00000000-0005-0000-0000-0000A8010000}"/>
    <cellStyle name="‡_STA-DRP_BOOK1_Pere Equipment 2008 TCM_CSMU DES R12008" xfId="758" xr:uid="{00000000-0005-0000-0000-0000A9010000}"/>
    <cellStyle name="‡_STA-DRP_BOOK1_Pere Equipment 2008 TCM_CSMU_r1" xfId="759" xr:uid="{00000000-0005-0000-0000-0000AA010000}"/>
    <cellStyle name="‡_STA-DRP_BOOK1_Pere Equipment 2008 TCM_EQUIPMENT EXCAVATOR PT. GAS" xfId="760" xr:uid="{00000000-0005-0000-0000-0000AB010000}"/>
    <cellStyle name="‡_STA-DRP_BOOK1_Pere Equipment 2008 TCM_Equipment Performance end of Jan09" xfId="761" xr:uid="{00000000-0005-0000-0000-0000AC010000}"/>
    <cellStyle name="‡_STA-DRP_BOOK1_Pere Equipment 2008 TCM_Equipment Performance end of November" xfId="762" xr:uid="{00000000-0005-0000-0000-0000AD010000}"/>
    <cellStyle name="‡_STA-DRP_BOOK1_Pere Equipment 2008 TCM_Equipment Performance end of November_BAS feb_R1" xfId="763" xr:uid="{00000000-0005-0000-0000-0000AE010000}"/>
    <cellStyle name="‡_STA-DRP_BOOK1_Pere Equipment 2008 TCM_Equipment Performance end of November_Exc_Daily-MA-UA-OA_0109" xfId="764" xr:uid="{00000000-0005-0000-0000-0000AF010000}"/>
    <cellStyle name="‡_STA-DRP_BOOK1_Pere Equipment 2008 TCM_Equipment Performance end of November_Exc_Daily-MA-UA-OA_Des' 08" xfId="765" xr:uid="{00000000-0005-0000-0000-0000B0010000}"/>
    <cellStyle name="‡_STA-DRP_BOOK1_Pere Equipment 2008 TCM_Equipment Performance end of October" xfId="766" xr:uid="{00000000-0005-0000-0000-0000B1010000}"/>
    <cellStyle name="‡_STA-DRP_BOOK1_Pere Equipment 2008 TCM_Equipment Performance end of October_BAS feb_R1" xfId="767" xr:uid="{00000000-0005-0000-0000-0000B2010000}"/>
    <cellStyle name="‡_STA-DRP_BOOK1_Pere Equipment 2008 TCM_Equipment Performance end of October_Exc_Daily-MA-UA-OA_0109" xfId="768" xr:uid="{00000000-0005-0000-0000-0000B3010000}"/>
    <cellStyle name="‡_STA-DRP_BOOK1_Pere Equipment 2008 TCM_Equipment Performance end of October_Exc_Daily-MA-UA-OA_Des' 08" xfId="769" xr:uid="{00000000-0005-0000-0000-0000B4010000}"/>
    <cellStyle name="‡_STA-DRP_BOOK1_Pere Equipment 2008 TCM_Equipment Performance Gaswara_feb_" xfId="770" xr:uid="{00000000-0005-0000-0000-0000B5010000}"/>
    <cellStyle name="‡_STA-DRP_BOOK1_Pere Equipment 2008 TCM_EQUIPMENT PERFORMANCE OB PT. CSMU FEB 2009" xfId="771" xr:uid="{00000000-0005-0000-0000-0000B6010000}"/>
    <cellStyle name="‡_STA-DRP_BOOK1_Pere Equipment 2008 TCM_Equipment Performance Plan 2010" xfId="772" xr:uid="{00000000-0005-0000-0000-0000B7010000}"/>
    <cellStyle name="‡_STA-DRP_BOOK1_Pere Equipment 2008 TCM_EQUIPMENT PERFORMANCE PT. CSMU NOP 2008" xfId="773" xr:uid="{00000000-0005-0000-0000-0000B8010000}"/>
    <cellStyle name="‡_STA-DRP_BOOK1_Pere Equipment 2008 TCM_Exc_Daily-MA-UA-OA_0109" xfId="774" xr:uid="{00000000-0005-0000-0000-0000B9010000}"/>
    <cellStyle name="‡_STA-DRP_BOOK1_Pere Equipment 2008 TCM_Exc_Daily-MA-UA-OA_Des' 08" xfId="775" xr:uid="{00000000-0005-0000-0000-0000BA010000}"/>
    <cellStyle name="‡_STA-DRP_BOOK1_Pere Equipment 2008 TCM_Form Performance Unit HE-Nov08" xfId="776" xr:uid="{00000000-0005-0000-0000-0000BB010000}"/>
    <cellStyle name="‡_STA-DRP_BOOK1_Pere Equipment 2008 TCM_GASWARA JANUARI" xfId="777" xr:uid="{00000000-0005-0000-0000-0000BC010000}"/>
    <cellStyle name="‡_STA-DRP_BOOK1_Pere Equipment 2008 TCM_Gaswara_DecR1" xfId="778" xr:uid="{00000000-0005-0000-0000-0000BD010000}"/>
    <cellStyle name="‡_STA-DRP_BOOK1_Pere Equipment 2008 TCM_Performance Unit Feb 09-up to JBG.xlsSTS" xfId="779" xr:uid="{00000000-0005-0000-0000-0000BE010000}"/>
    <cellStyle name="‡_STA-DRP_BOOK1_Pere Equipment 2008 TCM_RCP Report JAN 09_r1" xfId="780" xr:uid="{00000000-0005-0000-0000-0000BF010000}"/>
    <cellStyle name="‡_STA-DRP_BOOK1_Pere Equipment 2008 TCM_RCP_R1" xfId="781" xr:uid="{00000000-0005-0000-0000-0000C0010000}"/>
    <cellStyle name="‡_STA-DRP_BOOK1_Pere Equipment 2008 TCM_STS" xfId="782" xr:uid="{00000000-0005-0000-0000-0000C1010000}"/>
    <cellStyle name="‡_STA-DRP_BOOK1_Pere Equipment 2008 TCM_STS rev1" xfId="783" xr:uid="{00000000-0005-0000-0000-0000C2010000}"/>
    <cellStyle name="‡_STA-DRP_BOOK1_Pere Equipment 2008 TCM_STS_BAS feb_R1" xfId="784" xr:uid="{00000000-0005-0000-0000-0000C3010000}"/>
    <cellStyle name="‡_STA-DRP_BOOK1_Pere Equipment 2008 TCM_STS_Exc_Daily-MA-UA-OA_0109" xfId="785" xr:uid="{00000000-0005-0000-0000-0000C4010000}"/>
    <cellStyle name="‡_STA-DRP_BOOK1_Pere Equipment 2008 TCM_STS_Exc_Daily-MA-UA-OA_Des' 08" xfId="786" xr:uid="{00000000-0005-0000-0000-0000C5010000}"/>
    <cellStyle name="‡_STA-DRP_BOOK1_Pere Equipment 2008 TCM_STS_r1" xfId="787" xr:uid="{00000000-0005-0000-0000-0000C6010000}"/>
    <cellStyle name="‡_STA-DRP_BOOK1_Pere Jkt Y 2008 NB R6 HO_iqb (8Feb08)" xfId="788" xr:uid="{00000000-0005-0000-0000-0000C7010000}"/>
    <cellStyle name="‡_STA-DRP_BOOK1_Pere Jkt Y 2008 NB R6 HO_iqb (8Feb08)_BAS" xfId="789" xr:uid="{00000000-0005-0000-0000-0000C8010000}"/>
    <cellStyle name="‡_STA-DRP_BOOK1_Pere Jkt Y 2008 NB R6 HO_iqb (8Feb08)_BAS Exc_Daily-MA UA UO_Nov' 08" xfId="790" xr:uid="{00000000-0005-0000-0000-0000C9010000}"/>
    <cellStyle name="‡_STA-DRP_BOOK1_Pere Jkt Y 2008 NB R6 HO_iqb (8Feb08)_BAS feb_R1" xfId="791" xr:uid="{00000000-0005-0000-0000-0000CA010000}"/>
    <cellStyle name="‡_STA-DRP_BOOK1_Pere Jkt Y 2008 NB R6 HO_iqb (8Feb08)_Contractor Performance Plan of  2009_V7" xfId="792" xr:uid="{00000000-0005-0000-0000-0000CB010000}"/>
    <cellStyle name="‡_STA-DRP_BOOK1_Pere Jkt Y 2008 NB R6 HO_iqb (8Feb08)_CSMU" xfId="793" xr:uid="{00000000-0005-0000-0000-0000CC010000}"/>
    <cellStyle name="‡_STA-DRP_BOOK1_Pere Jkt Y 2008 NB R6 HO_iqb (8Feb08)_CSMU DES R12008" xfId="794" xr:uid="{00000000-0005-0000-0000-0000CD010000}"/>
    <cellStyle name="‡_STA-DRP_BOOK1_Pere Jkt Y 2008 NB R6 HO_iqb (8Feb08)_CSMU_r1" xfId="795" xr:uid="{00000000-0005-0000-0000-0000CE010000}"/>
    <cellStyle name="‡_STA-DRP_BOOK1_Pere Jkt Y 2008 NB R6 HO_iqb (8Feb08)_EQUIPMENT EXCAVATOR PT. GAS" xfId="796" xr:uid="{00000000-0005-0000-0000-0000CF010000}"/>
    <cellStyle name="‡_STA-DRP_BOOK1_Pere Jkt Y 2008 NB R6 HO_iqb (8Feb08)_Equipment Performance end of Jan09" xfId="797" xr:uid="{00000000-0005-0000-0000-0000D0010000}"/>
    <cellStyle name="‡_STA-DRP_BOOK1_Pere Jkt Y 2008 NB R6 HO_iqb (8Feb08)_Equipment Performance end of November" xfId="798" xr:uid="{00000000-0005-0000-0000-0000D1010000}"/>
    <cellStyle name="‡_STA-DRP_BOOK1_Pere Jkt Y 2008 NB R6 HO_iqb (8Feb08)_Equipment Performance end of November_BAS feb_R1" xfId="799" xr:uid="{00000000-0005-0000-0000-0000D2010000}"/>
    <cellStyle name="‡_STA-DRP_BOOK1_Pere Jkt Y 2008 NB R6 HO_iqb (8Feb08)_Equipment Performance end of November_Exc_Daily-MA-UA-OA_0109" xfId="800" xr:uid="{00000000-0005-0000-0000-0000D3010000}"/>
    <cellStyle name="‡_STA-DRP_BOOK1_Pere Jkt Y 2008 NB R6 HO_iqb (8Feb08)_Equipment Performance end of November_Exc_Daily-MA-UA-OA_Des' 08" xfId="801" xr:uid="{00000000-0005-0000-0000-0000D4010000}"/>
    <cellStyle name="‡_STA-DRP_BOOK1_Pere Jkt Y 2008 NB R6 HO_iqb (8Feb08)_Equipment Performance end of October" xfId="802" xr:uid="{00000000-0005-0000-0000-0000D5010000}"/>
    <cellStyle name="‡_STA-DRP_BOOK1_Pere Jkt Y 2008 NB R6 HO_iqb (8Feb08)_Equipment Performance end of October_BAS feb_R1" xfId="803" xr:uid="{00000000-0005-0000-0000-0000D6010000}"/>
    <cellStyle name="‡_STA-DRP_BOOK1_Pere Jkt Y 2008 NB R6 HO_iqb (8Feb08)_Equipment Performance end of October_Exc_Daily-MA-UA-OA_0109" xfId="804" xr:uid="{00000000-0005-0000-0000-0000D7010000}"/>
    <cellStyle name="‡_STA-DRP_BOOK1_Pere Jkt Y 2008 NB R6 HO_iqb (8Feb08)_Equipment Performance end of October_Exc_Daily-MA-UA-OA_Des' 08" xfId="805" xr:uid="{00000000-0005-0000-0000-0000D8010000}"/>
    <cellStyle name="‡_STA-DRP_BOOK1_Pere Jkt Y 2008 NB R6 HO_iqb (8Feb08)_Equipment Performance Gaswara_feb_" xfId="806" xr:uid="{00000000-0005-0000-0000-0000D9010000}"/>
    <cellStyle name="‡_STA-DRP_BOOK1_Pere Jkt Y 2008 NB R6 HO_iqb (8Feb08)_EQUIPMENT PERFORMANCE OB PT. CSMU FEB 2009" xfId="807" xr:uid="{00000000-0005-0000-0000-0000DA010000}"/>
    <cellStyle name="‡_STA-DRP_BOOK1_Pere Jkt Y 2008 NB R6 HO_iqb (8Feb08)_Equipment Performance Plan 2010" xfId="808" xr:uid="{00000000-0005-0000-0000-0000DB010000}"/>
    <cellStyle name="‡_STA-DRP_BOOK1_Pere Jkt Y 2008 NB R6 HO_iqb (8Feb08)_EQUIPMENT PERFORMANCE PT. CSMU NOP 2008" xfId="809" xr:uid="{00000000-0005-0000-0000-0000DC010000}"/>
    <cellStyle name="‡_STA-DRP_BOOK1_Pere Jkt Y 2008 NB R6 HO_iqb (8Feb08)_Exc_Daily-MA-UA-OA_0109" xfId="810" xr:uid="{00000000-0005-0000-0000-0000DD010000}"/>
    <cellStyle name="‡_STA-DRP_BOOK1_Pere Jkt Y 2008 NB R6 HO_iqb (8Feb08)_Exc_Daily-MA-UA-OA_Des' 08" xfId="811" xr:uid="{00000000-0005-0000-0000-0000DE010000}"/>
    <cellStyle name="‡_STA-DRP_BOOK1_Pere Jkt Y 2008 NB R6 HO_iqb (8Feb08)_Form Performance Unit HE-Nov08" xfId="812" xr:uid="{00000000-0005-0000-0000-0000DF010000}"/>
    <cellStyle name="‡_STA-DRP_BOOK1_Pere Jkt Y 2008 NB R6 HO_iqb (8Feb08)_GASWARA JANUARI" xfId="813" xr:uid="{00000000-0005-0000-0000-0000E0010000}"/>
    <cellStyle name="‡_STA-DRP_BOOK1_Pere Jkt Y 2008 NB R6 HO_iqb (8Feb08)_Gaswara_DecR1" xfId="814" xr:uid="{00000000-0005-0000-0000-0000E1010000}"/>
    <cellStyle name="‡_STA-DRP_BOOK1_Pere Jkt Y 2008 NB R6 HO_iqb (8Feb08)_Performance Unit Feb 09-up to JBG.xlsSTS" xfId="815" xr:uid="{00000000-0005-0000-0000-0000E2010000}"/>
    <cellStyle name="‡_STA-DRP_BOOK1_Pere Jkt Y 2008 NB R6 HO_iqb (8Feb08)_RCP Report JAN 09_r1" xfId="816" xr:uid="{00000000-0005-0000-0000-0000E3010000}"/>
    <cellStyle name="‡_STA-DRP_BOOK1_Pere Jkt Y 2008 NB R6 HO_iqb (8Feb08)_RCP_R1" xfId="817" xr:uid="{00000000-0005-0000-0000-0000E4010000}"/>
    <cellStyle name="‡_STA-DRP_BOOK1_Pere Jkt Y 2008 NB R6 HO_iqb (8Feb08)_STS" xfId="818" xr:uid="{00000000-0005-0000-0000-0000E5010000}"/>
    <cellStyle name="‡_STA-DRP_BOOK1_Pere Jkt Y 2008 NB R6 HO_iqb (8Feb08)_STS rev1" xfId="819" xr:uid="{00000000-0005-0000-0000-0000E6010000}"/>
    <cellStyle name="‡_STA-DRP_BOOK1_Pere Jkt Y 2008 NB R6 HO_iqb (8Feb08)_STS_BAS feb_R1" xfId="820" xr:uid="{00000000-0005-0000-0000-0000E7010000}"/>
    <cellStyle name="‡_STA-DRP_BOOK1_Pere Jkt Y 2008 NB R6 HO_iqb (8Feb08)_STS_Exc_Daily-MA-UA-OA_0109" xfId="821" xr:uid="{00000000-0005-0000-0000-0000E8010000}"/>
    <cellStyle name="‡_STA-DRP_BOOK1_Pere Jkt Y 2008 NB R6 HO_iqb (8Feb08)_STS_Exc_Daily-MA-UA-OA_Des' 08" xfId="822" xr:uid="{00000000-0005-0000-0000-0000E9010000}"/>
    <cellStyle name="‡_STA-DRP_BOOK1_Pere Jkt Y 2008 NB R6 HO_iqb (8Feb08)_STS_r1" xfId="823" xr:uid="{00000000-0005-0000-0000-0000EA010000}"/>
    <cellStyle name="‡_STA-DRP_BOOK1_Performance Unit Feb 09-up to JBG.xlsSTS" xfId="824" xr:uid="{00000000-0005-0000-0000-0000EB010000}"/>
    <cellStyle name="‡_STA-DRP_BOOK1_RCP Report JAN 09_r1" xfId="825" xr:uid="{00000000-0005-0000-0000-0000EC010000}"/>
    <cellStyle name="‡_STA-DRP_BOOK1_RCP_R1" xfId="826" xr:uid="{00000000-0005-0000-0000-0000ED010000}"/>
    <cellStyle name="‡_STA-DRP_BOOK1_Recond Comp Capex budget&amp;MA ex-rcp equipment_150608" xfId="827" xr:uid="{00000000-0005-0000-0000-0000EE010000}"/>
    <cellStyle name="‡_STA-DRP_BOOK1_STS" xfId="828" xr:uid="{00000000-0005-0000-0000-0000EF010000}"/>
    <cellStyle name="‡_STA-DRP_BOOK1_STS rev1" xfId="829" xr:uid="{00000000-0005-0000-0000-0000F0010000}"/>
    <cellStyle name="‡_STA-DRP_BOOK1_STS_BAS feb_R1" xfId="830" xr:uid="{00000000-0005-0000-0000-0000F1010000}"/>
    <cellStyle name="‡_STA-DRP_BOOK1_STS_Exc_Daily-MA-UA-OA_0109" xfId="831" xr:uid="{00000000-0005-0000-0000-0000F2010000}"/>
    <cellStyle name="‡_STA-DRP_BOOK1_STS_Exc_Daily-MA-UA-OA_Des' 08" xfId="832" xr:uid="{00000000-0005-0000-0000-0000F3010000}"/>
    <cellStyle name="‡_STA-DRP_BOOK1_STS_r1" xfId="833" xr:uid="{00000000-0005-0000-0000-0000F4010000}"/>
    <cellStyle name="‡_STA-DRP_BOOK1_TCM performance report_V3 (prelim)22Feb08" xfId="834" xr:uid="{00000000-0005-0000-0000-0000F5010000}"/>
    <cellStyle name="‡_STA-DRP_BOOK1_TCM performance report_V3 (prelim)22Feb08_BAS" xfId="835" xr:uid="{00000000-0005-0000-0000-0000F6010000}"/>
    <cellStyle name="‡_STA-DRP_BOOK1_TCM performance report_V3 (prelim)22Feb08_BAS Exc_Daily-MA UA UO_Nov' 08" xfId="836" xr:uid="{00000000-0005-0000-0000-0000F7010000}"/>
    <cellStyle name="‡_STA-DRP_BOOK1_TCM performance report_V3 (prelim)22Feb08_BAS feb_R1" xfId="837" xr:uid="{00000000-0005-0000-0000-0000F8010000}"/>
    <cellStyle name="‡_STA-DRP_BOOK1_TCM performance report_V3 (prelim)22Feb08_Contractor Performance Plan of  2009_V7" xfId="838" xr:uid="{00000000-0005-0000-0000-0000F9010000}"/>
    <cellStyle name="‡_STA-DRP_BOOK1_TCM performance report_V3 (prelim)22Feb08_CSMU" xfId="839" xr:uid="{00000000-0005-0000-0000-0000FA010000}"/>
    <cellStyle name="‡_STA-DRP_BOOK1_TCM performance report_V3 (prelim)22Feb08_CSMU DES R12008" xfId="840" xr:uid="{00000000-0005-0000-0000-0000FB010000}"/>
    <cellStyle name="‡_STA-DRP_BOOK1_TCM performance report_V3 (prelim)22Feb08_CSMU_r1" xfId="841" xr:uid="{00000000-0005-0000-0000-0000FC010000}"/>
    <cellStyle name="‡_STA-DRP_BOOK1_TCM performance report_V3 (prelim)22Feb08_EQUIPMENT EXCAVATOR PT. GAS" xfId="842" xr:uid="{00000000-0005-0000-0000-0000FD010000}"/>
    <cellStyle name="‡_STA-DRP_BOOK1_TCM performance report_V3 (prelim)22Feb08_Equipment Performance end of Jan09" xfId="843" xr:uid="{00000000-0005-0000-0000-0000FE010000}"/>
    <cellStyle name="‡_STA-DRP_BOOK1_TCM performance report_V3 (prelim)22Feb08_Equipment Performance end of November" xfId="844" xr:uid="{00000000-0005-0000-0000-0000FF010000}"/>
    <cellStyle name="‡_STA-DRP_BOOK1_TCM performance report_V3 (prelim)22Feb08_Equipment Performance end of November_BAS feb_R1" xfId="845" xr:uid="{00000000-0005-0000-0000-000000020000}"/>
    <cellStyle name="‡_STA-DRP_BOOK1_TCM performance report_V3 (prelim)22Feb08_Equipment Performance end of November_Exc_Daily-MA-UA-OA_0109" xfId="846" xr:uid="{00000000-0005-0000-0000-000001020000}"/>
    <cellStyle name="‡_STA-DRP_BOOK1_TCM performance report_V3 (prelim)22Feb08_Equipment Performance end of November_Exc_Daily-MA-UA-OA_Des' 08" xfId="847" xr:uid="{00000000-0005-0000-0000-000002020000}"/>
    <cellStyle name="‡_STA-DRP_BOOK1_TCM performance report_V3 (prelim)22Feb08_Equipment Performance end of October" xfId="848" xr:uid="{00000000-0005-0000-0000-000003020000}"/>
    <cellStyle name="‡_STA-DRP_BOOK1_TCM performance report_V3 (prelim)22Feb08_Equipment Performance end of October_BAS feb_R1" xfId="849" xr:uid="{00000000-0005-0000-0000-000004020000}"/>
    <cellStyle name="‡_STA-DRP_BOOK1_TCM performance report_V3 (prelim)22Feb08_Equipment Performance end of October_Exc_Daily-MA-UA-OA_0109" xfId="850" xr:uid="{00000000-0005-0000-0000-000005020000}"/>
    <cellStyle name="‡_STA-DRP_BOOK1_TCM performance report_V3 (prelim)22Feb08_Equipment Performance end of October_Exc_Daily-MA-UA-OA_Des' 08" xfId="851" xr:uid="{00000000-0005-0000-0000-000006020000}"/>
    <cellStyle name="‡_STA-DRP_BOOK1_TCM performance report_V3 (prelim)22Feb08_Equipment Performance Gaswara_feb_" xfId="852" xr:uid="{00000000-0005-0000-0000-000007020000}"/>
    <cellStyle name="‡_STA-DRP_BOOK1_TCM performance report_V3 (prelim)22Feb08_EQUIPMENT PERFORMANCE OB PT. CSMU FEB 2009" xfId="853" xr:uid="{00000000-0005-0000-0000-000008020000}"/>
    <cellStyle name="‡_STA-DRP_BOOK1_TCM performance report_V3 (prelim)22Feb08_Equipment Performance Plan 2010" xfId="854" xr:uid="{00000000-0005-0000-0000-000009020000}"/>
    <cellStyle name="‡_STA-DRP_BOOK1_TCM performance report_V3 (prelim)22Feb08_EQUIPMENT PERFORMANCE PT. CSMU NOP 2008" xfId="855" xr:uid="{00000000-0005-0000-0000-00000A020000}"/>
    <cellStyle name="‡_STA-DRP_BOOK1_TCM performance report_V3 (prelim)22Feb08_Exc_Daily-MA-UA-OA_0109" xfId="856" xr:uid="{00000000-0005-0000-0000-00000B020000}"/>
    <cellStyle name="‡_STA-DRP_BOOK1_TCM performance report_V3 (prelim)22Feb08_Exc_Daily-MA-UA-OA_Des' 08" xfId="857" xr:uid="{00000000-0005-0000-0000-00000C020000}"/>
    <cellStyle name="‡_STA-DRP_BOOK1_TCM performance report_V3 (prelim)22Feb08_Form Performance Unit HE-Nov08" xfId="858" xr:uid="{00000000-0005-0000-0000-00000D020000}"/>
    <cellStyle name="‡_STA-DRP_BOOK1_TCM performance report_V3 (prelim)22Feb08_GASWARA JANUARI" xfId="859" xr:uid="{00000000-0005-0000-0000-00000E020000}"/>
    <cellStyle name="‡_STA-DRP_BOOK1_TCM performance report_V3 (prelim)22Feb08_Gaswara_DecR1" xfId="860" xr:uid="{00000000-0005-0000-0000-00000F020000}"/>
    <cellStyle name="‡_STA-DRP_BOOK1_TCM performance report_V3 (prelim)22Feb08_Performance Unit Feb 09-up to JBG.xlsSTS" xfId="861" xr:uid="{00000000-0005-0000-0000-000010020000}"/>
    <cellStyle name="‡_STA-DRP_BOOK1_TCM performance report_V3 (prelim)22Feb08_RCP Report JAN 09_r1" xfId="862" xr:uid="{00000000-0005-0000-0000-000011020000}"/>
    <cellStyle name="‡_STA-DRP_BOOK1_TCM performance report_V3 (prelim)22Feb08_RCP_R1" xfId="863" xr:uid="{00000000-0005-0000-0000-000012020000}"/>
    <cellStyle name="‡_STA-DRP_BOOK1_TCM performance report_V3 (prelim)22Feb08_STS" xfId="864" xr:uid="{00000000-0005-0000-0000-000013020000}"/>
    <cellStyle name="‡_STA-DRP_BOOK1_TCM performance report_V3 (prelim)22Feb08_STS rev1" xfId="865" xr:uid="{00000000-0005-0000-0000-000014020000}"/>
    <cellStyle name="‡_STA-DRP_BOOK1_TCM performance report_V3 (prelim)22Feb08_STS_BAS feb_R1" xfId="866" xr:uid="{00000000-0005-0000-0000-000015020000}"/>
    <cellStyle name="‡_STA-DRP_BOOK1_TCM performance report_V3 (prelim)22Feb08_STS_Exc_Daily-MA-UA-OA_0109" xfId="867" xr:uid="{00000000-0005-0000-0000-000016020000}"/>
    <cellStyle name="‡_STA-DRP_BOOK1_TCM performance report_V3 (prelim)22Feb08_STS_Exc_Daily-MA-UA-OA_Des' 08" xfId="868" xr:uid="{00000000-0005-0000-0000-000017020000}"/>
    <cellStyle name="‡_STA-DRP_BOOK1_TCM performance report_V3 (prelim)22Feb08_STS_r1" xfId="869" xr:uid="{00000000-0005-0000-0000-000018020000}"/>
    <cellStyle name="‡_STA-DRP_Contractor Performance Plan of  2009_V7" xfId="870" xr:uid="{00000000-0005-0000-0000-000019020000}"/>
    <cellStyle name="‡_STA-DRP_CSMU" xfId="871" xr:uid="{00000000-0005-0000-0000-00001A020000}"/>
    <cellStyle name="‡_STA-DRP_CSMU DES R12008" xfId="872" xr:uid="{00000000-0005-0000-0000-00001B020000}"/>
    <cellStyle name="‡_STA-DRP_CSMU_r1" xfId="873" xr:uid="{00000000-0005-0000-0000-00001C020000}"/>
    <cellStyle name="‡_STA-DRP_EQUIPMENT EXCAVATOR PT. GAS" xfId="874" xr:uid="{00000000-0005-0000-0000-00001D020000}"/>
    <cellStyle name="‡_STA-DRP_Equipment Performance end of Jan09" xfId="875" xr:uid="{00000000-0005-0000-0000-00001E020000}"/>
    <cellStyle name="‡_STA-DRP_Equipment Performance end of November" xfId="876" xr:uid="{00000000-0005-0000-0000-00001F020000}"/>
    <cellStyle name="‡_STA-DRP_Equipment Performance end of November_BAS feb_R1" xfId="877" xr:uid="{00000000-0005-0000-0000-000020020000}"/>
    <cellStyle name="‡_STA-DRP_Equipment Performance end of November_Exc_Daily-MA-UA-OA_0109" xfId="878" xr:uid="{00000000-0005-0000-0000-000021020000}"/>
    <cellStyle name="‡_STA-DRP_Equipment Performance end of November_Exc_Daily-MA-UA-OA_Des' 08" xfId="879" xr:uid="{00000000-0005-0000-0000-000022020000}"/>
    <cellStyle name="‡_STA-DRP_Equipment Performance end of October" xfId="880" xr:uid="{00000000-0005-0000-0000-000023020000}"/>
    <cellStyle name="‡_STA-DRP_Equipment Performance end of October_BAS feb_R1" xfId="881" xr:uid="{00000000-0005-0000-0000-000024020000}"/>
    <cellStyle name="‡_STA-DRP_Equipment Performance end of October_Exc_Daily-MA-UA-OA_0109" xfId="882" xr:uid="{00000000-0005-0000-0000-000025020000}"/>
    <cellStyle name="‡_STA-DRP_Equipment Performance end of October_Exc_Daily-MA-UA-OA_Des' 08" xfId="883" xr:uid="{00000000-0005-0000-0000-000026020000}"/>
    <cellStyle name="‡_STA-DRP_Equipment Performance Gaswara_feb_" xfId="884" xr:uid="{00000000-0005-0000-0000-000027020000}"/>
    <cellStyle name="‡_STA-DRP_EQUIPMENT PERFORMANCE OB PT. CSMU FEB 2009" xfId="885" xr:uid="{00000000-0005-0000-0000-000028020000}"/>
    <cellStyle name="‡_STA-DRP_Equipment Performance Plan 2010" xfId="886" xr:uid="{00000000-0005-0000-0000-000029020000}"/>
    <cellStyle name="‡_STA-DRP_EQUIPMENT PERFORMANCE PT. CSMU NOP 2008" xfId="887" xr:uid="{00000000-0005-0000-0000-00002A020000}"/>
    <cellStyle name="‡_STA-DRP_Exc_Daily-MA-UA-OA_0109" xfId="888" xr:uid="{00000000-0005-0000-0000-00002B020000}"/>
    <cellStyle name="‡_STA-DRP_Exc_Daily-MA-UA-OA_Des' 08" xfId="889" xr:uid="{00000000-0005-0000-0000-00002C020000}"/>
    <cellStyle name="‡_STA-DRP_Form Performance Unit HE-Nov08" xfId="890" xr:uid="{00000000-0005-0000-0000-00002D020000}"/>
    <cellStyle name="‡_STA-DRP_GASWARA JANUARI" xfId="891" xr:uid="{00000000-0005-0000-0000-00002E020000}"/>
    <cellStyle name="‡_STA-DRP_Gaswara_DecR1" xfId="892" xr:uid="{00000000-0005-0000-0000-00002F020000}"/>
    <cellStyle name="‡_STA-DRP_ITM Rain v WH Availabke R0" xfId="893" xr:uid="{00000000-0005-0000-0000-000030020000}"/>
    <cellStyle name="‡_STA-DRP_ITM Rain v WH Availabke R0_BAS" xfId="894" xr:uid="{00000000-0005-0000-0000-000031020000}"/>
    <cellStyle name="‡_STA-DRP_ITM Rain v WH Availabke R0_BAS Exc_Daily-MA UA UO_Nov' 08" xfId="895" xr:uid="{00000000-0005-0000-0000-000032020000}"/>
    <cellStyle name="‡_STA-DRP_ITM Rain v WH Availabke R0_BAS feb_R1" xfId="896" xr:uid="{00000000-0005-0000-0000-000033020000}"/>
    <cellStyle name="‡_STA-DRP_ITM Rain v WH Availabke R0_Contractor Performance Plan of  2009_V7" xfId="897" xr:uid="{00000000-0005-0000-0000-000034020000}"/>
    <cellStyle name="‡_STA-DRP_ITM Rain v WH Availabke R0_CSMU" xfId="898" xr:uid="{00000000-0005-0000-0000-000035020000}"/>
    <cellStyle name="‡_STA-DRP_ITM Rain v WH Availabke R0_CSMU DES R12008" xfId="899" xr:uid="{00000000-0005-0000-0000-000036020000}"/>
    <cellStyle name="‡_STA-DRP_ITM Rain v WH Availabke R0_CSMU_r1" xfId="900" xr:uid="{00000000-0005-0000-0000-000037020000}"/>
    <cellStyle name="‡_STA-DRP_ITM Rain v WH Availabke R0_EQUIPMENT EXCAVATOR PT. GAS" xfId="901" xr:uid="{00000000-0005-0000-0000-000038020000}"/>
    <cellStyle name="‡_STA-DRP_ITM Rain v WH Availabke R0_Equipment Performance end of Jan09" xfId="902" xr:uid="{00000000-0005-0000-0000-000039020000}"/>
    <cellStyle name="‡_STA-DRP_ITM Rain v WH Availabke R0_Equipment Performance end of November" xfId="903" xr:uid="{00000000-0005-0000-0000-00003A020000}"/>
    <cellStyle name="‡_STA-DRP_ITM Rain v WH Availabke R0_Equipment Performance end of November_BAS feb_R1" xfId="904" xr:uid="{00000000-0005-0000-0000-00003B020000}"/>
    <cellStyle name="‡_STA-DRP_ITM Rain v WH Availabke R0_Equipment Performance end of November_Exc_Daily-MA-UA-OA_0109" xfId="905" xr:uid="{00000000-0005-0000-0000-00003C020000}"/>
    <cellStyle name="‡_STA-DRP_ITM Rain v WH Availabke R0_Equipment Performance end of November_Exc_Daily-MA-UA-OA_Des' 08" xfId="906" xr:uid="{00000000-0005-0000-0000-00003D020000}"/>
    <cellStyle name="‡_STA-DRP_ITM Rain v WH Availabke R0_Equipment Performance end of October" xfId="907" xr:uid="{00000000-0005-0000-0000-00003E020000}"/>
    <cellStyle name="‡_STA-DRP_ITM Rain v WH Availabke R0_Equipment Performance end of October_BAS feb_R1" xfId="908" xr:uid="{00000000-0005-0000-0000-00003F020000}"/>
    <cellStyle name="‡_STA-DRP_ITM Rain v WH Availabke R0_Equipment Performance end of October_Exc_Daily-MA-UA-OA_0109" xfId="909" xr:uid="{00000000-0005-0000-0000-000040020000}"/>
    <cellStyle name="‡_STA-DRP_ITM Rain v WH Availabke R0_Equipment Performance end of October_Exc_Daily-MA-UA-OA_Des' 08" xfId="910" xr:uid="{00000000-0005-0000-0000-000041020000}"/>
    <cellStyle name="‡_STA-DRP_ITM Rain v WH Availabke R0_Equipment Performance Gaswara_feb_" xfId="911" xr:uid="{00000000-0005-0000-0000-000042020000}"/>
    <cellStyle name="‡_STA-DRP_ITM Rain v WH Availabke R0_EQUIPMENT PERFORMANCE OB PT. CSMU FEB 2009" xfId="912" xr:uid="{00000000-0005-0000-0000-000043020000}"/>
    <cellStyle name="‡_STA-DRP_ITM Rain v WH Availabke R0_Equipment Performance Plan 2010" xfId="913" xr:uid="{00000000-0005-0000-0000-000044020000}"/>
    <cellStyle name="‡_STA-DRP_ITM Rain v WH Availabke R0_EQUIPMENT PERFORMANCE PT. CSMU NOP 2008" xfId="914" xr:uid="{00000000-0005-0000-0000-000045020000}"/>
    <cellStyle name="‡_STA-DRP_ITM Rain v WH Availabke R0_Exc_Daily-MA-UA-OA_0109" xfId="915" xr:uid="{00000000-0005-0000-0000-000046020000}"/>
    <cellStyle name="‡_STA-DRP_ITM Rain v WH Availabke R0_Exc_Daily-MA-UA-OA_Des' 08" xfId="916" xr:uid="{00000000-0005-0000-0000-000047020000}"/>
    <cellStyle name="‡_STA-DRP_ITM Rain v WH Availabke R0_Form Performance Unit HE-Nov08" xfId="917" xr:uid="{00000000-0005-0000-0000-000048020000}"/>
    <cellStyle name="‡_STA-DRP_ITM Rain v WH Availabke R0_GASWARA JANUARI" xfId="918" xr:uid="{00000000-0005-0000-0000-000049020000}"/>
    <cellStyle name="‡_STA-DRP_ITM Rain v WH Availabke R0_Gaswara_DecR1" xfId="919" xr:uid="{00000000-0005-0000-0000-00004A020000}"/>
    <cellStyle name="‡_STA-DRP_ITM Rain v WH Availabke R0_Performance Unit Feb 09-up to JBG.xlsSTS" xfId="920" xr:uid="{00000000-0005-0000-0000-00004B020000}"/>
    <cellStyle name="‡_STA-DRP_ITM Rain v WH Availabke R0_RCP Report JAN 09_r1" xfId="921" xr:uid="{00000000-0005-0000-0000-00004C020000}"/>
    <cellStyle name="‡_STA-DRP_ITM Rain v WH Availabke R0_RCP_R1" xfId="922" xr:uid="{00000000-0005-0000-0000-00004D020000}"/>
    <cellStyle name="‡_STA-DRP_ITM Rain v WH Availabke R0_STS" xfId="923" xr:uid="{00000000-0005-0000-0000-00004E020000}"/>
    <cellStyle name="‡_STA-DRP_ITM Rain v WH Availabke R0_STS rev1" xfId="924" xr:uid="{00000000-0005-0000-0000-00004F020000}"/>
    <cellStyle name="‡_STA-DRP_ITM Rain v WH Availabke R0_STS_BAS feb_R1" xfId="925" xr:uid="{00000000-0005-0000-0000-000050020000}"/>
    <cellStyle name="‡_STA-DRP_ITM Rain v WH Availabke R0_STS_Exc_Daily-MA-UA-OA_0109" xfId="926" xr:uid="{00000000-0005-0000-0000-000051020000}"/>
    <cellStyle name="‡_STA-DRP_ITM Rain v WH Availabke R0_STS_Exc_Daily-MA-UA-OA_Des' 08" xfId="927" xr:uid="{00000000-0005-0000-0000-000052020000}"/>
    <cellStyle name="‡_STA-DRP_ITM Rain v WH Availabke R0_STS_r1" xfId="928" xr:uid="{00000000-0005-0000-0000-000053020000}"/>
    <cellStyle name="‡_STA-DRP_Pere Equipment 2008 TCM" xfId="929" xr:uid="{00000000-0005-0000-0000-000054020000}"/>
    <cellStyle name="‡_STA-DRP_Pere Equipment 2008 TCM_BAS" xfId="930" xr:uid="{00000000-0005-0000-0000-000055020000}"/>
    <cellStyle name="‡_STA-DRP_Pere Equipment 2008 TCM_BAS Exc_Daily-MA UA UO_Nov' 08" xfId="931" xr:uid="{00000000-0005-0000-0000-000056020000}"/>
    <cellStyle name="‡_STA-DRP_Pere Equipment 2008 TCM_BAS feb_R1" xfId="932" xr:uid="{00000000-0005-0000-0000-000057020000}"/>
    <cellStyle name="‡_STA-DRP_Pere Equipment 2008 TCM_Contractor Performance Plan of  2009_V7" xfId="933" xr:uid="{00000000-0005-0000-0000-000058020000}"/>
    <cellStyle name="‡_STA-DRP_Pere Equipment 2008 TCM_CSMU" xfId="934" xr:uid="{00000000-0005-0000-0000-000059020000}"/>
    <cellStyle name="‡_STA-DRP_Pere Equipment 2008 TCM_CSMU DES R12008" xfId="935" xr:uid="{00000000-0005-0000-0000-00005A020000}"/>
    <cellStyle name="‡_STA-DRP_Pere Equipment 2008 TCM_CSMU_r1" xfId="936" xr:uid="{00000000-0005-0000-0000-00005B020000}"/>
    <cellStyle name="‡_STA-DRP_Pere Equipment 2008 TCM_EQUIPMENT EXCAVATOR PT. GAS" xfId="937" xr:uid="{00000000-0005-0000-0000-00005C020000}"/>
    <cellStyle name="‡_STA-DRP_Pere Equipment 2008 TCM_Equipment Performance end of Jan09" xfId="938" xr:uid="{00000000-0005-0000-0000-00005D020000}"/>
    <cellStyle name="‡_STA-DRP_Pere Equipment 2008 TCM_Equipment Performance end of November" xfId="939" xr:uid="{00000000-0005-0000-0000-00005E020000}"/>
    <cellStyle name="‡_STA-DRP_Pere Equipment 2008 TCM_Equipment Performance end of November_BAS feb_R1" xfId="940" xr:uid="{00000000-0005-0000-0000-00005F020000}"/>
    <cellStyle name="‡_STA-DRP_Pere Equipment 2008 TCM_Equipment Performance end of November_Exc_Daily-MA-UA-OA_0109" xfId="941" xr:uid="{00000000-0005-0000-0000-000060020000}"/>
    <cellStyle name="‡_STA-DRP_Pere Equipment 2008 TCM_Equipment Performance end of November_Exc_Daily-MA-UA-OA_Des' 08" xfId="942" xr:uid="{00000000-0005-0000-0000-000061020000}"/>
    <cellStyle name="‡_STA-DRP_Pere Equipment 2008 TCM_Equipment Performance end of October" xfId="943" xr:uid="{00000000-0005-0000-0000-000062020000}"/>
    <cellStyle name="‡_STA-DRP_Pere Equipment 2008 TCM_Equipment Performance end of October_BAS feb_R1" xfId="944" xr:uid="{00000000-0005-0000-0000-000063020000}"/>
    <cellStyle name="‡_STA-DRP_Pere Equipment 2008 TCM_Equipment Performance end of October_Exc_Daily-MA-UA-OA_0109" xfId="945" xr:uid="{00000000-0005-0000-0000-000064020000}"/>
    <cellStyle name="‡_STA-DRP_Pere Equipment 2008 TCM_Equipment Performance end of October_Exc_Daily-MA-UA-OA_Des' 08" xfId="946" xr:uid="{00000000-0005-0000-0000-000065020000}"/>
    <cellStyle name="‡_STA-DRP_Pere Equipment 2008 TCM_Equipment Performance Gaswara_feb_" xfId="947" xr:uid="{00000000-0005-0000-0000-000066020000}"/>
    <cellStyle name="‡_STA-DRP_Pere Equipment 2008 TCM_EQUIPMENT PERFORMANCE OB PT. CSMU FEB 2009" xfId="948" xr:uid="{00000000-0005-0000-0000-000067020000}"/>
    <cellStyle name="‡_STA-DRP_Pere Equipment 2008 TCM_Equipment Performance Plan 2010" xfId="949" xr:uid="{00000000-0005-0000-0000-000068020000}"/>
    <cellStyle name="‡_STA-DRP_Pere Equipment 2008 TCM_EQUIPMENT PERFORMANCE PT. CSMU NOP 2008" xfId="950" xr:uid="{00000000-0005-0000-0000-000069020000}"/>
    <cellStyle name="‡_STA-DRP_Pere Equipment 2008 TCM_Exc_Daily-MA-UA-OA_0109" xfId="951" xr:uid="{00000000-0005-0000-0000-00006A020000}"/>
    <cellStyle name="‡_STA-DRP_Pere Equipment 2008 TCM_Exc_Daily-MA-UA-OA_Des' 08" xfId="952" xr:uid="{00000000-0005-0000-0000-00006B020000}"/>
    <cellStyle name="‡_STA-DRP_Pere Equipment 2008 TCM_Form Performance Unit HE-Nov08" xfId="953" xr:uid="{00000000-0005-0000-0000-00006C020000}"/>
    <cellStyle name="‡_STA-DRP_Pere Equipment 2008 TCM_GASWARA JANUARI" xfId="954" xr:uid="{00000000-0005-0000-0000-00006D020000}"/>
    <cellStyle name="‡_STA-DRP_Pere Equipment 2008 TCM_Gaswara_DecR1" xfId="955" xr:uid="{00000000-0005-0000-0000-00006E020000}"/>
    <cellStyle name="‡_STA-DRP_Pere Equipment 2008 TCM_Performance Unit Feb 09-up to JBG.xlsSTS" xfId="956" xr:uid="{00000000-0005-0000-0000-00006F020000}"/>
    <cellStyle name="‡_STA-DRP_Pere Equipment 2008 TCM_RCP Report JAN 09_r1" xfId="957" xr:uid="{00000000-0005-0000-0000-000070020000}"/>
    <cellStyle name="‡_STA-DRP_Pere Equipment 2008 TCM_RCP_R1" xfId="958" xr:uid="{00000000-0005-0000-0000-000071020000}"/>
    <cellStyle name="‡_STA-DRP_Pere Equipment 2008 TCM_STS" xfId="959" xr:uid="{00000000-0005-0000-0000-000072020000}"/>
    <cellStyle name="‡_STA-DRP_Pere Equipment 2008 TCM_STS rev1" xfId="960" xr:uid="{00000000-0005-0000-0000-000073020000}"/>
    <cellStyle name="‡_STA-DRP_Pere Equipment 2008 TCM_STS_BAS feb_R1" xfId="961" xr:uid="{00000000-0005-0000-0000-000074020000}"/>
    <cellStyle name="‡_STA-DRP_Pere Equipment 2008 TCM_STS_Exc_Daily-MA-UA-OA_0109" xfId="962" xr:uid="{00000000-0005-0000-0000-000075020000}"/>
    <cellStyle name="‡_STA-DRP_Pere Equipment 2008 TCM_STS_Exc_Daily-MA-UA-OA_Des' 08" xfId="963" xr:uid="{00000000-0005-0000-0000-000076020000}"/>
    <cellStyle name="‡_STA-DRP_Pere Equipment 2008 TCM_STS_r1" xfId="964" xr:uid="{00000000-0005-0000-0000-000077020000}"/>
    <cellStyle name="‡_STA-DRP_Pere Jkt Y 2008 NB R6 HO_iqb (8Feb08)" xfId="965" xr:uid="{00000000-0005-0000-0000-000078020000}"/>
    <cellStyle name="‡_STA-DRP_Pere Jkt Y 2008 NB R6 HO_iqb (8Feb08)_BAS" xfId="966" xr:uid="{00000000-0005-0000-0000-000079020000}"/>
    <cellStyle name="‡_STA-DRP_Pere Jkt Y 2008 NB R6 HO_iqb (8Feb08)_BAS Exc_Daily-MA UA UO_Nov' 08" xfId="967" xr:uid="{00000000-0005-0000-0000-00007A020000}"/>
    <cellStyle name="‡_STA-DRP_Pere Jkt Y 2008 NB R6 HO_iqb (8Feb08)_BAS feb_R1" xfId="968" xr:uid="{00000000-0005-0000-0000-00007B020000}"/>
    <cellStyle name="‡_STA-DRP_Pere Jkt Y 2008 NB R6 HO_iqb (8Feb08)_Contractor Performance Plan of  2009_V7" xfId="969" xr:uid="{00000000-0005-0000-0000-00007C020000}"/>
    <cellStyle name="‡_STA-DRP_Pere Jkt Y 2008 NB R6 HO_iqb (8Feb08)_CSMU" xfId="970" xr:uid="{00000000-0005-0000-0000-00007D020000}"/>
    <cellStyle name="‡_STA-DRP_Pere Jkt Y 2008 NB R6 HO_iqb (8Feb08)_CSMU DES R12008" xfId="971" xr:uid="{00000000-0005-0000-0000-00007E020000}"/>
    <cellStyle name="‡_STA-DRP_Pere Jkt Y 2008 NB R6 HO_iqb (8Feb08)_CSMU_r1" xfId="972" xr:uid="{00000000-0005-0000-0000-00007F020000}"/>
    <cellStyle name="‡_STA-DRP_Pere Jkt Y 2008 NB R6 HO_iqb (8Feb08)_EQUIPMENT EXCAVATOR PT. GAS" xfId="973" xr:uid="{00000000-0005-0000-0000-000080020000}"/>
    <cellStyle name="‡_STA-DRP_Pere Jkt Y 2008 NB R6 HO_iqb (8Feb08)_Equipment Performance end of Jan09" xfId="974" xr:uid="{00000000-0005-0000-0000-000081020000}"/>
    <cellStyle name="‡_STA-DRP_Pere Jkt Y 2008 NB R6 HO_iqb (8Feb08)_Equipment Performance end of November" xfId="975" xr:uid="{00000000-0005-0000-0000-000082020000}"/>
    <cellStyle name="‡_STA-DRP_Pere Jkt Y 2008 NB R6 HO_iqb (8Feb08)_Equipment Performance end of November_BAS feb_R1" xfId="976" xr:uid="{00000000-0005-0000-0000-000083020000}"/>
    <cellStyle name="‡_STA-DRP_Pere Jkt Y 2008 NB R6 HO_iqb (8Feb08)_Equipment Performance end of November_Exc_Daily-MA-UA-OA_0109" xfId="977" xr:uid="{00000000-0005-0000-0000-000084020000}"/>
    <cellStyle name="‡_STA-DRP_Pere Jkt Y 2008 NB R6 HO_iqb (8Feb08)_Equipment Performance end of November_Exc_Daily-MA-UA-OA_Des' 08" xfId="978" xr:uid="{00000000-0005-0000-0000-000085020000}"/>
    <cellStyle name="‡_STA-DRP_Pere Jkt Y 2008 NB R6 HO_iqb (8Feb08)_Equipment Performance end of October" xfId="979" xr:uid="{00000000-0005-0000-0000-000086020000}"/>
    <cellStyle name="‡_STA-DRP_Pere Jkt Y 2008 NB R6 HO_iqb (8Feb08)_Equipment Performance end of October_BAS feb_R1" xfId="980" xr:uid="{00000000-0005-0000-0000-000087020000}"/>
    <cellStyle name="‡_STA-DRP_Pere Jkt Y 2008 NB R6 HO_iqb (8Feb08)_Equipment Performance end of October_Exc_Daily-MA-UA-OA_0109" xfId="981" xr:uid="{00000000-0005-0000-0000-000088020000}"/>
    <cellStyle name="‡_STA-DRP_Pere Jkt Y 2008 NB R6 HO_iqb (8Feb08)_Equipment Performance end of October_Exc_Daily-MA-UA-OA_Des' 08" xfId="982" xr:uid="{00000000-0005-0000-0000-000089020000}"/>
    <cellStyle name="‡_STA-DRP_Pere Jkt Y 2008 NB R6 HO_iqb (8Feb08)_Equipment Performance Gaswara_feb_" xfId="983" xr:uid="{00000000-0005-0000-0000-00008A020000}"/>
    <cellStyle name="‡_STA-DRP_Pere Jkt Y 2008 NB R6 HO_iqb (8Feb08)_EQUIPMENT PERFORMANCE OB PT. CSMU FEB 2009" xfId="984" xr:uid="{00000000-0005-0000-0000-00008B020000}"/>
    <cellStyle name="‡_STA-DRP_Pere Jkt Y 2008 NB R6 HO_iqb (8Feb08)_Equipment Performance Plan 2010" xfId="985" xr:uid="{00000000-0005-0000-0000-00008C020000}"/>
    <cellStyle name="‡_STA-DRP_Pere Jkt Y 2008 NB R6 HO_iqb (8Feb08)_EQUIPMENT PERFORMANCE PT. CSMU NOP 2008" xfId="986" xr:uid="{00000000-0005-0000-0000-00008D020000}"/>
    <cellStyle name="‡_STA-DRP_Pere Jkt Y 2008 NB R6 HO_iqb (8Feb08)_Exc_Daily-MA-UA-OA_0109" xfId="987" xr:uid="{00000000-0005-0000-0000-00008E020000}"/>
    <cellStyle name="‡_STA-DRP_Pere Jkt Y 2008 NB R6 HO_iqb (8Feb08)_Exc_Daily-MA-UA-OA_Des' 08" xfId="988" xr:uid="{00000000-0005-0000-0000-00008F020000}"/>
    <cellStyle name="‡_STA-DRP_Pere Jkt Y 2008 NB R6 HO_iqb (8Feb08)_Form Performance Unit HE-Nov08" xfId="989" xr:uid="{00000000-0005-0000-0000-000090020000}"/>
    <cellStyle name="‡_STA-DRP_Pere Jkt Y 2008 NB R6 HO_iqb (8Feb08)_GASWARA JANUARI" xfId="990" xr:uid="{00000000-0005-0000-0000-000091020000}"/>
    <cellStyle name="‡_STA-DRP_Pere Jkt Y 2008 NB R6 HO_iqb (8Feb08)_Gaswara_DecR1" xfId="991" xr:uid="{00000000-0005-0000-0000-000092020000}"/>
    <cellStyle name="‡_STA-DRP_Pere Jkt Y 2008 NB R6 HO_iqb (8Feb08)_Performance Unit Feb 09-up to JBG.xlsSTS" xfId="992" xr:uid="{00000000-0005-0000-0000-000093020000}"/>
    <cellStyle name="‡_STA-DRP_Pere Jkt Y 2008 NB R6 HO_iqb (8Feb08)_RCP Report JAN 09_r1" xfId="993" xr:uid="{00000000-0005-0000-0000-000094020000}"/>
    <cellStyle name="‡_STA-DRP_Pere Jkt Y 2008 NB R6 HO_iqb (8Feb08)_RCP_R1" xfId="994" xr:uid="{00000000-0005-0000-0000-000095020000}"/>
    <cellStyle name="‡_STA-DRP_Pere Jkt Y 2008 NB R6 HO_iqb (8Feb08)_STS" xfId="995" xr:uid="{00000000-0005-0000-0000-000096020000}"/>
    <cellStyle name="‡_STA-DRP_Pere Jkt Y 2008 NB R6 HO_iqb (8Feb08)_STS rev1" xfId="996" xr:uid="{00000000-0005-0000-0000-000097020000}"/>
    <cellStyle name="‡_STA-DRP_Pere Jkt Y 2008 NB R6 HO_iqb (8Feb08)_STS_BAS feb_R1" xfId="997" xr:uid="{00000000-0005-0000-0000-000098020000}"/>
    <cellStyle name="‡_STA-DRP_Pere Jkt Y 2008 NB R6 HO_iqb (8Feb08)_STS_Exc_Daily-MA-UA-OA_0109" xfId="998" xr:uid="{00000000-0005-0000-0000-000099020000}"/>
    <cellStyle name="‡_STA-DRP_Pere Jkt Y 2008 NB R6 HO_iqb (8Feb08)_STS_Exc_Daily-MA-UA-OA_Des' 08" xfId="999" xr:uid="{00000000-0005-0000-0000-00009A020000}"/>
    <cellStyle name="‡_STA-DRP_Pere Jkt Y 2008 NB R6 HO_iqb (8Feb08)_STS_r1" xfId="1000" xr:uid="{00000000-0005-0000-0000-00009B020000}"/>
    <cellStyle name="‡_STA-DRP_Performance Unit Feb 09-up to JBG.xlsSTS" xfId="1001" xr:uid="{00000000-0005-0000-0000-00009C020000}"/>
    <cellStyle name="‡_STA-DRP_RCP Report JAN 09_r1" xfId="1002" xr:uid="{00000000-0005-0000-0000-00009D020000}"/>
    <cellStyle name="‡_STA-DRP_RCP_R1" xfId="1003" xr:uid="{00000000-0005-0000-0000-00009E020000}"/>
    <cellStyle name="‡_STA-DRP_Recond Comp Capex budget&amp;MA ex-rcp equipment_150608" xfId="1004" xr:uid="{00000000-0005-0000-0000-00009F020000}"/>
    <cellStyle name="‡_STA-DRP_STS" xfId="1005" xr:uid="{00000000-0005-0000-0000-0000A0020000}"/>
    <cellStyle name="‡_STA-DRP_STS rev1" xfId="1006" xr:uid="{00000000-0005-0000-0000-0000A1020000}"/>
    <cellStyle name="‡_STA-DRP_STS_BAS feb_R1" xfId="1007" xr:uid="{00000000-0005-0000-0000-0000A2020000}"/>
    <cellStyle name="‡_STA-DRP_STS_Exc_Daily-MA-UA-OA_0109" xfId="1008" xr:uid="{00000000-0005-0000-0000-0000A3020000}"/>
    <cellStyle name="‡_STA-DRP_STS_Exc_Daily-MA-UA-OA_Des' 08" xfId="1009" xr:uid="{00000000-0005-0000-0000-0000A4020000}"/>
    <cellStyle name="‡_STA-DRP_STS_r1" xfId="1010" xr:uid="{00000000-0005-0000-0000-0000A5020000}"/>
    <cellStyle name="‡_STA-DRP_TCM performance report_V3 (prelim)22Feb08" xfId="1011" xr:uid="{00000000-0005-0000-0000-0000A6020000}"/>
    <cellStyle name="‡_STA-DRP_TCM performance report_V3 (prelim)22Feb08_BAS" xfId="1012" xr:uid="{00000000-0005-0000-0000-0000A7020000}"/>
    <cellStyle name="‡_STA-DRP_TCM performance report_V3 (prelim)22Feb08_BAS Exc_Daily-MA UA UO_Nov' 08" xfId="1013" xr:uid="{00000000-0005-0000-0000-0000A8020000}"/>
    <cellStyle name="‡_STA-DRP_TCM performance report_V3 (prelim)22Feb08_BAS feb_R1" xfId="1014" xr:uid="{00000000-0005-0000-0000-0000A9020000}"/>
    <cellStyle name="‡_STA-DRP_TCM performance report_V3 (prelim)22Feb08_Contractor Performance Plan of  2009_V7" xfId="1015" xr:uid="{00000000-0005-0000-0000-0000AA020000}"/>
    <cellStyle name="‡_STA-DRP_TCM performance report_V3 (prelim)22Feb08_CSMU" xfId="1016" xr:uid="{00000000-0005-0000-0000-0000AB020000}"/>
    <cellStyle name="‡_STA-DRP_TCM performance report_V3 (prelim)22Feb08_CSMU DES R12008" xfId="1017" xr:uid="{00000000-0005-0000-0000-0000AC020000}"/>
    <cellStyle name="‡_STA-DRP_TCM performance report_V3 (prelim)22Feb08_CSMU_r1" xfId="1018" xr:uid="{00000000-0005-0000-0000-0000AD020000}"/>
    <cellStyle name="‡_STA-DRP_TCM performance report_V3 (prelim)22Feb08_EQUIPMENT EXCAVATOR PT. GAS" xfId="1019" xr:uid="{00000000-0005-0000-0000-0000AE020000}"/>
    <cellStyle name="‡_STA-DRP_TCM performance report_V3 (prelim)22Feb08_Equipment Performance end of Jan09" xfId="1020" xr:uid="{00000000-0005-0000-0000-0000AF020000}"/>
    <cellStyle name="‡_STA-DRP_TCM performance report_V3 (prelim)22Feb08_Equipment Performance end of November" xfId="1021" xr:uid="{00000000-0005-0000-0000-0000B0020000}"/>
    <cellStyle name="‡_STA-DRP_TCM performance report_V3 (prelim)22Feb08_Equipment Performance end of November_BAS feb_R1" xfId="1022" xr:uid="{00000000-0005-0000-0000-0000B1020000}"/>
    <cellStyle name="‡_STA-DRP_TCM performance report_V3 (prelim)22Feb08_Equipment Performance end of November_Exc_Daily-MA-UA-OA_0109" xfId="1023" xr:uid="{00000000-0005-0000-0000-0000B2020000}"/>
    <cellStyle name="‡_STA-DRP_TCM performance report_V3 (prelim)22Feb08_Equipment Performance end of November_Exc_Daily-MA-UA-OA_Des' 08" xfId="1024" xr:uid="{00000000-0005-0000-0000-0000B3020000}"/>
    <cellStyle name="‡_STA-DRP_TCM performance report_V3 (prelim)22Feb08_Equipment Performance end of October" xfId="1025" xr:uid="{00000000-0005-0000-0000-0000B4020000}"/>
    <cellStyle name="‡_STA-DRP_TCM performance report_V3 (prelim)22Feb08_Equipment Performance end of October_BAS feb_R1" xfId="1026" xr:uid="{00000000-0005-0000-0000-0000B5020000}"/>
    <cellStyle name="‡_STA-DRP_TCM performance report_V3 (prelim)22Feb08_Equipment Performance end of October_Exc_Daily-MA-UA-OA_0109" xfId="1027" xr:uid="{00000000-0005-0000-0000-0000B6020000}"/>
    <cellStyle name="‡_STA-DRP_TCM performance report_V3 (prelim)22Feb08_Equipment Performance end of October_Exc_Daily-MA-UA-OA_Des' 08" xfId="1028" xr:uid="{00000000-0005-0000-0000-0000B7020000}"/>
    <cellStyle name="‡_STA-DRP_TCM performance report_V3 (prelim)22Feb08_Equipment Performance Gaswara_feb_" xfId="1029" xr:uid="{00000000-0005-0000-0000-0000B8020000}"/>
    <cellStyle name="‡_STA-DRP_TCM performance report_V3 (prelim)22Feb08_EQUIPMENT PERFORMANCE OB PT. CSMU FEB 2009" xfId="1030" xr:uid="{00000000-0005-0000-0000-0000B9020000}"/>
    <cellStyle name="‡_STA-DRP_TCM performance report_V3 (prelim)22Feb08_Equipment Performance Plan 2010" xfId="1031" xr:uid="{00000000-0005-0000-0000-0000BA020000}"/>
    <cellStyle name="‡_STA-DRP_TCM performance report_V3 (prelim)22Feb08_EQUIPMENT PERFORMANCE PT. CSMU NOP 2008" xfId="1032" xr:uid="{00000000-0005-0000-0000-0000BB020000}"/>
    <cellStyle name="‡_STA-DRP_TCM performance report_V3 (prelim)22Feb08_Exc_Daily-MA-UA-OA_0109" xfId="1033" xr:uid="{00000000-0005-0000-0000-0000BC020000}"/>
    <cellStyle name="‡_STA-DRP_TCM performance report_V3 (prelim)22Feb08_Exc_Daily-MA-UA-OA_Des' 08" xfId="1034" xr:uid="{00000000-0005-0000-0000-0000BD020000}"/>
    <cellStyle name="‡_STA-DRP_TCM performance report_V3 (prelim)22Feb08_Form Performance Unit HE-Nov08" xfId="1035" xr:uid="{00000000-0005-0000-0000-0000BE020000}"/>
    <cellStyle name="‡_STA-DRP_TCM performance report_V3 (prelim)22Feb08_GASWARA JANUARI" xfId="1036" xr:uid="{00000000-0005-0000-0000-0000BF020000}"/>
    <cellStyle name="‡_STA-DRP_TCM performance report_V3 (prelim)22Feb08_Gaswara_DecR1" xfId="1037" xr:uid="{00000000-0005-0000-0000-0000C0020000}"/>
    <cellStyle name="‡_STA-DRP_TCM performance report_V3 (prelim)22Feb08_Performance Unit Feb 09-up to JBG.xlsSTS" xfId="1038" xr:uid="{00000000-0005-0000-0000-0000C1020000}"/>
    <cellStyle name="‡_STA-DRP_TCM performance report_V3 (prelim)22Feb08_RCP Report JAN 09_r1" xfId="1039" xr:uid="{00000000-0005-0000-0000-0000C2020000}"/>
    <cellStyle name="‡_STA-DRP_TCM performance report_V3 (prelim)22Feb08_RCP_R1" xfId="1040" xr:uid="{00000000-0005-0000-0000-0000C3020000}"/>
    <cellStyle name="‡_STA-DRP_TCM performance report_V3 (prelim)22Feb08_STS" xfId="1041" xr:uid="{00000000-0005-0000-0000-0000C4020000}"/>
    <cellStyle name="‡_STA-DRP_TCM performance report_V3 (prelim)22Feb08_STS rev1" xfId="1042" xr:uid="{00000000-0005-0000-0000-0000C5020000}"/>
    <cellStyle name="‡_STA-DRP_TCM performance report_V3 (prelim)22Feb08_STS_BAS feb_R1" xfId="1043" xr:uid="{00000000-0005-0000-0000-0000C6020000}"/>
    <cellStyle name="‡_STA-DRP_TCM performance report_V3 (prelim)22Feb08_STS_Exc_Daily-MA-UA-OA_0109" xfId="1044" xr:uid="{00000000-0005-0000-0000-0000C7020000}"/>
    <cellStyle name="‡_STA-DRP_TCM performance report_V3 (prelim)22Feb08_STS_Exc_Daily-MA-UA-OA_Des' 08" xfId="1045" xr:uid="{00000000-0005-0000-0000-0000C8020000}"/>
    <cellStyle name="‡_STA-DRP_TCM performance report_V3 (prelim)22Feb08_STS_r1" xfId="1046" xr:uid="{00000000-0005-0000-0000-0000C9020000}"/>
    <cellStyle name="‡_STS" xfId="1047" xr:uid="{00000000-0005-0000-0000-0000CA020000}"/>
    <cellStyle name="‡_STS rev1" xfId="1048" xr:uid="{00000000-0005-0000-0000-0000CB020000}"/>
    <cellStyle name="‡_STS_BAS feb_R1" xfId="1049" xr:uid="{00000000-0005-0000-0000-0000CC020000}"/>
    <cellStyle name="‡_STS_Exc_Daily-MA-UA-OA_0109" xfId="1050" xr:uid="{00000000-0005-0000-0000-0000CD020000}"/>
    <cellStyle name="‡_STS_Exc_Daily-MA-UA-OA_Des' 08" xfId="1051" xr:uid="{00000000-0005-0000-0000-0000CE020000}"/>
    <cellStyle name="‡_STS_r1" xfId="1052" xr:uid="{00000000-0005-0000-0000-0000CF020000}"/>
    <cellStyle name="‡_TCM performance report_V3 (prelim)22Feb08" xfId="1053" xr:uid="{00000000-0005-0000-0000-0000D0020000}"/>
    <cellStyle name="‡_TCM performance report_V3 (prelim)22Feb08_BAS" xfId="1054" xr:uid="{00000000-0005-0000-0000-0000D1020000}"/>
    <cellStyle name="‡_TCM performance report_V3 (prelim)22Feb08_BAS Exc_Daily-MA UA UO_Nov' 08" xfId="1055" xr:uid="{00000000-0005-0000-0000-0000D2020000}"/>
    <cellStyle name="‡_TCM performance report_V3 (prelim)22Feb08_BAS feb_R1" xfId="1056" xr:uid="{00000000-0005-0000-0000-0000D3020000}"/>
    <cellStyle name="‡_TCM performance report_V3 (prelim)22Feb08_Contractor Performance Plan of  2009_V7" xfId="1057" xr:uid="{00000000-0005-0000-0000-0000D4020000}"/>
    <cellStyle name="‡_TCM performance report_V3 (prelim)22Feb08_CSMU" xfId="1058" xr:uid="{00000000-0005-0000-0000-0000D5020000}"/>
    <cellStyle name="‡_TCM performance report_V3 (prelim)22Feb08_CSMU DES R12008" xfId="1059" xr:uid="{00000000-0005-0000-0000-0000D6020000}"/>
    <cellStyle name="‡_TCM performance report_V3 (prelim)22Feb08_CSMU_r1" xfId="1060" xr:uid="{00000000-0005-0000-0000-0000D7020000}"/>
    <cellStyle name="‡_TCM performance report_V3 (prelim)22Feb08_EQUIPMENT EXCAVATOR PT. GAS" xfId="1061" xr:uid="{00000000-0005-0000-0000-0000D8020000}"/>
    <cellStyle name="‡_TCM performance report_V3 (prelim)22Feb08_Equipment Performance end of Jan09" xfId="1062" xr:uid="{00000000-0005-0000-0000-0000D9020000}"/>
    <cellStyle name="‡_TCM performance report_V3 (prelim)22Feb08_Equipment Performance end of November" xfId="1063" xr:uid="{00000000-0005-0000-0000-0000DA020000}"/>
    <cellStyle name="‡_TCM performance report_V3 (prelim)22Feb08_Equipment Performance end of November_BAS feb_R1" xfId="1064" xr:uid="{00000000-0005-0000-0000-0000DB020000}"/>
    <cellStyle name="‡_TCM performance report_V3 (prelim)22Feb08_Equipment Performance end of November_Exc_Daily-MA-UA-OA_0109" xfId="1065" xr:uid="{00000000-0005-0000-0000-0000DC020000}"/>
    <cellStyle name="‡_TCM performance report_V3 (prelim)22Feb08_Equipment Performance end of November_Exc_Daily-MA-UA-OA_Des' 08" xfId="1066" xr:uid="{00000000-0005-0000-0000-0000DD020000}"/>
    <cellStyle name="‡_TCM performance report_V3 (prelim)22Feb08_Equipment Performance end of October" xfId="1067" xr:uid="{00000000-0005-0000-0000-0000DE020000}"/>
    <cellStyle name="‡_TCM performance report_V3 (prelim)22Feb08_Equipment Performance end of October_BAS feb_R1" xfId="1068" xr:uid="{00000000-0005-0000-0000-0000DF020000}"/>
    <cellStyle name="‡_TCM performance report_V3 (prelim)22Feb08_Equipment Performance end of October_Exc_Daily-MA-UA-OA_0109" xfId="1069" xr:uid="{00000000-0005-0000-0000-0000E0020000}"/>
    <cellStyle name="‡_TCM performance report_V3 (prelim)22Feb08_Equipment Performance end of October_Exc_Daily-MA-UA-OA_Des' 08" xfId="1070" xr:uid="{00000000-0005-0000-0000-0000E1020000}"/>
    <cellStyle name="‡_TCM performance report_V3 (prelim)22Feb08_Equipment Performance Gaswara_feb_" xfId="1071" xr:uid="{00000000-0005-0000-0000-0000E2020000}"/>
    <cellStyle name="‡_TCM performance report_V3 (prelim)22Feb08_EQUIPMENT PERFORMANCE OB PT. CSMU FEB 2009" xfId="1072" xr:uid="{00000000-0005-0000-0000-0000E3020000}"/>
    <cellStyle name="‡_TCM performance report_V3 (prelim)22Feb08_Equipment Performance Plan 2010" xfId="1073" xr:uid="{00000000-0005-0000-0000-0000E4020000}"/>
    <cellStyle name="‡_TCM performance report_V3 (prelim)22Feb08_EQUIPMENT PERFORMANCE PT. CSMU NOP 2008" xfId="1074" xr:uid="{00000000-0005-0000-0000-0000E5020000}"/>
    <cellStyle name="‡_TCM performance report_V3 (prelim)22Feb08_Exc_Daily-MA-UA-OA_0109" xfId="1075" xr:uid="{00000000-0005-0000-0000-0000E6020000}"/>
    <cellStyle name="‡_TCM performance report_V3 (prelim)22Feb08_Exc_Daily-MA-UA-OA_Des' 08" xfId="1076" xr:uid="{00000000-0005-0000-0000-0000E7020000}"/>
    <cellStyle name="‡_TCM performance report_V3 (prelim)22Feb08_Form Performance Unit HE-Nov08" xfId="1077" xr:uid="{00000000-0005-0000-0000-0000E8020000}"/>
    <cellStyle name="‡_TCM performance report_V3 (prelim)22Feb08_GASWARA JANUARI" xfId="1078" xr:uid="{00000000-0005-0000-0000-0000E9020000}"/>
    <cellStyle name="‡_TCM performance report_V3 (prelim)22Feb08_Gaswara_DecR1" xfId="1079" xr:uid="{00000000-0005-0000-0000-0000EA020000}"/>
    <cellStyle name="‡_TCM performance report_V3 (prelim)22Feb08_Performance Unit Feb 09-up to JBG.xlsSTS" xfId="1080" xr:uid="{00000000-0005-0000-0000-0000EB020000}"/>
    <cellStyle name="‡_TCM performance report_V3 (prelim)22Feb08_RCP Report JAN 09_r1" xfId="1081" xr:uid="{00000000-0005-0000-0000-0000EC020000}"/>
    <cellStyle name="‡_TCM performance report_V3 (prelim)22Feb08_RCP_R1" xfId="1082" xr:uid="{00000000-0005-0000-0000-0000ED020000}"/>
    <cellStyle name="‡_TCM performance report_V3 (prelim)22Feb08_STS" xfId="1083" xr:uid="{00000000-0005-0000-0000-0000EE020000}"/>
    <cellStyle name="‡_TCM performance report_V3 (prelim)22Feb08_STS rev1" xfId="1084" xr:uid="{00000000-0005-0000-0000-0000EF020000}"/>
    <cellStyle name="‡_TCM performance report_V3 (prelim)22Feb08_STS_BAS feb_R1" xfId="1085" xr:uid="{00000000-0005-0000-0000-0000F0020000}"/>
    <cellStyle name="‡_TCM performance report_V3 (prelim)22Feb08_STS_Exc_Daily-MA-UA-OA_0109" xfId="1086" xr:uid="{00000000-0005-0000-0000-0000F1020000}"/>
    <cellStyle name="‡_TCM performance report_V3 (prelim)22Feb08_STS_Exc_Daily-MA-UA-OA_Des' 08" xfId="1087" xr:uid="{00000000-0005-0000-0000-0000F2020000}"/>
    <cellStyle name="‡_TCM performance report_V3 (prelim)22Feb08_STS_r1" xfId="1088" xr:uid="{00000000-0005-0000-0000-0000F3020000}"/>
    <cellStyle name="¹éºÐÀ²_±âÅ¸" xfId="1089" xr:uid="{00000000-0005-0000-0000-0000F4020000}"/>
    <cellStyle name="20% - Accent1 10" xfId="1090" xr:uid="{00000000-0005-0000-0000-0000F5020000}"/>
    <cellStyle name="20% - Accent1 10 10" xfId="7832" xr:uid="{00000000-0005-0000-0000-0000F6020000}"/>
    <cellStyle name="20% - Accent1 10 2" xfId="1091" xr:uid="{00000000-0005-0000-0000-0000F7020000}"/>
    <cellStyle name="20% - Accent1 10 2 2" xfId="3668" xr:uid="{00000000-0005-0000-0000-0000F8020000}"/>
    <cellStyle name="20% - Accent1 10 2 3" xfId="5785" xr:uid="{00000000-0005-0000-0000-0000F9020000}"/>
    <cellStyle name="20% - Accent1 10 2 4" xfId="7833" xr:uid="{00000000-0005-0000-0000-0000FA020000}"/>
    <cellStyle name="20% - Accent1 10 3" xfId="1092" xr:uid="{00000000-0005-0000-0000-0000FB020000}"/>
    <cellStyle name="20% - Accent1 10 3 2" xfId="3669" xr:uid="{00000000-0005-0000-0000-0000FC020000}"/>
    <cellStyle name="20% - Accent1 10 3 3" xfId="5786" xr:uid="{00000000-0005-0000-0000-0000FD020000}"/>
    <cellStyle name="20% - Accent1 10 3 4" xfId="7834" xr:uid="{00000000-0005-0000-0000-0000FE020000}"/>
    <cellStyle name="20% - Accent1 10 4" xfId="1093" xr:uid="{00000000-0005-0000-0000-0000FF020000}"/>
    <cellStyle name="20% - Accent1 10 4 2" xfId="3670" xr:uid="{00000000-0005-0000-0000-000000030000}"/>
    <cellStyle name="20% - Accent1 10 4 3" xfId="5787" xr:uid="{00000000-0005-0000-0000-000001030000}"/>
    <cellStyle name="20% - Accent1 10 4 4" xfId="7835" xr:uid="{00000000-0005-0000-0000-000002030000}"/>
    <cellStyle name="20% - Accent1 10 5" xfId="1094" xr:uid="{00000000-0005-0000-0000-000003030000}"/>
    <cellStyle name="20% - Accent1 10 5 2" xfId="3671" xr:uid="{00000000-0005-0000-0000-000004030000}"/>
    <cellStyle name="20% - Accent1 10 5 3" xfId="5788" xr:uid="{00000000-0005-0000-0000-000005030000}"/>
    <cellStyle name="20% - Accent1 10 5 4" xfId="7836" xr:uid="{00000000-0005-0000-0000-000006030000}"/>
    <cellStyle name="20% - Accent1 10 6" xfId="1095" xr:uid="{00000000-0005-0000-0000-000007030000}"/>
    <cellStyle name="20% - Accent1 10 6 2" xfId="3672" xr:uid="{00000000-0005-0000-0000-000008030000}"/>
    <cellStyle name="20% - Accent1 10 6 3" xfId="5789" xr:uid="{00000000-0005-0000-0000-000009030000}"/>
    <cellStyle name="20% - Accent1 10 6 4" xfId="7837" xr:uid="{00000000-0005-0000-0000-00000A030000}"/>
    <cellStyle name="20% - Accent1 10 7" xfId="1096" xr:uid="{00000000-0005-0000-0000-00000B030000}"/>
    <cellStyle name="20% - Accent1 10 7 2" xfId="3673" xr:uid="{00000000-0005-0000-0000-00000C030000}"/>
    <cellStyle name="20% - Accent1 10 7 3" xfId="5790" xr:uid="{00000000-0005-0000-0000-00000D030000}"/>
    <cellStyle name="20% - Accent1 10 7 4" xfId="7838" xr:uid="{00000000-0005-0000-0000-00000E030000}"/>
    <cellStyle name="20% - Accent1 10 8" xfId="3667" xr:uid="{00000000-0005-0000-0000-00000F030000}"/>
    <cellStyle name="20% - Accent1 10 9" xfId="5784" xr:uid="{00000000-0005-0000-0000-000010030000}"/>
    <cellStyle name="20% - Accent1 11" xfId="1097" xr:uid="{00000000-0005-0000-0000-000011030000}"/>
    <cellStyle name="20% - Accent1 11 2" xfId="1098" xr:uid="{00000000-0005-0000-0000-000012030000}"/>
    <cellStyle name="20% - Accent1 11 2 2" xfId="3675" xr:uid="{00000000-0005-0000-0000-000013030000}"/>
    <cellStyle name="20% - Accent1 11 2 3" xfId="5792" xr:uid="{00000000-0005-0000-0000-000014030000}"/>
    <cellStyle name="20% - Accent1 11 2 4" xfId="7840" xr:uid="{00000000-0005-0000-0000-000015030000}"/>
    <cellStyle name="20% - Accent1 11 3" xfId="1099" xr:uid="{00000000-0005-0000-0000-000016030000}"/>
    <cellStyle name="20% - Accent1 11 3 2" xfId="3676" xr:uid="{00000000-0005-0000-0000-000017030000}"/>
    <cellStyle name="20% - Accent1 11 3 3" xfId="5793" xr:uid="{00000000-0005-0000-0000-000018030000}"/>
    <cellStyle name="20% - Accent1 11 3 4" xfId="7841" xr:uid="{00000000-0005-0000-0000-000019030000}"/>
    <cellStyle name="20% - Accent1 11 4" xfId="1100" xr:uid="{00000000-0005-0000-0000-00001A030000}"/>
    <cellStyle name="20% - Accent1 11 4 2" xfId="3677" xr:uid="{00000000-0005-0000-0000-00001B030000}"/>
    <cellStyle name="20% - Accent1 11 4 3" xfId="5794" xr:uid="{00000000-0005-0000-0000-00001C030000}"/>
    <cellStyle name="20% - Accent1 11 4 4" xfId="7842" xr:uid="{00000000-0005-0000-0000-00001D030000}"/>
    <cellStyle name="20% - Accent1 11 5" xfId="1101" xr:uid="{00000000-0005-0000-0000-00001E030000}"/>
    <cellStyle name="20% - Accent1 11 5 2" xfId="3678" xr:uid="{00000000-0005-0000-0000-00001F030000}"/>
    <cellStyle name="20% - Accent1 11 5 3" xfId="5795" xr:uid="{00000000-0005-0000-0000-000020030000}"/>
    <cellStyle name="20% - Accent1 11 5 4" xfId="7843" xr:uid="{00000000-0005-0000-0000-000021030000}"/>
    <cellStyle name="20% - Accent1 11 6" xfId="1102" xr:uid="{00000000-0005-0000-0000-000022030000}"/>
    <cellStyle name="20% - Accent1 11 6 2" xfId="3679" xr:uid="{00000000-0005-0000-0000-000023030000}"/>
    <cellStyle name="20% - Accent1 11 6 3" xfId="5796" xr:uid="{00000000-0005-0000-0000-000024030000}"/>
    <cellStyle name="20% - Accent1 11 6 4" xfId="7844" xr:uid="{00000000-0005-0000-0000-000025030000}"/>
    <cellStyle name="20% - Accent1 11 7" xfId="3674" xr:uid="{00000000-0005-0000-0000-000026030000}"/>
    <cellStyle name="20% - Accent1 11 8" xfId="5791" xr:uid="{00000000-0005-0000-0000-000027030000}"/>
    <cellStyle name="20% - Accent1 11 9" xfId="7839" xr:uid="{00000000-0005-0000-0000-000028030000}"/>
    <cellStyle name="20% - Accent1 12" xfId="1103" xr:uid="{00000000-0005-0000-0000-000029030000}"/>
    <cellStyle name="20% - Accent1 12 2" xfId="1104" xr:uid="{00000000-0005-0000-0000-00002A030000}"/>
    <cellStyle name="20% - Accent1 12 2 2" xfId="3681" xr:uid="{00000000-0005-0000-0000-00002B030000}"/>
    <cellStyle name="20% - Accent1 12 2 3" xfId="5798" xr:uid="{00000000-0005-0000-0000-00002C030000}"/>
    <cellStyle name="20% - Accent1 12 2 4" xfId="7846" xr:uid="{00000000-0005-0000-0000-00002D030000}"/>
    <cellStyle name="20% - Accent1 12 3" xfId="1105" xr:uid="{00000000-0005-0000-0000-00002E030000}"/>
    <cellStyle name="20% - Accent1 12 3 2" xfId="3682" xr:uid="{00000000-0005-0000-0000-00002F030000}"/>
    <cellStyle name="20% - Accent1 12 3 3" xfId="5799" xr:uid="{00000000-0005-0000-0000-000030030000}"/>
    <cellStyle name="20% - Accent1 12 3 4" xfId="7847" xr:uid="{00000000-0005-0000-0000-000031030000}"/>
    <cellStyle name="20% - Accent1 12 4" xfId="1106" xr:uid="{00000000-0005-0000-0000-000032030000}"/>
    <cellStyle name="20% - Accent1 12 4 2" xfId="3683" xr:uid="{00000000-0005-0000-0000-000033030000}"/>
    <cellStyle name="20% - Accent1 12 4 3" xfId="5800" xr:uid="{00000000-0005-0000-0000-000034030000}"/>
    <cellStyle name="20% - Accent1 12 4 4" xfId="7848" xr:uid="{00000000-0005-0000-0000-000035030000}"/>
    <cellStyle name="20% - Accent1 12 5" xfId="1107" xr:uid="{00000000-0005-0000-0000-000036030000}"/>
    <cellStyle name="20% - Accent1 12 5 2" xfId="3684" xr:uid="{00000000-0005-0000-0000-000037030000}"/>
    <cellStyle name="20% - Accent1 12 5 3" xfId="5801" xr:uid="{00000000-0005-0000-0000-000038030000}"/>
    <cellStyle name="20% - Accent1 12 5 4" xfId="7849" xr:uid="{00000000-0005-0000-0000-000039030000}"/>
    <cellStyle name="20% - Accent1 12 6" xfId="3680" xr:uid="{00000000-0005-0000-0000-00003A030000}"/>
    <cellStyle name="20% - Accent1 12 7" xfId="5797" xr:uid="{00000000-0005-0000-0000-00003B030000}"/>
    <cellStyle name="20% - Accent1 12 8" xfId="7845" xr:uid="{00000000-0005-0000-0000-00003C030000}"/>
    <cellStyle name="20% - Accent1 13" xfId="1108" xr:uid="{00000000-0005-0000-0000-00003D030000}"/>
    <cellStyle name="20% - Accent1 13 2" xfId="1109" xr:uid="{00000000-0005-0000-0000-00003E030000}"/>
    <cellStyle name="20% - Accent1 13 2 2" xfId="3686" xr:uid="{00000000-0005-0000-0000-00003F030000}"/>
    <cellStyle name="20% - Accent1 13 2 3" xfId="5803" xr:uid="{00000000-0005-0000-0000-000040030000}"/>
    <cellStyle name="20% - Accent1 13 2 4" xfId="7851" xr:uid="{00000000-0005-0000-0000-000041030000}"/>
    <cellStyle name="20% - Accent1 13 3" xfId="1110" xr:uid="{00000000-0005-0000-0000-000042030000}"/>
    <cellStyle name="20% - Accent1 13 3 2" xfId="3687" xr:uid="{00000000-0005-0000-0000-000043030000}"/>
    <cellStyle name="20% - Accent1 13 3 3" xfId="5804" xr:uid="{00000000-0005-0000-0000-000044030000}"/>
    <cellStyle name="20% - Accent1 13 3 4" xfId="7852" xr:uid="{00000000-0005-0000-0000-000045030000}"/>
    <cellStyle name="20% - Accent1 13 4" xfId="1111" xr:uid="{00000000-0005-0000-0000-000046030000}"/>
    <cellStyle name="20% - Accent1 13 4 2" xfId="3688" xr:uid="{00000000-0005-0000-0000-000047030000}"/>
    <cellStyle name="20% - Accent1 13 4 3" xfId="5805" xr:uid="{00000000-0005-0000-0000-000048030000}"/>
    <cellStyle name="20% - Accent1 13 4 4" xfId="7853" xr:uid="{00000000-0005-0000-0000-000049030000}"/>
    <cellStyle name="20% - Accent1 13 5" xfId="1112" xr:uid="{00000000-0005-0000-0000-00004A030000}"/>
    <cellStyle name="20% - Accent1 13 5 2" xfId="3689" xr:uid="{00000000-0005-0000-0000-00004B030000}"/>
    <cellStyle name="20% - Accent1 13 5 3" xfId="5806" xr:uid="{00000000-0005-0000-0000-00004C030000}"/>
    <cellStyle name="20% - Accent1 13 5 4" xfId="7854" xr:uid="{00000000-0005-0000-0000-00004D030000}"/>
    <cellStyle name="20% - Accent1 13 6" xfId="3685" xr:uid="{00000000-0005-0000-0000-00004E030000}"/>
    <cellStyle name="20% - Accent1 13 7" xfId="5802" xr:uid="{00000000-0005-0000-0000-00004F030000}"/>
    <cellStyle name="20% - Accent1 13 8" xfId="7850" xr:uid="{00000000-0005-0000-0000-000050030000}"/>
    <cellStyle name="20% - Accent1 14" xfId="1113" xr:uid="{00000000-0005-0000-0000-000051030000}"/>
    <cellStyle name="20% - Accent1 14 2" xfId="1114" xr:uid="{00000000-0005-0000-0000-000052030000}"/>
    <cellStyle name="20% - Accent1 14 2 2" xfId="3691" xr:uid="{00000000-0005-0000-0000-000053030000}"/>
    <cellStyle name="20% - Accent1 14 2 3" xfId="5808" xr:uid="{00000000-0005-0000-0000-000054030000}"/>
    <cellStyle name="20% - Accent1 14 2 4" xfId="7856" xr:uid="{00000000-0005-0000-0000-000055030000}"/>
    <cellStyle name="20% - Accent1 14 3" xfId="1115" xr:uid="{00000000-0005-0000-0000-000056030000}"/>
    <cellStyle name="20% - Accent1 14 3 2" xfId="3692" xr:uid="{00000000-0005-0000-0000-000057030000}"/>
    <cellStyle name="20% - Accent1 14 3 3" xfId="5809" xr:uid="{00000000-0005-0000-0000-000058030000}"/>
    <cellStyle name="20% - Accent1 14 3 4" xfId="7857" xr:uid="{00000000-0005-0000-0000-000059030000}"/>
    <cellStyle name="20% - Accent1 14 4" xfId="1116" xr:uid="{00000000-0005-0000-0000-00005A030000}"/>
    <cellStyle name="20% - Accent1 14 4 2" xfId="3693" xr:uid="{00000000-0005-0000-0000-00005B030000}"/>
    <cellStyle name="20% - Accent1 14 4 3" xfId="5810" xr:uid="{00000000-0005-0000-0000-00005C030000}"/>
    <cellStyle name="20% - Accent1 14 4 4" xfId="7858" xr:uid="{00000000-0005-0000-0000-00005D030000}"/>
    <cellStyle name="20% - Accent1 14 5" xfId="3690" xr:uid="{00000000-0005-0000-0000-00005E030000}"/>
    <cellStyle name="20% - Accent1 14 6" xfId="5807" xr:uid="{00000000-0005-0000-0000-00005F030000}"/>
    <cellStyle name="20% - Accent1 14 7" xfId="7855" xr:uid="{00000000-0005-0000-0000-000060030000}"/>
    <cellStyle name="20% - Accent1 15" xfId="1117" xr:uid="{00000000-0005-0000-0000-000061030000}"/>
    <cellStyle name="20% - Accent1 15 2" xfId="1118" xr:uid="{00000000-0005-0000-0000-000062030000}"/>
    <cellStyle name="20% - Accent1 15 2 2" xfId="3695" xr:uid="{00000000-0005-0000-0000-000063030000}"/>
    <cellStyle name="20% - Accent1 15 2 3" xfId="5812" xr:uid="{00000000-0005-0000-0000-000064030000}"/>
    <cellStyle name="20% - Accent1 15 2 4" xfId="7860" xr:uid="{00000000-0005-0000-0000-000065030000}"/>
    <cellStyle name="20% - Accent1 15 3" xfId="1119" xr:uid="{00000000-0005-0000-0000-000066030000}"/>
    <cellStyle name="20% - Accent1 15 3 2" xfId="3696" xr:uid="{00000000-0005-0000-0000-000067030000}"/>
    <cellStyle name="20% - Accent1 15 3 3" xfId="5813" xr:uid="{00000000-0005-0000-0000-000068030000}"/>
    <cellStyle name="20% - Accent1 15 3 4" xfId="7861" xr:uid="{00000000-0005-0000-0000-000069030000}"/>
    <cellStyle name="20% - Accent1 15 4" xfId="1120" xr:uid="{00000000-0005-0000-0000-00006A030000}"/>
    <cellStyle name="20% - Accent1 15 4 2" xfId="3697" xr:uid="{00000000-0005-0000-0000-00006B030000}"/>
    <cellStyle name="20% - Accent1 15 4 3" xfId="5814" xr:uid="{00000000-0005-0000-0000-00006C030000}"/>
    <cellStyle name="20% - Accent1 15 4 4" xfId="7862" xr:uid="{00000000-0005-0000-0000-00006D030000}"/>
    <cellStyle name="20% - Accent1 15 5" xfId="3694" xr:uid="{00000000-0005-0000-0000-00006E030000}"/>
    <cellStyle name="20% - Accent1 15 6" xfId="5811" xr:uid="{00000000-0005-0000-0000-00006F030000}"/>
    <cellStyle name="20% - Accent1 15 7" xfId="7859" xr:uid="{00000000-0005-0000-0000-000070030000}"/>
    <cellStyle name="20% - Accent1 16" xfId="1121" xr:uid="{00000000-0005-0000-0000-000071030000}"/>
    <cellStyle name="20% - Accent1 16 2" xfId="1122" xr:uid="{00000000-0005-0000-0000-000072030000}"/>
    <cellStyle name="20% - Accent1 16 2 2" xfId="3699" xr:uid="{00000000-0005-0000-0000-000073030000}"/>
    <cellStyle name="20% - Accent1 16 2 3" xfId="5816" xr:uid="{00000000-0005-0000-0000-000074030000}"/>
    <cellStyle name="20% - Accent1 16 2 4" xfId="7864" xr:uid="{00000000-0005-0000-0000-000075030000}"/>
    <cellStyle name="20% - Accent1 16 3" xfId="1123" xr:uid="{00000000-0005-0000-0000-000076030000}"/>
    <cellStyle name="20% - Accent1 16 3 2" xfId="3700" xr:uid="{00000000-0005-0000-0000-000077030000}"/>
    <cellStyle name="20% - Accent1 16 3 3" xfId="5817" xr:uid="{00000000-0005-0000-0000-000078030000}"/>
    <cellStyle name="20% - Accent1 16 3 4" xfId="7865" xr:uid="{00000000-0005-0000-0000-000079030000}"/>
    <cellStyle name="20% - Accent1 16 4" xfId="3698" xr:uid="{00000000-0005-0000-0000-00007A030000}"/>
    <cellStyle name="20% - Accent1 16 5" xfId="5815" xr:uid="{00000000-0005-0000-0000-00007B030000}"/>
    <cellStyle name="20% - Accent1 16 6" xfId="7863" xr:uid="{00000000-0005-0000-0000-00007C030000}"/>
    <cellStyle name="20% - Accent1 17" xfId="1124" xr:uid="{00000000-0005-0000-0000-00007D030000}"/>
    <cellStyle name="20% - Accent1 17 2" xfId="1125" xr:uid="{00000000-0005-0000-0000-00007E030000}"/>
    <cellStyle name="20% - Accent1 17 2 2" xfId="3702" xr:uid="{00000000-0005-0000-0000-00007F030000}"/>
    <cellStyle name="20% - Accent1 17 2 3" xfId="5819" xr:uid="{00000000-0005-0000-0000-000080030000}"/>
    <cellStyle name="20% - Accent1 17 2 4" xfId="7867" xr:uid="{00000000-0005-0000-0000-000081030000}"/>
    <cellStyle name="20% - Accent1 17 3" xfId="1126" xr:uid="{00000000-0005-0000-0000-000082030000}"/>
    <cellStyle name="20% - Accent1 17 3 2" xfId="3703" xr:uid="{00000000-0005-0000-0000-000083030000}"/>
    <cellStyle name="20% - Accent1 17 3 3" xfId="5820" xr:uid="{00000000-0005-0000-0000-000084030000}"/>
    <cellStyle name="20% - Accent1 17 3 4" xfId="7868" xr:uid="{00000000-0005-0000-0000-000085030000}"/>
    <cellStyle name="20% - Accent1 17 4" xfId="3701" xr:uid="{00000000-0005-0000-0000-000086030000}"/>
    <cellStyle name="20% - Accent1 17 5" xfId="5818" xr:uid="{00000000-0005-0000-0000-000087030000}"/>
    <cellStyle name="20% - Accent1 17 6" xfId="7866" xr:uid="{00000000-0005-0000-0000-000088030000}"/>
    <cellStyle name="20% - Accent1 18" xfId="1127" xr:uid="{00000000-0005-0000-0000-000089030000}"/>
    <cellStyle name="20% - Accent1 18 2" xfId="1128" xr:uid="{00000000-0005-0000-0000-00008A030000}"/>
    <cellStyle name="20% - Accent1 18 2 2" xfId="3705" xr:uid="{00000000-0005-0000-0000-00008B030000}"/>
    <cellStyle name="20% - Accent1 18 2 3" xfId="5822" xr:uid="{00000000-0005-0000-0000-00008C030000}"/>
    <cellStyle name="20% - Accent1 18 2 4" xfId="7870" xr:uid="{00000000-0005-0000-0000-00008D030000}"/>
    <cellStyle name="20% - Accent1 18 3" xfId="1129" xr:uid="{00000000-0005-0000-0000-00008E030000}"/>
    <cellStyle name="20% - Accent1 18 3 2" xfId="3706" xr:uid="{00000000-0005-0000-0000-00008F030000}"/>
    <cellStyle name="20% - Accent1 18 3 3" xfId="5823" xr:uid="{00000000-0005-0000-0000-000090030000}"/>
    <cellStyle name="20% - Accent1 18 3 4" xfId="7871" xr:uid="{00000000-0005-0000-0000-000091030000}"/>
    <cellStyle name="20% - Accent1 18 4" xfId="3704" xr:uid="{00000000-0005-0000-0000-000092030000}"/>
    <cellStyle name="20% - Accent1 18 5" xfId="5821" xr:uid="{00000000-0005-0000-0000-000093030000}"/>
    <cellStyle name="20% - Accent1 18 6" xfId="7869" xr:uid="{00000000-0005-0000-0000-000094030000}"/>
    <cellStyle name="20% - Accent1 19" xfId="1130" xr:uid="{00000000-0005-0000-0000-000095030000}"/>
    <cellStyle name="20% - Accent1 19 2" xfId="1131" xr:uid="{00000000-0005-0000-0000-000096030000}"/>
    <cellStyle name="20% - Accent1 19 2 2" xfId="3708" xr:uid="{00000000-0005-0000-0000-000097030000}"/>
    <cellStyle name="20% - Accent1 19 2 3" xfId="5825" xr:uid="{00000000-0005-0000-0000-000098030000}"/>
    <cellStyle name="20% - Accent1 19 2 4" xfId="7873" xr:uid="{00000000-0005-0000-0000-000099030000}"/>
    <cellStyle name="20% - Accent1 19 3" xfId="1132" xr:uid="{00000000-0005-0000-0000-00009A030000}"/>
    <cellStyle name="20% - Accent1 19 3 2" xfId="3709" xr:uid="{00000000-0005-0000-0000-00009B030000}"/>
    <cellStyle name="20% - Accent1 19 3 3" xfId="5826" xr:uid="{00000000-0005-0000-0000-00009C030000}"/>
    <cellStyle name="20% - Accent1 19 3 4" xfId="7874" xr:uid="{00000000-0005-0000-0000-00009D030000}"/>
    <cellStyle name="20% - Accent1 19 4" xfId="3707" xr:uid="{00000000-0005-0000-0000-00009E030000}"/>
    <cellStyle name="20% - Accent1 19 5" xfId="5824" xr:uid="{00000000-0005-0000-0000-00009F030000}"/>
    <cellStyle name="20% - Accent1 19 6" xfId="7872" xr:uid="{00000000-0005-0000-0000-0000A0030000}"/>
    <cellStyle name="20% - Accent1 2" xfId="1133" xr:uid="{00000000-0005-0000-0000-0000A1030000}"/>
    <cellStyle name="20% - Accent1 2 2" xfId="1134" xr:uid="{00000000-0005-0000-0000-0000A2030000}"/>
    <cellStyle name="20% - Accent1 2 2 2" xfId="1135" xr:uid="{00000000-0005-0000-0000-0000A3030000}"/>
    <cellStyle name="20% - Accent1 2 2 2 2" xfId="3710" xr:uid="{00000000-0005-0000-0000-0000A4030000}"/>
    <cellStyle name="20% - Accent1 2 2 2 3" xfId="5827" xr:uid="{00000000-0005-0000-0000-0000A5030000}"/>
    <cellStyle name="20% - Accent1 2 2 2 4" xfId="7875" xr:uid="{00000000-0005-0000-0000-0000A6030000}"/>
    <cellStyle name="20% - Accent1 2 3" xfId="1136" xr:uid="{00000000-0005-0000-0000-0000A7030000}"/>
    <cellStyle name="20% - Accent1 2 3 2" xfId="3711" xr:uid="{00000000-0005-0000-0000-0000A8030000}"/>
    <cellStyle name="20% - Accent1 2 3 3" xfId="5828" xr:uid="{00000000-0005-0000-0000-0000A9030000}"/>
    <cellStyle name="20% - Accent1 2 3 4" xfId="7876" xr:uid="{00000000-0005-0000-0000-0000AA030000}"/>
    <cellStyle name="20% - Accent1 2 4" xfId="1137" xr:uid="{00000000-0005-0000-0000-0000AB030000}"/>
    <cellStyle name="20% - Accent1 2 4 2" xfId="3712" xr:uid="{00000000-0005-0000-0000-0000AC030000}"/>
    <cellStyle name="20% - Accent1 2 4 3" xfId="5829" xr:uid="{00000000-0005-0000-0000-0000AD030000}"/>
    <cellStyle name="20% - Accent1 2 4 4" xfId="7877" xr:uid="{00000000-0005-0000-0000-0000AE030000}"/>
    <cellStyle name="20% - Accent1 2 5" xfId="1138" xr:uid="{00000000-0005-0000-0000-0000AF030000}"/>
    <cellStyle name="20% - Accent1 2 5 2" xfId="3713" xr:uid="{00000000-0005-0000-0000-0000B0030000}"/>
    <cellStyle name="20% - Accent1 2 5 3" xfId="5830" xr:uid="{00000000-0005-0000-0000-0000B1030000}"/>
    <cellStyle name="20% - Accent1 2 5 4" xfId="7878" xr:uid="{00000000-0005-0000-0000-0000B2030000}"/>
    <cellStyle name="20% - Accent1 2 6" xfId="1139" xr:uid="{00000000-0005-0000-0000-0000B3030000}"/>
    <cellStyle name="20% - Accent1 2 6 2" xfId="3714" xr:uid="{00000000-0005-0000-0000-0000B4030000}"/>
    <cellStyle name="20% - Accent1 2 6 3" xfId="5831" xr:uid="{00000000-0005-0000-0000-0000B5030000}"/>
    <cellStyle name="20% - Accent1 2 6 4" xfId="7879" xr:uid="{00000000-0005-0000-0000-0000B6030000}"/>
    <cellStyle name="20% - Accent1 2 7" xfId="1140" xr:uid="{00000000-0005-0000-0000-0000B7030000}"/>
    <cellStyle name="20% - Accent1 2 7 2" xfId="3715" xr:uid="{00000000-0005-0000-0000-0000B8030000}"/>
    <cellStyle name="20% - Accent1 2 7 3" xfId="5832" xr:uid="{00000000-0005-0000-0000-0000B9030000}"/>
    <cellStyle name="20% - Accent1 2 7 4" xfId="7880" xr:uid="{00000000-0005-0000-0000-0000BA030000}"/>
    <cellStyle name="20% - Accent1 2 8" xfId="1141" xr:uid="{00000000-0005-0000-0000-0000BB030000}"/>
    <cellStyle name="20% - Accent1 2 8 2" xfId="3716" xr:uid="{00000000-0005-0000-0000-0000BC030000}"/>
    <cellStyle name="20% - Accent1 2 8 3" xfId="5833" xr:uid="{00000000-0005-0000-0000-0000BD030000}"/>
    <cellStyle name="20% - Accent1 2 8 4" xfId="7881" xr:uid="{00000000-0005-0000-0000-0000BE030000}"/>
    <cellStyle name="20% - Accent1 2 9" xfId="1142" xr:uid="{00000000-0005-0000-0000-0000BF030000}"/>
    <cellStyle name="20% - Accent1 20" xfId="1143" xr:uid="{00000000-0005-0000-0000-0000C0030000}"/>
    <cellStyle name="20% - Accent1 20 2" xfId="1144" xr:uid="{00000000-0005-0000-0000-0000C1030000}"/>
    <cellStyle name="20% - Accent1 20 2 2" xfId="3718" xr:uid="{00000000-0005-0000-0000-0000C2030000}"/>
    <cellStyle name="20% - Accent1 20 2 3" xfId="5835" xr:uid="{00000000-0005-0000-0000-0000C3030000}"/>
    <cellStyle name="20% - Accent1 20 2 4" xfId="7883" xr:uid="{00000000-0005-0000-0000-0000C4030000}"/>
    <cellStyle name="20% - Accent1 20 3" xfId="1145" xr:uid="{00000000-0005-0000-0000-0000C5030000}"/>
    <cellStyle name="20% - Accent1 20 3 2" xfId="3719" xr:uid="{00000000-0005-0000-0000-0000C6030000}"/>
    <cellStyle name="20% - Accent1 20 3 3" xfId="5836" xr:uid="{00000000-0005-0000-0000-0000C7030000}"/>
    <cellStyle name="20% - Accent1 20 3 4" xfId="7884" xr:uid="{00000000-0005-0000-0000-0000C8030000}"/>
    <cellStyle name="20% - Accent1 20 4" xfId="3717" xr:uid="{00000000-0005-0000-0000-0000C9030000}"/>
    <cellStyle name="20% - Accent1 20 5" xfId="5834" xr:uid="{00000000-0005-0000-0000-0000CA030000}"/>
    <cellStyle name="20% - Accent1 20 6" xfId="7882" xr:uid="{00000000-0005-0000-0000-0000CB030000}"/>
    <cellStyle name="20% - Accent1 21" xfId="1146" xr:uid="{00000000-0005-0000-0000-0000CC030000}"/>
    <cellStyle name="20% - Accent1 21 2" xfId="1147" xr:uid="{00000000-0005-0000-0000-0000CD030000}"/>
    <cellStyle name="20% - Accent1 21 2 2" xfId="3721" xr:uid="{00000000-0005-0000-0000-0000CE030000}"/>
    <cellStyle name="20% - Accent1 21 2 3" xfId="5838" xr:uid="{00000000-0005-0000-0000-0000CF030000}"/>
    <cellStyle name="20% - Accent1 21 2 4" xfId="7886" xr:uid="{00000000-0005-0000-0000-0000D0030000}"/>
    <cellStyle name="20% - Accent1 21 3" xfId="1148" xr:uid="{00000000-0005-0000-0000-0000D1030000}"/>
    <cellStyle name="20% - Accent1 21 3 2" xfId="3722" xr:uid="{00000000-0005-0000-0000-0000D2030000}"/>
    <cellStyle name="20% - Accent1 21 3 3" xfId="5839" xr:uid="{00000000-0005-0000-0000-0000D3030000}"/>
    <cellStyle name="20% - Accent1 21 3 4" xfId="7887" xr:uid="{00000000-0005-0000-0000-0000D4030000}"/>
    <cellStyle name="20% - Accent1 21 4" xfId="3720" xr:uid="{00000000-0005-0000-0000-0000D5030000}"/>
    <cellStyle name="20% - Accent1 21 5" xfId="5837" xr:uid="{00000000-0005-0000-0000-0000D6030000}"/>
    <cellStyle name="20% - Accent1 21 6" xfId="7885" xr:uid="{00000000-0005-0000-0000-0000D7030000}"/>
    <cellStyle name="20% - Accent1 22" xfId="1149" xr:uid="{00000000-0005-0000-0000-0000D8030000}"/>
    <cellStyle name="20% - Accent1 22 2" xfId="1150" xr:uid="{00000000-0005-0000-0000-0000D9030000}"/>
    <cellStyle name="20% - Accent1 22 2 2" xfId="3724" xr:uid="{00000000-0005-0000-0000-0000DA030000}"/>
    <cellStyle name="20% - Accent1 22 2 3" xfId="5841" xr:uid="{00000000-0005-0000-0000-0000DB030000}"/>
    <cellStyle name="20% - Accent1 22 2 4" xfId="7889" xr:uid="{00000000-0005-0000-0000-0000DC030000}"/>
    <cellStyle name="20% - Accent1 22 3" xfId="1151" xr:uid="{00000000-0005-0000-0000-0000DD030000}"/>
    <cellStyle name="20% - Accent1 22 3 2" xfId="3725" xr:uid="{00000000-0005-0000-0000-0000DE030000}"/>
    <cellStyle name="20% - Accent1 22 3 3" xfId="5842" xr:uid="{00000000-0005-0000-0000-0000DF030000}"/>
    <cellStyle name="20% - Accent1 22 3 4" xfId="7890" xr:uid="{00000000-0005-0000-0000-0000E0030000}"/>
    <cellStyle name="20% - Accent1 22 4" xfId="3723" xr:uid="{00000000-0005-0000-0000-0000E1030000}"/>
    <cellStyle name="20% - Accent1 22 5" xfId="5840" xr:uid="{00000000-0005-0000-0000-0000E2030000}"/>
    <cellStyle name="20% - Accent1 22 6" xfId="7888" xr:uid="{00000000-0005-0000-0000-0000E3030000}"/>
    <cellStyle name="20% - Accent1 23" xfId="1152" xr:uid="{00000000-0005-0000-0000-0000E4030000}"/>
    <cellStyle name="20% - Accent1 23 2" xfId="1153" xr:uid="{00000000-0005-0000-0000-0000E5030000}"/>
    <cellStyle name="20% - Accent1 23 2 2" xfId="3727" xr:uid="{00000000-0005-0000-0000-0000E6030000}"/>
    <cellStyle name="20% - Accent1 23 2 3" xfId="5844" xr:uid="{00000000-0005-0000-0000-0000E7030000}"/>
    <cellStyle name="20% - Accent1 23 2 4" xfId="7892" xr:uid="{00000000-0005-0000-0000-0000E8030000}"/>
    <cellStyle name="20% - Accent1 23 3" xfId="3726" xr:uid="{00000000-0005-0000-0000-0000E9030000}"/>
    <cellStyle name="20% - Accent1 23 4" xfId="5843" xr:uid="{00000000-0005-0000-0000-0000EA030000}"/>
    <cellStyle name="20% - Accent1 23 5" xfId="7891" xr:uid="{00000000-0005-0000-0000-0000EB030000}"/>
    <cellStyle name="20% - Accent1 24" xfId="1154" xr:uid="{00000000-0005-0000-0000-0000EC030000}"/>
    <cellStyle name="20% - Accent1 24 2" xfId="1155" xr:uid="{00000000-0005-0000-0000-0000ED030000}"/>
    <cellStyle name="20% - Accent1 24 2 2" xfId="3729" xr:uid="{00000000-0005-0000-0000-0000EE030000}"/>
    <cellStyle name="20% - Accent1 24 2 3" xfId="5846" xr:uid="{00000000-0005-0000-0000-0000EF030000}"/>
    <cellStyle name="20% - Accent1 24 2 4" xfId="7894" xr:uid="{00000000-0005-0000-0000-0000F0030000}"/>
    <cellStyle name="20% - Accent1 24 3" xfId="3728" xr:uid="{00000000-0005-0000-0000-0000F1030000}"/>
    <cellStyle name="20% - Accent1 24 4" xfId="5845" xr:uid="{00000000-0005-0000-0000-0000F2030000}"/>
    <cellStyle name="20% - Accent1 24 5" xfId="7893" xr:uid="{00000000-0005-0000-0000-0000F3030000}"/>
    <cellStyle name="20% - Accent1 25" xfId="1156" xr:uid="{00000000-0005-0000-0000-0000F4030000}"/>
    <cellStyle name="20% - Accent1 25 2" xfId="1157" xr:uid="{00000000-0005-0000-0000-0000F5030000}"/>
    <cellStyle name="20% - Accent1 25 2 2" xfId="3731" xr:uid="{00000000-0005-0000-0000-0000F6030000}"/>
    <cellStyle name="20% - Accent1 25 2 3" xfId="5848" xr:uid="{00000000-0005-0000-0000-0000F7030000}"/>
    <cellStyle name="20% - Accent1 25 2 4" xfId="7896" xr:uid="{00000000-0005-0000-0000-0000F8030000}"/>
    <cellStyle name="20% - Accent1 25 3" xfId="3730" xr:uid="{00000000-0005-0000-0000-0000F9030000}"/>
    <cellStyle name="20% - Accent1 25 4" xfId="5847" xr:uid="{00000000-0005-0000-0000-0000FA030000}"/>
    <cellStyle name="20% - Accent1 25 5" xfId="7895" xr:uid="{00000000-0005-0000-0000-0000FB030000}"/>
    <cellStyle name="20% - Accent1 26" xfId="1158" xr:uid="{00000000-0005-0000-0000-0000FC030000}"/>
    <cellStyle name="20% - Accent1 26 2" xfId="1159" xr:uid="{00000000-0005-0000-0000-0000FD030000}"/>
    <cellStyle name="20% - Accent1 26 2 2" xfId="3733" xr:uid="{00000000-0005-0000-0000-0000FE030000}"/>
    <cellStyle name="20% - Accent1 26 2 3" xfId="5850" xr:uid="{00000000-0005-0000-0000-0000FF030000}"/>
    <cellStyle name="20% - Accent1 26 2 4" xfId="7898" xr:uid="{00000000-0005-0000-0000-000000040000}"/>
    <cellStyle name="20% - Accent1 26 3" xfId="3732" xr:uid="{00000000-0005-0000-0000-000001040000}"/>
    <cellStyle name="20% - Accent1 26 4" xfId="5849" xr:uid="{00000000-0005-0000-0000-000002040000}"/>
    <cellStyle name="20% - Accent1 26 5" xfId="7897" xr:uid="{00000000-0005-0000-0000-000003040000}"/>
    <cellStyle name="20% - Accent1 27" xfId="1160" xr:uid="{00000000-0005-0000-0000-000004040000}"/>
    <cellStyle name="20% - Accent1 27 2" xfId="1161" xr:uid="{00000000-0005-0000-0000-000005040000}"/>
    <cellStyle name="20% - Accent1 27 2 2" xfId="3735" xr:uid="{00000000-0005-0000-0000-000006040000}"/>
    <cellStyle name="20% - Accent1 27 2 3" xfId="5852" xr:uid="{00000000-0005-0000-0000-000007040000}"/>
    <cellStyle name="20% - Accent1 27 2 4" xfId="7900" xr:uid="{00000000-0005-0000-0000-000008040000}"/>
    <cellStyle name="20% - Accent1 27 3" xfId="3734" xr:uid="{00000000-0005-0000-0000-000009040000}"/>
    <cellStyle name="20% - Accent1 27 4" xfId="5851" xr:uid="{00000000-0005-0000-0000-00000A040000}"/>
    <cellStyle name="20% - Accent1 27 5" xfId="7899" xr:uid="{00000000-0005-0000-0000-00000B040000}"/>
    <cellStyle name="20% - Accent1 28" xfId="1162" xr:uid="{00000000-0005-0000-0000-00000C040000}"/>
    <cellStyle name="20% - Accent1 28 2" xfId="1163" xr:uid="{00000000-0005-0000-0000-00000D040000}"/>
    <cellStyle name="20% - Accent1 28 2 2" xfId="3737" xr:uid="{00000000-0005-0000-0000-00000E040000}"/>
    <cellStyle name="20% - Accent1 28 2 3" xfId="5854" xr:uid="{00000000-0005-0000-0000-00000F040000}"/>
    <cellStyle name="20% - Accent1 28 2 4" xfId="7902" xr:uid="{00000000-0005-0000-0000-000010040000}"/>
    <cellStyle name="20% - Accent1 28 3" xfId="3736" xr:uid="{00000000-0005-0000-0000-000011040000}"/>
    <cellStyle name="20% - Accent1 28 4" xfId="5853" xr:uid="{00000000-0005-0000-0000-000012040000}"/>
    <cellStyle name="20% - Accent1 28 5" xfId="7901" xr:uid="{00000000-0005-0000-0000-000013040000}"/>
    <cellStyle name="20% - Accent1 29" xfId="1164" xr:uid="{00000000-0005-0000-0000-000014040000}"/>
    <cellStyle name="20% - Accent1 29 2" xfId="1165" xr:uid="{00000000-0005-0000-0000-000015040000}"/>
    <cellStyle name="20% - Accent1 29 2 2" xfId="3739" xr:uid="{00000000-0005-0000-0000-000016040000}"/>
    <cellStyle name="20% - Accent1 29 2 3" xfId="5856" xr:uid="{00000000-0005-0000-0000-000017040000}"/>
    <cellStyle name="20% - Accent1 29 2 4" xfId="7904" xr:uid="{00000000-0005-0000-0000-000018040000}"/>
    <cellStyle name="20% - Accent1 29 3" xfId="3738" xr:uid="{00000000-0005-0000-0000-000019040000}"/>
    <cellStyle name="20% - Accent1 29 4" xfId="5855" xr:uid="{00000000-0005-0000-0000-00001A040000}"/>
    <cellStyle name="20% - Accent1 29 5" xfId="7903" xr:uid="{00000000-0005-0000-0000-00001B040000}"/>
    <cellStyle name="20% - Accent1 3" xfId="1166" xr:uid="{00000000-0005-0000-0000-00001C040000}"/>
    <cellStyle name="20% - Accent1 3 2" xfId="1167" xr:uid="{00000000-0005-0000-0000-00001D040000}"/>
    <cellStyle name="20% - Accent1 3 2 2" xfId="3740" xr:uid="{00000000-0005-0000-0000-00001E040000}"/>
    <cellStyle name="20% - Accent1 3 2 3" xfId="5857" xr:uid="{00000000-0005-0000-0000-00001F040000}"/>
    <cellStyle name="20% - Accent1 3 2 4" xfId="7905" xr:uid="{00000000-0005-0000-0000-000020040000}"/>
    <cellStyle name="20% - Accent1 3 3" xfId="1168" xr:uid="{00000000-0005-0000-0000-000021040000}"/>
    <cellStyle name="20% - Accent1 3 3 2" xfId="3741" xr:uid="{00000000-0005-0000-0000-000022040000}"/>
    <cellStyle name="20% - Accent1 3 3 3" xfId="5858" xr:uid="{00000000-0005-0000-0000-000023040000}"/>
    <cellStyle name="20% - Accent1 3 3 4" xfId="7906" xr:uid="{00000000-0005-0000-0000-000024040000}"/>
    <cellStyle name="20% - Accent1 3 4" xfId="1169" xr:uid="{00000000-0005-0000-0000-000025040000}"/>
    <cellStyle name="20% - Accent1 3 4 2" xfId="3742" xr:uid="{00000000-0005-0000-0000-000026040000}"/>
    <cellStyle name="20% - Accent1 3 4 3" xfId="5859" xr:uid="{00000000-0005-0000-0000-000027040000}"/>
    <cellStyle name="20% - Accent1 3 4 4" xfId="7907" xr:uid="{00000000-0005-0000-0000-000028040000}"/>
    <cellStyle name="20% - Accent1 3 5" xfId="1170" xr:uid="{00000000-0005-0000-0000-000029040000}"/>
    <cellStyle name="20% - Accent1 3 5 2" xfId="3743" xr:uid="{00000000-0005-0000-0000-00002A040000}"/>
    <cellStyle name="20% - Accent1 3 5 3" xfId="5860" xr:uid="{00000000-0005-0000-0000-00002B040000}"/>
    <cellStyle name="20% - Accent1 3 5 4" xfId="7908" xr:uid="{00000000-0005-0000-0000-00002C040000}"/>
    <cellStyle name="20% - Accent1 3 6" xfId="1171" xr:uid="{00000000-0005-0000-0000-00002D040000}"/>
    <cellStyle name="20% - Accent1 3 6 2" xfId="3744" xr:uid="{00000000-0005-0000-0000-00002E040000}"/>
    <cellStyle name="20% - Accent1 3 6 3" xfId="5861" xr:uid="{00000000-0005-0000-0000-00002F040000}"/>
    <cellStyle name="20% - Accent1 3 6 4" xfId="7909" xr:uid="{00000000-0005-0000-0000-000030040000}"/>
    <cellStyle name="20% - Accent1 3 7" xfId="1172" xr:uid="{00000000-0005-0000-0000-000031040000}"/>
    <cellStyle name="20% - Accent1 3 7 2" xfId="3745" xr:uid="{00000000-0005-0000-0000-000032040000}"/>
    <cellStyle name="20% - Accent1 3 7 3" xfId="5862" xr:uid="{00000000-0005-0000-0000-000033040000}"/>
    <cellStyle name="20% - Accent1 3 7 4" xfId="7910" xr:uid="{00000000-0005-0000-0000-000034040000}"/>
    <cellStyle name="20% - Accent1 30" xfId="1173" xr:uid="{00000000-0005-0000-0000-000035040000}"/>
    <cellStyle name="20% - Accent1 30 2" xfId="1174" xr:uid="{00000000-0005-0000-0000-000036040000}"/>
    <cellStyle name="20% - Accent1 30 2 2" xfId="3747" xr:uid="{00000000-0005-0000-0000-000037040000}"/>
    <cellStyle name="20% - Accent1 30 2 3" xfId="5864" xr:uid="{00000000-0005-0000-0000-000038040000}"/>
    <cellStyle name="20% - Accent1 30 2 4" xfId="7912" xr:uid="{00000000-0005-0000-0000-000039040000}"/>
    <cellStyle name="20% - Accent1 30 3" xfId="3746" xr:uid="{00000000-0005-0000-0000-00003A040000}"/>
    <cellStyle name="20% - Accent1 30 4" xfId="5863" xr:uid="{00000000-0005-0000-0000-00003B040000}"/>
    <cellStyle name="20% - Accent1 30 5" xfId="7911" xr:uid="{00000000-0005-0000-0000-00003C040000}"/>
    <cellStyle name="20% - Accent1 31" xfId="1175" xr:uid="{00000000-0005-0000-0000-00003D040000}"/>
    <cellStyle name="20% - Accent1 31 2" xfId="1176" xr:uid="{00000000-0005-0000-0000-00003E040000}"/>
    <cellStyle name="20% - Accent1 31 2 2" xfId="3749" xr:uid="{00000000-0005-0000-0000-00003F040000}"/>
    <cellStyle name="20% - Accent1 31 2 3" xfId="5866" xr:uid="{00000000-0005-0000-0000-000040040000}"/>
    <cellStyle name="20% - Accent1 31 2 4" xfId="7914" xr:uid="{00000000-0005-0000-0000-000041040000}"/>
    <cellStyle name="20% - Accent1 31 3" xfId="3748" xr:uid="{00000000-0005-0000-0000-000042040000}"/>
    <cellStyle name="20% - Accent1 31 4" xfId="5865" xr:uid="{00000000-0005-0000-0000-000043040000}"/>
    <cellStyle name="20% - Accent1 31 5" xfId="7913" xr:uid="{00000000-0005-0000-0000-000044040000}"/>
    <cellStyle name="20% - Accent1 32" xfId="1177" xr:uid="{00000000-0005-0000-0000-000045040000}"/>
    <cellStyle name="20% - Accent1 32 2" xfId="1178" xr:uid="{00000000-0005-0000-0000-000046040000}"/>
    <cellStyle name="20% - Accent1 32 2 2" xfId="3751" xr:uid="{00000000-0005-0000-0000-000047040000}"/>
    <cellStyle name="20% - Accent1 32 2 3" xfId="5868" xr:uid="{00000000-0005-0000-0000-000048040000}"/>
    <cellStyle name="20% - Accent1 32 2 4" xfId="7916" xr:uid="{00000000-0005-0000-0000-000049040000}"/>
    <cellStyle name="20% - Accent1 32 3" xfId="3750" xr:uid="{00000000-0005-0000-0000-00004A040000}"/>
    <cellStyle name="20% - Accent1 32 4" xfId="5867" xr:uid="{00000000-0005-0000-0000-00004B040000}"/>
    <cellStyle name="20% - Accent1 32 5" xfId="7915" xr:uid="{00000000-0005-0000-0000-00004C040000}"/>
    <cellStyle name="20% - Accent1 33" xfId="1179" xr:uid="{00000000-0005-0000-0000-00004D040000}"/>
    <cellStyle name="20% - Accent1 33 2" xfId="3752" xr:uid="{00000000-0005-0000-0000-00004E040000}"/>
    <cellStyle name="20% - Accent1 33 3" xfId="5869" xr:uid="{00000000-0005-0000-0000-00004F040000}"/>
    <cellStyle name="20% - Accent1 33 4" xfId="7917" xr:uid="{00000000-0005-0000-0000-000050040000}"/>
    <cellStyle name="20% - Accent1 34" xfId="1180" xr:uid="{00000000-0005-0000-0000-000051040000}"/>
    <cellStyle name="20% - Accent1 34 2" xfId="3753" xr:uid="{00000000-0005-0000-0000-000052040000}"/>
    <cellStyle name="20% - Accent1 34 3" xfId="5870" xr:uid="{00000000-0005-0000-0000-000053040000}"/>
    <cellStyle name="20% - Accent1 34 4" xfId="7918" xr:uid="{00000000-0005-0000-0000-000054040000}"/>
    <cellStyle name="20% - Accent1 35" xfId="1181" xr:uid="{00000000-0005-0000-0000-000055040000}"/>
    <cellStyle name="20% - Accent1 35 2" xfId="3754" xr:uid="{00000000-0005-0000-0000-000056040000}"/>
    <cellStyle name="20% - Accent1 35 3" xfId="5871" xr:uid="{00000000-0005-0000-0000-000057040000}"/>
    <cellStyle name="20% - Accent1 35 4" xfId="7919" xr:uid="{00000000-0005-0000-0000-000058040000}"/>
    <cellStyle name="20% - Accent1 36" xfId="1182" xr:uid="{00000000-0005-0000-0000-000059040000}"/>
    <cellStyle name="20% - Accent1 36 2" xfId="3755" xr:uid="{00000000-0005-0000-0000-00005A040000}"/>
    <cellStyle name="20% - Accent1 36 3" xfId="5872" xr:uid="{00000000-0005-0000-0000-00005B040000}"/>
    <cellStyle name="20% - Accent1 36 4" xfId="7920" xr:uid="{00000000-0005-0000-0000-00005C040000}"/>
    <cellStyle name="20% - Accent1 37" xfId="1183" xr:uid="{00000000-0005-0000-0000-00005D040000}"/>
    <cellStyle name="20% - Accent1 37 2" xfId="3756" xr:uid="{00000000-0005-0000-0000-00005E040000}"/>
    <cellStyle name="20% - Accent1 37 3" xfId="5873" xr:uid="{00000000-0005-0000-0000-00005F040000}"/>
    <cellStyle name="20% - Accent1 37 4" xfId="7921" xr:uid="{00000000-0005-0000-0000-000060040000}"/>
    <cellStyle name="20% - Accent1 38" xfId="1184" xr:uid="{00000000-0005-0000-0000-000061040000}"/>
    <cellStyle name="20% - Accent1 38 2" xfId="3757" xr:uid="{00000000-0005-0000-0000-000062040000}"/>
    <cellStyle name="20% - Accent1 38 3" xfId="5874" xr:uid="{00000000-0005-0000-0000-000063040000}"/>
    <cellStyle name="20% - Accent1 38 4" xfId="7922" xr:uid="{00000000-0005-0000-0000-000064040000}"/>
    <cellStyle name="20% - Accent1 39" xfId="1185" xr:uid="{00000000-0005-0000-0000-000065040000}"/>
    <cellStyle name="20% - Accent1 39 2" xfId="3758" xr:uid="{00000000-0005-0000-0000-000066040000}"/>
    <cellStyle name="20% - Accent1 39 3" xfId="5875" xr:uid="{00000000-0005-0000-0000-000067040000}"/>
    <cellStyle name="20% - Accent1 39 4" xfId="7923" xr:uid="{00000000-0005-0000-0000-000068040000}"/>
    <cellStyle name="20% - Accent1 4" xfId="1186" xr:uid="{00000000-0005-0000-0000-000069040000}"/>
    <cellStyle name="20% - Accent1 4 2" xfId="1187" xr:uid="{00000000-0005-0000-0000-00006A040000}"/>
    <cellStyle name="20% - Accent1 4 2 2" xfId="3759" xr:uid="{00000000-0005-0000-0000-00006B040000}"/>
    <cellStyle name="20% - Accent1 4 2 3" xfId="5876" xr:uid="{00000000-0005-0000-0000-00006C040000}"/>
    <cellStyle name="20% - Accent1 4 2 4" xfId="7924" xr:uid="{00000000-0005-0000-0000-00006D040000}"/>
    <cellStyle name="20% - Accent1 4 3" xfId="1188" xr:uid="{00000000-0005-0000-0000-00006E040000}"/>
    <cellStyle name="20% - Accent1 4 3 2" xfId="3760" xr:uid="{00000000-0005-0000-0000-00006F040000}"/>
    <cellStyle name="20% - Accent1 4 3 3" xfId="5877" xr:uid="{00000000-0005-0000-0000-000070040000}"/>
    <cellStyle name="20% - Accent1 4 3 4" xfId="7925" xr:uid="{00000000-0005-0000-0000-000071040000}"/>
    <cellStyle name="20% - Accent1 4 4" xfId="1189" xr:uid="{00000000-0005-0000-0000-000072040000}"/>
    <cellStyle name="20% - Accent1 4 4 2" xfId="3761" xr:uid="{00000000-0005-0000-0000-000073040000}"/>
    <cellStyle name="20% - Accent1 4 4 3" xfId="5878" xr:uid="{00000000-0005-0000-0000-000074040000}"/>
    <cellStyle name="20% - Accent1 4 4 4" xfId="7926" xr:uid="{00000000-0005-0000-0000-000075040000}"/>
    <cellStyle name="20% - Accent1 4 5" xfId="1190" xr:uid="{00000000-0005-0000-0000-000076040000}"/>
    <cellStyle name="20% - Accent1 4 5 2" xfId="3762" xr:uid="{00000000-0005-0000-0000-000077040000}"/>
    <cellStyle name="20% - Accent1 4 5 3" xfId="5879" xr:uid="{00000000-0005-0000-0000-000078040000}"/>
    <cellStyle name="20% - Accent1 4 5 4" xfId="7927" xr:uid="{00000000-0005-0000-0000-000079040000}"/>
    <cellStyle name="20% - Accent1 4 6" xfId="1191" xr:uid="{00000000-0005-0000-0000-00007A040000}"/>
    <cellStyle name="20% - Accent1 4 6 2" xfId="3763" xr:uid="{00000000-0005-0000-0000-00007B040000}"/>
    <cellStyle name="20% - Accent1 4 6 3" xfId="5880" xr:uid="{00000000-0005-0000-0000-00007C040000}"/>
    <cellStyle name="20% - Accent1 4 6 4" xfId="7928" xr:uid="{00000000-0005-0000-0000-00007D040000}"/>
    <cellStyle name="20% - Accent1 4 7" xfId="1192" xr:uid="{00000000-0005-0000-0000-00007E040000}"/>
    <cellStyle name="20% - Accent1 4 7 2" xfId="3764" xr:uid="{00000000-0005-0000-0000-00007F040000}"/>
    <cellStyle name="20% - Accent1 4 7 3" xfId="5881" xr:uid="{00000000-0005-0000-0000-000080040000}"/>
    <cellStyle name="20% - Accent1 4 7 4" xfId="7929" xr:uid="{00000000-0005-0000-0000-000081040000}"/>
    <cellStyle name="20% - Accent1 40" xfId="1193" xr:uid="{00000000-0005-0000-0000-000082040000}"/>
    <cellStyle name="20% - Accent1 40 2" xfId="3765" xr:uid="{00000000-0005-0000-0000-000083040000}"/>
    <cellStyle name="20% - Accent1 40 3" xfId="5882" xr:uid="{00000000-0005-0000-0000-000084040000}"/>
    <cellStyle name="20% - Accent1 40 4" xfId="7930" xr:uid="{00000000-0005-0000-0000-000085040000}"/>
    <cellStyle name="20% - Accent1 41" xfId="1194" xr:uid="{00000000-0005-0000-0000-000086040000}"/>
    <cellStyle name="20% - Accent1 41 2" xfId="3766" xr:uid="{00000000-0005-0000-0000-000087040000}"/>
    <cellStyle name="20% - Accent1 41 3" xfId="5883" xr:uid="{00000000-0005-0000-0000-000088040000}"/>
    <cellStyle name="20% - Accent1 41 4" xfId="7931" xr:uid="{00000000-0005-0000-0000-000089040000}"/>
    <cellStyle name="20% - Accent1 42" xfId="1195" xr:uid="{00000000-0005-0000-0000-00008A040000}"/>
    <cellStyle name="20% - Accent1 42 2" xfId="3767" xr:uid="{00000000-0005-0000-0000-00008B040000}"/>
    <cellStyle name="20% - Accent1 42 3" xfId="5884" xr:uid="{00000000-0005-0000-0000-00008C040000}"/>
    <cellStyle name="20% - Accent1 42 4" xfId="7932" xr:uid="{00000000-0005-0000-0000-00008D040000}"/>
    <cellStyle name="20% - Accent1 43" xfId="1196" xr:uid="{00000000-0005-0000-0000-00008E040000}"/>
    <cellStyle name="20% - Accent1 43 2" xfId="3768" xr:uid="{00000000-0005-0000-0000-00008F040000}"/>
    <cellStyle name="20% - Accent1 43 3" xfId="5885" xr:uid="{00000000-0005-0000-0000-000090040000}"/>
    <cellStyle name="20% - Accent1 43 4" xfId="7933" xr:uid="{00000000-0005-0000-0000-000091040000}"/>
    <cellStyle name="20% - Accent1 44" xfId="1197" xr:uid="{00000000-0005-0000-0000-000092040000}"/>
    <cellStyle name="20% - Accent1 44 2" xfId="3769" xr:uid="{00000000-0005-0000-0000-000093040000}"/>
    <cellStyle name="20% - Accent1 44 3" xfId="5886" xr:uid="{00000000-0005-0000-0000-000094040000}"/>
    <cellStyle name="20% - Accent1 44 4" xfId="7934" xr:uid="{00000000-0005-0000-0000-000095040000}"/>
    <cellStyle name="20% - Accent1 45" xfId="1198" xr:uid="{00000000-0005-0000-0000-000096040000}"/>
    <cellStyle name="20% - Accent1 45 2" xfId="3770" xr:uid="{00000000-0005-0000-0000-000097040000}"/>
    <cellStyle name="20% - Accent1 45 3" xfId="5887" xr:uid="{00000000-0005-0000-0000-000098040000}"/>
    <cellStyle name="20% - Accent1 45 4" xfId="7935" xr:uid="{00000000-0005-0000-0000-000099040000}"/>
    <cellStyle name="20% - Accent1 46" xfId="1199" xr:uid="{00000000-0005-0000-0000-00009A040000}"/>
    <cellStyle name="20% - Accent1 46 2" xfId="3771" xr:uid="{00000000-0005-0000-0000-00009B040000}"/>
    <cellStyle name="20% - Accent1 46 3" xfId="5888" xr:uid="{00000000-0005-0000-0000-00009C040000}"/>
    <cellStyle name="20% - Accent1 46 4" xfId="7936" xr:uid="{00000000-0005-0000-0000-00009D040000}"/>
    <cellStyle name="20% - Accent1 47" xfId="1200" xr:uid="{00000000-0005-0000-0000-00009E040000}"/>
    <cellStyle name="20% - Accent1 47 2" xfId="3772" xr:uid="{00000000-0005-0000-0000-00009F040000}"/>
    <cellStyle name="20% - Accent1 47 3" xfId="5889" xr:uid="{00000000-0005-0000-0000-0000A0040000}"/>
    <cellStyle name="20% - Accent1 47 4" xfId="7937" xr:uid="{00000000-0005-0000-0000-0000A1040000}"/>
    <cellStyle name="20% - Accent1 48" xfId="1201" xr:uid="{00000000-0005-0000-0000-0000A2040000}"/>
    <cellStyle name="20% - Accent1 48 2" xfId="3773" xr:uid="{00000000-0005-0000-0000-0000A3040000}"/>
    <cellStyle name="20% - Accent1 48 3" xfId="5890" xr:uid="{00000000-0005-0000-0000-0000A4040000}"/>
    <cellStyle name="20% - Accent1 48 4" xfId="7938" xr:uid="{00000000-0005-0000-0000-0000A5040000}"/>
    <cellStyle name="20% - Accent1 49" xfId="1202" xr:uid="{00000000-0005-0000-0000-0000A6040000}"/>
    <cellStyle name="20% - Accent1 49 2" xfId="3774" xr:uid="{00000000-0005-0000-0000-0000A7040000}"/>
    <cellStyle name="20% - Accent1 49 3" xfId="5891" xr:uid="{00000000-0005-0000-0000-0000A8040000}"/>
    <cellStyle name="20% - Accent1 49 4" xfId="7939" xr:uid="{00000000-0005-0000-0000-0000A9040000}"/>
    <cellStyle name="20% - Accent1 5" xfId="1203" xr:uid="{00000000-0005-0000-0000-0000AA040000}"/>
    <cellStyle name="20% - Accent1 5 2" xfId="1204" xr:uid="{00000000-0005-0000-0000-0000AB040000}"/>
    <cellStyle name="20% - Accent1 5 2 2" xfId="3775" xr:uid="{00000000-0005-0000-0000-0000AC040000}"/>
    <cellStyle name="20% - Accent1 5 2 3" xfId="5892" xr:uid="{00000000-0005-0000-0000-0000AD040000}"/>
    <cellStyle name="20% - Accent1 5 2 4" xfId="7940" xr:uid="{00000000-0005-0000-0000-0000AE040000}"/>
    <cellStyle name="20% - Accent1 5 3" xfId="1205" xr:uid="{00000000-0005-0000-0000-0000AF040000}"/>
    <cellStyle name="20% - Accent1 5 3 2" xfId="3776" xr:uid="{00000000-0005-0000-0000-0000B0040000}"/>
    <cellStyle name="20% - Accent1 5 3 3" xfId="5893" xr:uid="{00000000-0005-0000-0000-0000B1040000}"/>
    <cellStyle name="20% - Accent1 5 3 4" xfId="7941" xr:uid="{00000000-0005-0000-0000-0000B2040000}"/>
    <cellStyle name="20% - Accent1 5 4" xfId="1206" xr:uid="{00000000-0005-0000-0000-0000B3040000}"/>
    <cellStyle name="20% - Accent1 5 4 2" xfId="3777" xr:uid="{00000000-0005-0000-0000-0000B4040000}"/>
    <cellStyle name="20% - Accent1 5 4 3" xfId="5894" xr:uid="{00000000-0005-0000-0000-0000B5040000}"/>
    <cellStyle name="20% - Accent1 5 4 4" xfId="7942" xr:uid="{00000000-0005-0000-0000-0000B6040000}"/>
    <cellStyle name="20% - Accent1 5 5" xfId="1207" xr:uid="{00000000-0005-0000-0000-0000B7040000}"/>
    <cellStyle name="20% - Accent1 5 5 2" xfId="3778" xr:uid="{00000000-0005-0000-0000-0000B8040000}"/>
    <cellStyle name="20% - Accent1 5 5 3" xfId="5895" xr:uid="{00000000-0005-0000-0000-0000B9040000}"/>
    <cellStyle name="20% - Accent1 5 5 4" xfId="7943" xr:uid="{00000000-0005-0000-0000-0000BA040000}"/>
    <cellStyle name="20% - Accent1 5 6" xfId="1208" xr:uid="{00000000-0005-0000-0000-0000BB040000}"/>
    <cellStyle name="20% - Accent1 5 6 2" xfId="3779" xr:uid="{00000000-0005-0000-0000-0000BC040000}"/>
    <cellStyle name="20% - Accent1 5 6 3" xfId="5896" xr:uid="{00000000-0005-0000-0000-0000BD040000}"/>
    <cellStyle name="20% - Accent1 5 6 4" xfId="7944" xr:uid="{00000000-0005-0000-0000-0000BE040000}"/>
    <cellStyle name="20% - Accent1 5 7" xfId="1209" xr:uid="{00000000-0005-0000-0000-0000BF040000}"/>
    <cellStyle name="20% - Accent1 5 7 2" xfId="3780" xr:uid="{00000000-0005-0000-0000-0000C0040000}"/>
    <cellStyle name="20% - Accent1 5 7 3" xfId="5897" xr:uid="{00000000-0005-0000-0000-0000C1040000}"/>
    <cellStyle name="20% - Accent1 5 7 4" xfId="7945" xr:uid="{00000000-0005-0000-0000-0000C2040000}"/>
    <cellStyle name="20% - Accent1 50" xfId="1210" xr:uid="{00000000-0005-0000-0000-0000C3040000}"/>
    <cellStyle name="20% - Accent1 50 2" xfId="3781" xr:uid="{00000000-0005-0000-0000-0000C4040000}"/>
    <cellStyle name="20% - Accent1 50 3" xfId="5898" xr:uid="{00000000-0005-0000-0000-0000C5040000}"/>
    <cellStyle name="20% - Accent1 50 4" xfId="7946" xr:uid="{00000000-0005-0000-0000-0000C6040000}"/>
    <cellStyle name="20% - Accent1 6" xfId="1211" xr:uid="{00000000-0005-0000-0000-0000C7040000}"/>
    <cellStyle name="20% - Accent1 6 2" xfId="1212" xr:uid="{00000000-0005-0000-0000-0000C8040000}"/>
    <cellStyle name="20% - Accent1 6 2 2" xfId="3782" xr:uid="{00000000-0005-0000-0000-0000C9040000}"/>
    <cellStyle name="20% - Accent1 6 2 3" xfId="5899" xr:uid="{00000000-0005-0000-0000-0000CA040000}"/>
    <cellStyle name="20% - Accent1 6 2 4" xfId="7947" xr:uid="{00000000-0005-0000-0000-0000CB040000}"/>
    <cellStyle name="20% - Accent1 6 3" xfId="1213" xr:uid="{00000000-0005-0000-0000-0000CC040000}"/>
    <cellStyle name="20% - Accent1 6 3 2" xfId="3783" xr:uid="{00000000-0005-0000-0000-0000CD040000}"/>
    <cellStyle name="20% - Accent1 6 3 3" xfId="5900" xr:uid="{00000000-0005-0000-0000-0000CE040000}"/>
    <cellStyle name="20% - Accent1 6 3 4" xfId="7948" xr:uid="{00000000-0005-0000-0000-0000CF040000}"/>
    <cellStyle name="20% - Accent1 6 4" xfId="1214" xr:uid="{00000000-0005-0000-0000-0000D0040000}"/>
    <cellStyle name="20% - Accent1 6 4 2" xfId="3784" xr:uid="{00000000-0005-0000-0000-0000D1040000}"/>
    <cellStyle name="20% - Accent1 6 4 3" xfId="5901" xr:uid="{00000000-0005-0000-0000-0000D2040000}"/>
    <cellStyle name="20% - Accent1 6 4 4" xfId="7949" xr:uid="{00000000-0005-0000-0000-0000D3040000}"/>
    <cellStyle name="20% - Accent1 6 5" xfId="1215" xr:uid="{00000000-0005-0000-0000-0000D4040000}"/>
    <cellStyle name="20% - Accent1 6 5 2" xfId="3785" xr:uid="{00000000-0005-0000-0000-0000D5040000}"/>
    <cellStyle name="20% - Accent1 6 5 3" xfId="5902" xr:uid="{00000000-0005-0000-0000-0000D6040000}"/>
    <cellStyle name="20% - Accent1 6 5 4" xfId="7950" xr:uid="{00000000-0005-0000-0000-0000D7040000}"/>
    <cellStyle name="20% - Accent1 6 6" xfId="1216" xr:uid="{00000000-0005-0000-0000-0000D8040000}"/>
    <cellStyle name="20% - Accent1 6 6 2" xfId="3786" xr:uid="{00000000-0005-0000-0000-0000D9040000}"/>
    <cellStyle name="20% - Accent1 6 6 3" xfId="5903" xr:uid="{00000000-0005-0000-0000-0000DA040000}"/>
    <cellStyle name="20% - Accent1 6 6 4" xfId="7951" xr:uid="{00000000-0005-0000-0000-0000DB040000}"/>
    <cellStyle name="20% - Accent1 6 7" xfId="1217" xr:uid="{00000000-0005-0000-0000-0000DC040000}"/>
    <cellStyle name="20% - Accent1 6 7 2" xfId="3787" xr:uid="{00000000-0005-0000-0000-0000DD040000}"/>
    <cellStyle name="20% - Accent1 6 7 3" xfId="5904" xr:uid="{00000000-0005-0000-0000-0000DE040000}"/>
    <cellStyle name="20% - Accent1 6 7 4" xfId="7952" xr:uid="{00000000-0005-0000-0000-0000DF040000}"/>
    <cellStyle name="20% - Accent1 7" xfId="1218" xr:uid="{00000000-0005-0000-0000-0000E0040000}"/>
    <cellStyle name="20% - Accent1 7 10" xfId="7953" xr:uid="{00000000-0005-0000-0000-0000E1040000}"/>
    <cellStyle name="20% - Accent1 7 2" xfId="1219" xr:uid="{00000000-0005-0000-0000-0000E2040000}"/>
    <cellStyle name="20% - Accent1 7 2 2" xfId="3789" xr:uid="{00000000-0005-0000-0000-0000E3040000}"/>
    <cellStyle name="20% - Accent1 7 2 3" xfId="5906" xr:uid="{00000000-0005-0000-0000-0000E4040000}"/>
    <cellStyle name="20% - Accent1 7 2 4" xfId="7954" xr:uid="{00000000-0005-0000-0000-0000E5040000}"/>
    <cellStyle name="20% - Accent1 7 3" xfId="1220" xr:uid="{00000000-0005-0000-0000-0000E6040000}"/>
    <cellStyle name="20% - Accent1 7 3 2" xfId="3790" xr:uid="{00000000-0005-0000-0000-0000E7040000}"/>
    <cellStyle name="20% - Accent1 7 3 3" xfId="5907" xr:uid="{00000000-0005-0000-0000-0000E8040000}"/>
    <cellStyle name="20% - Accent1 7 3 4" xfId="7955" xr:uid="{00000000-0005-0000-0000-0000E9040000}"/>
    <cellStyle name="20% - Accent1 7 4" xfId="1221" xr:uid="{00000000-0005-0000-0000-0000EA040000}"/>
    <cellStyle name="20% - Accent1 7 4 2" xfId="3791" xr:uid="{00000000-0005-0000-0000-0000EB040000}"/>
    <cellStyle name="20% - Accent1 7 4 3" xfId="5908" xr:uid="{00000000-0005-0000-0000-0000EC040000}"/>
    <cellStyle name="20% - Accent1 7 4 4" xfId="7956" xr:uid="{00000000-0005-0000-0000-0000ED040000}"/>
    <cellStyle name="20% - Accent1 7 5" xfId="1222" xr:uid="{00000000-0005-0000-0000-0000EE040000}"/>
    <cellStyle name="20% - Accent1 7 5 2" xfId="3792" xr:uid="{00000000-0005-0000-0000-0000EF040000}"/>
    <cellStyle name="20% - Accent1 7 5 3" xfId="5909" xr:uid="{00000000-0005-0000-0000-0000F0040000}"/>
    <cellStyle name="20% - Accent1 7 5 4" xfId="7957" xr:uid="{00000000-0005-0000-0000-0000F1040000}"/>
    <cellStyle name="20% - Accent1 7 6" xfId="1223" xr:uid="{00000000-0005-0000-0000-0000F2040000}"/>
    <cellStyle name="20% - Accent1 7 6 2" xfId="3793" xr:uid="{00000000-0005-0000-0000-0000F3040000}"/>
    <cellStyle name="20% - Accent1 7 6 3" xfId="5910" xr:uid="{00000000-0005-0000-0000-0000F4040000}"/>
    <cellStyle name="20% - Accent1 7 6 4" xfId="7958" xr:uid="{00000000-0005-0000-0000-0000F5040000}"/>
    <cellStyle name="20% - Accent1 7 7" xfId="1224" xr:uid="{00000000-0005-0000-0000-0000F6040000}"/>
    <cellStyle name="20% - Accent1 7 7 2" xfId="3794" xr:uid="{00000000-0005-0000-0000-0000F7040000}"/>
    <cellStyle name="20% - Accent1 7 7 3" xfId="5911" xr:uid="{00000000-0005-0000-0000-0000F8040000}"/>
    <cellStyle name="20% - Accent1 7 7 4" xfId="7959" xr:uid="{00000000-0005-0000-0000-0000F9040000}"/>
    <cellStyle name="20% - Accent1 7 8" xfId="3788" xr:uid="{00000000-0005-0000-0000-0000FA040000}"/>
    <cellStyle name="20% - Accent1 7 9" xfId="5905" xr:uid="{00000000-0005-0000-0000-0000FB040000}"/>
    <cellStyle name="20% - Accent1 8" xfId="1225" xr:uid="{00000000-0005-0000-0000-0000FC040000}"/>
    <cellStyle name="20% - Accent1 8 10" xfId="7960" xr:uid="{00000000-0005-0000-0000-0000FD040000}"/>
    <cellStyle name="20% - Accent1 8 2" xfId="1226" xr:uid="{00000000-0005-0000-0000-0000FE040000}"/>
    <cellStyle name="20% - Accent1 8 2 2" xfId="3796" xr:uid="{00000000-0005-0000-0000-0000FF040000}"/>
    <cellStyle name="20% - Accent1 8 2 3" xfId="5913" xr:uid="{00000000-0005-0000-0000-000000050000}"/>
    <cellStyle name="20% - Accent1 8 2 4" xfId="7961" xr:uid="{00000000-0005-0000-0000-000001050000}"/>
    <cellStyle name="20% - Accent1 8 3" xfId="1227" xr:uid="{00000000-0005-0000-0000-000002050000}"/>
    <cellStyle name="20% - Accent1 8 3 2" xfId="3797" xr:uid="{00000000-0005-0000-0000-000003050000}"/>
    <cellStyle name="20% - Accent1 8 3 3" xfId="5914" xr:uid="{00000000-0005-0000-0000-000004050000}"/>
    <cellStyle name="20% - Accent1 8 3 4" xfId="7962" xr:uid="{00000000-0005-0000-0000-000005050000}"/>
    <cellStyle name="20% - Accent1 8 4" xfId="1228" xr:uid="{00000000-0005-0000-0000-000006050000}"/>
    <cellStyle name="20% - Accent1 8 4 2" xfId="3798" xr:uid="{00000000-0005-0000-0000-000007050000}"/>
    <cellStyle name="20% - Accent1 8 4 3" xfId="5915" xr:uid="{00000000-0005-0000-0000-000008050000}"/>
    <cellStyle name="20% - Accent1 8 4 4" xfId="7963" xr:uid="{00000000-0005-0000-0000-000009050000}"/>
    <cellStyle name="20% - Accent1 8 5" xfId="1229" xr:uid="{00000000-0005-0000-0000-00000A050000}"/>
    <cellStyle name="20% - Accent1 8 5 2" xfId="3799" xr:uid="{00000000-0005-0000-0000-00000B050000}"/>
    <cellStyle name="20% - Accent1 8 5 3" xfId="5916" xr:uid="{00000000-0005-0000-0000-00000C050000}"/>
    <cellStyle name="20% - Accent1 8 5 4" xfId="7964" xr:uid="{00000000-0005-0000-0000-00000D050000}"/>
    <cellStyle name="20% - Accent1 8 6" xfId="1230" xr:uid="{00000000-0005-0000-0000-00000E050000}"/>
    <cellStyle name="20% - Accent1 8 6 2" xfId="3800" xr:uid="{00000000-0005-0000-0000-00000F050000}"/>
    <cellStyle name="20% - Accent1 8 6 3" xfId="5917" xr:uid="{00000000-0005-0000-0000-000010050000}"/>
    <cellStyle name="20% - Accent1 8 6 4" xfId="7965" xr:uid="{00000000-0005-0000-0000-000011050000}"/>
    <cellStyle name="20% - Accent1 8 7" xfId="1231" xr:uid="{00000000-0005-0000-0000-000012050000}"/>
    <cellStyle name="20% - Accent1 8 7 2" xfId="3801" xr:uid="{00000000-0005-0000-0000-000013050000}"/>
    <cellStyle name="20% - Accent1 8 7 3" xfId="5918" xr:uid="{00000000-0005-0000-0000-000014050000}"/>
    <cellStyle name="20% - Accent1 8 7 4" xfId="7966" xr:uid="{00000000-0005-0000-0000-000015050000}"/>
    <cellStyle name="20% - Accent1 8 8" xfId="3795" xr:uid="{00000000-0005-0000-0000-000016050000}"/>
    <cellStyle name="20% - Accent1 8 9" xfId="5912" xr:uid="{00000000-0005-0000-0000-000017050000}"/>
    <cellStyle name="20% - Accent1 9" xfId="1232" xr:uid="{00000000-0005-0000-0000-000018050000}"/>
    <cellStyle name="20% - Accent1 9 10" xfId="7967" xr:uid="{00000000-0005-0000-0000-000019050000}"/>
    <cellStyle name="20% - Accent1 9 2" xfId="1233" xr:uid="{00000000-0005-0000-0000-00001A050000}"/>
    <cellStyle name="20% - Accent1 9 2 2" xfId="3803" xr:uid="{00000000-0005-0000-0000-00001B050000}"/>
    <cellStyle name="20% - Accent1 9 2 3" xfId="5920" xr:uid="{00000000-0005-0000-0000-00001C050000}"/>
    <cellStyle name="20% - Accent1 9 2 4" xfId="7968" xr:uid="{00000000-0005-0000-0000-00001D050000}"/>
    <cellStyle name="20% - Accent1 9 3" xfId="1234" xr:uid="{00000000-0005-0000-0000-00001E050000}"/>
    <cellStyle name="20% - Accent1 9 3 2" xfId="3804" xr:uid="{00000000-0005-0000-0000-00001F050000}"/>
    <cellStyle name="20% - Accent1 9 3 3" xfId="5921" xr:uid="{00000000-0005-0000-0000-000020050000}"/>
    <cellStyle name="20% - Accent1 9 3 4" xfId="7969" xr:uid="{00000000-0005-0000-0000-000021050000}"/>
    <cellStyle name="20% - Accent1 9 4" xfId="1235" xr:uid="{00000000-0005-0000-0000-000022050000}"/>
    <cellStyle name="20% - Accent1 9 4 2" xfId="3805" xr:uid="{00000000-0005-0000-0000-000023050000}"/>
    <cellStyle name="20% - Accent1 9 4 3" xfId="5922" xr:uid="{00000000-0005-0000-0000-000024050000}"/>
    <cellStyle name="20% - Accent1 9 4 4" xfId="7970" xr:uid="{00000000-0005-0000-0000-000025050000}"/>
    <cellStyle name="20% - Accent1 9 5" xfId="1236" xr:uid="{00000000-0005-0000-0000-000026050000}"/>
    <cellStyle name="20% - Accent1 9 5 2" xfId="3806" xr:uid="{00000000-0005-0000-0000-000027050000}"/>
    <cellStyle name="20% - Accent1 9 5 3" xfId="5923" xr:uid="{00000000-0005-0000-0000-000028050000}"/>
    <cellStyle name="20% - Accent1 9 5 4" xfId="7971" xr:uid="{00000000-0005-0000-0000-000029050000}"/>
    <cellStyle name="20% - Accent1 9 6" xfId="1237" xr:uid="{00000000-0005-0000-0000-00002A050000}"/>
    <cellStyle name="20% - Accent1 9 6 2" xfId="3807" xr:uid="{00000000-0005-0000-0000-00002B050000}"/>
    <cellStyle name="20% - Accent1 9 6 3" xfId="5924" xr:uid="{00000000-0005-0000-0000-00002C050000}"/>
    <cellStyle name="20% - Accent1 9 6 4" xfId="7972" xr:uid="{00000000-0005-0000-0000-00002D050000}"/>
    <cellStyle name="20% - Accent1 9 7" xfId="1238" xr:uid="{00000000-0005-0000-0000-00002E050000}"/>
    <cellStyle name="20% - Accent1 9 7 2" xfId="3808" xr:uid="{00000000-0005-0000-0000-00002F050000}"/>
    <cellStyle name="20% - Accent1 9 7 3" xfId="5925" xr:uid="{00000000-0005-0000-0000-000030050000}"/>
    <cellStyle name="20% - Accent1 9 7 4" xfId="7973" xr:uid="{00000000-0005-0000-0000-000031050000}"/>
    <cellStyle name="20% - Accent1 9 8" xfId="3802" xr:uid="{00000000-0005-0000-0000-000032050000}"/>
    <cellStyle name="20% - Accent1 9 9" xfId="5919" xr:uid="{00000000-0005-0000-0000-000033050000}"/>
    <cellStyle name="20% - Accent2 10" xfId="1239" xr:uid="{00000000-0005-0000-0000-000034050000}"/>
    <cellStyle name="20% - Accent2 10 10" xfId="7974" xr:uid="{00000000-0005-0000-0000-000035050000}"/>
    <cellStyle name="20% - Accent2 10 2" xfId="1240" xr:uid="{00000000-0005-0000-0000-000036050000}"/>
    <cellStyle name="20% - Accent2 10 2 2" xfId="3810" xr:uid="{00000000-0005-0000-0000-000037050000}"/>
    <cellStyle name="20% - Accent2 10 2 3" xfId="5927" xr:uid="{00000000-0005-0000-0000-000038050000}"/>
    <cellStyle name="20% - Accent2 10 2 4" xfId="7975" xr:uid="{00000000-0005-0000-0000-000039050000}"/>
    <cellStyle name="20% - Accent2 10 3" xfId="1241" xr:uid="{00000000-0005-0000-0000-00003A050000}"/>
    <cellStyle name="20% - Accent2 10 3 2" xfId="3811" xr:uid="{00000000-0005-0000-0000-00003B050000}"/>
    <cellStyle name="20% - Accent2 10 3 3" xfId="5928" xr:uid="{00000000-0005-0000-0000-00003C050000}"/>
    <cellStyle name="20% - Accent2 10 3 4" xfId="7976" xr:uid="{00000000-0005-0000-0000-00003D050000}"/>
    <cellStyle name="20% - Accent2 10 4" xfId="1242" xr:uid="{00000000-0005-0000-0000-00003E050000}"/>
    <cellStyle name="20% - Accent2 10 4 2" xfId="3812" xr:uid="{00000000-0005-0000-0000-00003F050000}"/>
    <cellStyle name="20% - Accent2 10 4 3" xfId="5929" xr:uid="{00000000-0005-0000-0000-000040050000}"/>
    <cellStyle name="20% - Accent2 10 4 4" xfId="7977" xr:uid="{00000000-0005-0000-0000-000041050000}"/>
    <cellStyle name="20% - Accent2 10 5" xfId="1243" xr:uid="{00000000-0005-0000-0000-000042050000}"/>
    <cellStyle name="20% - Accent2 10 5 2" xfId="3813" xr:uid="{00000000-0005-0000-0000-000043050000}"/>
    <cellStyle name="20% - Accent2 10 5 3" xfId="5930" xr:uid="{00000000-0005-0000-0000-000044050000}"/>
    <cellStyle name="20% - Accent2 10 5 4" xfId="7978" xr:uid="{00000000-0005-0000-0000-000045050000}"/>
    <cellStyle name="20% - Accent2 10 6" xfId="1244" xr:uid="{00000000-0005-0000-0000-000046050000}"/>
    <cellStyle name="20% - Accent2 10 6 2" xfId="3814" xr:uid="{00000000-0005-0000-0000-000047050000}"/>
    <cellStyle name="20% - Accent2 10 6 3" xfId="5931" xr:uid="{00000000-0005-0000-0000-000048050000}"/>
    <cellStyle name="20% - Accent2 10 6 4" xfId="7979" xr:uid="{00000000-0005-0000-0000-000049050000}"/>
    <cellStyle name="20% - Accent2 10 7" xfId="1245" xr:uid="{00000000-0005-0000-0000-00004A050000}"/>
    <cellStyle name="20% - Accent2 10 7 2" xfId="3815" xr:uid="{00000000-0005-0000-0000-00004B050000}"/>
    <cellStyle name="20% - Accent2 10 7 3" xfId="5932" xr:uid="{00000000-0005-0000-0000-00004C050000}"/>
    <cellStyle name="20% - Accent2 10 7 4" xfId="7980" xr:uid="{00000000-0005-0000-0000-00004D050000}"/>
    <cellStyle name="20% - Accent2 10 8" xfId="3809" xr:uid="{00000000-0005-0000-0000-00004E050000}"/>
    <cellStyle name="20% - Accent2 10 9" xfId="5926" xr:uid="{00000000-0005-0000-0000-00004F050000}"/>
    <cellStyle name="20% - Accent2 11" xfId="1246" xr:uid="{00000000-0005-0000-0000-000050050000}"/>
    <cellStyle name="20% - Accent2 11 2" xfId="1247" xr:uid="{00000000-0005-0000-0000-000051050000}"/>
    <cellStyle name="20% - Accent2 11 2 2" xfId="3817" xr:uid="{00000000-0005-0000-0000-000052050000}"/>
    <cellStyle name="20% - Accent2 11 2 3" xfId="5934" xr:uid="{00000000-0005-0000-0000-000053050000}"/>
    <cellStyle name="20% - Accent2 11 2 4" xfId="7982" xr:uid="{00000000-0005-0000-0000-000054050000}"/>
    <cellStyle name="20% - Accent2 11 3" xfId="1248" xr:uid="{00000000-0005-0000-0000-000055050000}"/>
    <cellStyle name="20% - Accent2 11 3 2" xfId="3818" xr:uid="{00000000-0005-0000-0000-000056050000}"/>
    <cellStyle name="20% - Accent2 11 3 3" xfId="5935" xr:uid="{00000000-0005-0000-0000-000057050000}"/>
    <cellStyle name="20% - Accent2 11 3 4" xfId="7983" xr:uid="{00000000-0005-0000-0000-000058050000}"/>
    <cellStyle name="20% - Accent2 11 4" xfId="1249" xr:uid="{00000000-0005-0000-0000-000059050000}"/>
    <cellStyle name="20% - Accent2 11 4 2" xfId="3819" xr:uid="{00000000-0005-0000-0000-00005A050000}"/>
    <cellStyle name="20% - Accent2 11 4 3" xfId="5936" xr:uid="{00000000-0005-0000-0000-00005B050000}"/>
    <cellStyle name="20% - Accent2 11 4 4" xfId="7984" xr:uid="{00000000-0005-0000-0000-00005C050000}"/>
    <cellStyle name="20% - Accent2 11 5" xfId="1250" xr:uid="{00000000-0005-0000-0000-00005D050000}"/>
    <cellStyle name="20% - Accent2 11 5 2" xfId="3820" xr:uid="{00000000-0005-0000-0000-00005E050000}"/>
    <cellStyle name="20% - Accent2 11 5 3" xfId="5937" xr:uid="{00000000-0005-0000-0000-00005F050000}"/>
    <cellStyle name="20% - Accent2 11 5 4" xfId="7985" xr:uid="{00000000-0005-0000-0000-000060050000}"/>
    <cellStyle name="20% - Accent2 11 6" xfId="1251" xr:uid="{00000000-0005-0000-0000-000061050000}"/>
    <cellStyle name="20% - Accent2 11 6 2" xfId="3821" xr:uid="{00000000-0005-0000-0000-000062050000}"/>
    <cellStyle name="20% - Accent2 11 6 3" xfId="5938" xr:uid="{00000000-0005-0000-0000-000063050000}"/>
    <cellStyle name="20% - Accent2 11 6 4" xfId="7986" xr:uid="{00000000-0005-0000-0000-000064050000}"/>
    <cellStyle name="20% - Accent2 11 7" xfId="3816" xr:uid="{00000000-0005-0000-0000-000065050000}"/>
    <cellStyle name="20% - Accent2 11 8" xfId="5933" xr:uid="{00000000-0005-0000-0000-000066050000}"/>
    <cellStyle name="20% - Accent2 11 9" xfId="7981" xr:uid="{00000000-0005-0000-0000-000067050000}"/>
    <cellStyle name="20% - Accent2 12" xfId="1252" xr:uid="{00000000-0005-0000-0000-000068050000}"/>
    <cellStyle name="20% - Accent2 12 2" xfId="1253" xr:uid="{00000000-0005-0000-0000-000069050000}"/>
    <cellStyle name="20% - Accent2 12 2 2" xfId="3823" xr:uid="{00000000-0005-0000-0000-00006A050000}"/>
    <cellStyle name="20% - Accent2 12 2 3" xfId="5940" xr:uid="{00000000-0005-0000-0000-00006B050000}"/>
    <cellStyle name="20% - Accent2 12 2 4" xfId="7988" xr:uid="{00000000-0005-0000-0000-00006C050000}"/>
    <cellStyle name="20% - Accent2 12 3" xfId="1254" xr:uid="{00000000-0005-0000-0000-00006D050000}"/>
    <cellStyle name="20% - Accent2 12 3 2" xfId="3824" xr:uid="{00000000-0005-0000-0000-00006E050000}"/>
    <cellStyle name="20% - Accent2 12 3 3" xfId="5941" xr:uid="{00000000-0005-0000-0000-00006F050000}"/>
    <cellStyle name="20% - Accent2 12 3 4" xfId="7989" xr:uid="{00000000-0005-0000-0000-000070050000}"/>
    <cellStyle name="20% - Accent2 12 4" xfId="1255" xr:uid="{00000000-0005-0000-0000-000071050000}"/>
    <cellStyle name="20% - Accent2 12 4 2" xfId="3825" xr:uid="{00000000-0005-0000-0000-000072050000}"/>
    <cellStyle name="20% - Accent2 12 4 3" xfId="5942" xr:uid="{00000000-0005-0000-0000-000073050000}"/>
    <cellStyle name="20% - Accent2 12 4 4" xfId="7990" xr:uid="{00000000-0005-0000-0000-000074050000}"/>
    <cellStyle name="20% - Accent2 12 5" xfId="1256" xr:uid="{00000000-0005-0000-0000-000075050000}"/>
    <cellStyle name="20% - Accent2 12 5 2" xfId="3826" xr:uid="{00000000-0005-0000-0000-000076050000}"/>
    <cellStyle name="20% - Accent2 12 5 3" xfId="5943" xr:uid="{00000000-0005-0000-0000-000077050000}"/>
    <cellStyle name="20% - Accent2 12 5 4" xfId="7991" xr:uid="{00000000-0005-0000-0000-000078050000}"/>
    <cellStyle name="20% - Accent2 12 6" xfId="3822" xr:uid="{00000000-0005-0000-0000-000079050000}"/>
    <cellStyle name="20% - Accent2 12 7" xfId="5939" xr:uid="{00000000-0005-0000-0000-00007A050000}"/>
    <cellStyle name="20% - Accent2 12 8" xfId="7987" xr:uid="{00000000-0005-0000-0000-00007B050000}"/>
    <cellStyle name="20% - Accent2 13" xfId="1257" xr:uid="{00000000-0005-0000-0000-00007C050000}"/>
    <cellStyle name="20% - Accent2 13 2" xfId="1258" xr:uid="{00000000-0005-0000-0000-00007D050000}"/>
    <cellStyle name="20% - Accent2 13 2 2" xfId="3828" xr:uid="{00000000-0005-0000-0000-00007E050000}"/>
    <cellStyle name="20% - Accent2 13 2 3" xfId="5945" xr:uid="{00000000-0005-0000-0000-00007F050000}"/>
    <cellStyle name="20% - Accent2 13 2 4" xfId="7993" xr:uid="{00000000-0005-0000-0000-000080050000}"/>
    <cellStyle name="20% - Accent2 13 3" xfId="1259" xr:uid="{00000000-0005-0000-0000-000081050000}"/>
    <cellStyle name="20% - Accent2 13 3 2" xfId="3829" xr:uid="{00000000-0005-0000-0000-000082050000}"/>
    <cellStyle name="20% - Accent2 13 3 3" xfId="5946" xr:uid="{00000000-0005-0000-0000-000083050000}"/>
    <cellStyle name="20% - Accent2 13 3 4" xfId="7994" xr:uid="{00000000-0005-0000-0000-000084050000}"/>
    <cellStyle name="20% - Accent2 13 4" xfId="1260" xr:uid="{00000000-0005-0000-0000-000085050000}"/>
    <cellStyle name="20% - Accent2 13 4 2" xfId="3830" xr:uid="{00000000-0005-0000-0000-000086050000}"/>
    <cellStyle name="20% - Accent2 13 4 3" xfId="5947" xr:uid="{00000000-0005-0000-0000-000087050000}"/>
    <cellStyle name="20% - Accent2 13 4 4" xfId="7995" xr:uid="{00000000-0005-0000-0000-000088050000}"/>
    <cellStyle name="20% - Accent2 13 5" xfId="1261" xr:uid="{00000000-0005-0000-0000-000089050000}"/>
    <cellStyle name="20% - Accent2 13 5 2" xfId="3831" xr:uid="{00000000-0005-0000-0000-00008A050000}"/>
    <cellStyle name="20% - Accent2 13 5 3" xfId="5948" xr:uid="{00000000-0005-0000-0000-00008B050000}"/>
    <cellStyle name="20% - Accent2 13 5 4" xfId="7996" xr:uid="{00000000-0005-0000-0000-00008C050000}"/>
    <cellStyle name="20% - Accent2 13 6" xfId="3827" xr:uid="{00000000-0005-0000-0000-00008D050000}"/>
    <cellStyle name="20% - Accent2 13 7" xfId="5944" xr:uid="{00000000-0005-0000-0000-00008E050000}"/>
    <cellStyle name="20% - Accent2 13 8" xfId="7992" xr:uid="{00000000-0005-0000-0000-00008F050000}"/>
    <cellStyle name="20% - Accent2 14" xfId="1262" xr:uid="{00000000-0005-0000-0000-000090050000}"/>
    <cellStyle name="20% - Accent2 14 2" xfId="1263" xr:uid="{00000000-0005-0000-0000-000091050000}"/>
    <cellStyle name="20% - Accent2 14 2 2" xfId="3833" xr:uid="{00000000-0005-0000-0000-000092050000}"/>
    <cellStyle name="20% - Accent2 14 2 3" xfId="5950" xr:uid="{00000000-0005-0000-0000-000093050000}"/>
    <cellStyle name="20% - Accent2 14 2 4" xfId="7998" xr:uid="{00000000-0005-0000-0000-000094050000}"/>
    <cellStyle name="20% - Accent2 14 3" xfId="1264" xr:uid="{00000000-0005-0000-0000-000095050000}"/>
    <cellStyle name="20% - Accent2 14 3 2" xfId="3834" xr:uid="{00000000-0005-0000-0000-000096050000}"/>
    <cellStyle name="20% - Accent2 14 3 3" xfId="5951" xr:uid="{00000000-0005-0000-0000-000097050000}"/>
    <cellStyle name="20% - Accent2 14 3 4" xfId="7999" xr:uid="{00000000-0005-0000-0000-000098050000}"/>
    <cellStyle name="20% - Accent2 14 4" xfId="1265" xr:uid="{00000000-0005-0000-0000-000099050000}"/>
    <cellStyle name="20% - Accent2 14 4 2" xfId="3835" xr:uid="{00000000-0005-0000-0000-00009A050000}"/>
    <cellStyle name="20% - Accent2 14 4 3" xfId="5952" xr:uid="{00000000-0005-0000-0000-00009B050000}"/>
    <cellStyle name="20% - Accent2 14 4 4" xfId="8000" xr:uid="{00000000-0005-0000-0000-00009C050000}"/>
    <cellStyle name="20% - Accent2 14 5" xfId="3832" xr:uid="{00000000-0005-0000-0000-00009D050000}"/>
    <cellStyle name="20% - Accent2 14 6" xfId="5949" xr:uid="{00000000-0005-0000-0000-00009E050000}"/>
    <cellStyle name="20% - Accent2 14 7" xfId="7997" xr:uid="{00000000-0005-0000-0000-00009F050000}"/>
    <cellStyle name="20% - Accent2 15" xfId="1266" xr:uid="{00000000-0005-0000-0000-0000A0050000}"/>
    <cellStyle name="20% - Accent2 15 2" xfId="1267" xr:uid="{00000000-0005-0000-0000-0000A1050000}"/>
    <cellStyle name="20% - Accent2 15 2 2" xfId="3837" xr:uid="{00000000-0005-0000-0000-0000A2050000}"/>
    <cellStyle name="20% - Accent2 15 2 3" xfId="5954" xr:uid="{00000000-0005-0000-0000-0000A3050000}"/>
    <cellStyle name="20% - Accent2 15 2 4" xfId="8002" xr:uid="{00000000-0005-0000-0000-0000A4050000}"/>
    <cellStyle name="20% - Accent2 15 3" xfId="1268" xr:uid="{00000000-0005-0000-0000-0000A5050000}"/>
    <cellStyle name="20% - Accent2 15 3 2" xfId="3838" xr:uid="{00000000-0005-0000-0000-0000A6050000}"/>
    <cellStyle name="20% - Accent2 15 3 3" xfId="5955" xr:uid="{00000000-0005-0000-0000-0000A7050000}"/>
    <cellStyle name="20% - Accent2 15 3 4" xfId="8003" xr:uid="{00000000-0005-0000-0000-0000A8050000}"/>
    <cellStyle name="20% - Accent2 15 4" xfId="1269" xr:uid="{00000000-0005-0000-0000-0000A9050000}"/>
    <cellStyle name="20% - Accent2 15 4 2" xfId="3839" xr:uid="{00000000-0005-0000-0000-0000AA050000}"/>
    <cellStyle name="20% - Accent2 15 4 3" xfId="5956" xr:uid="{00000000-0005-0000-0000-0000AB050000}"/>
    <cellStyle name="20% - Accent2 15 4 4" xfId="8004" xr:uid="{00000000-0005-0000-0000-0000AC050000}"/>
    <cellStyle name="20% - Accent2 15 5" xfId="3836" xr:uid="{00000000-0005-0000-0000-0000AD050000}"/>
    <cellStyle name="20% - Accent2 15 6" xfId="5953" xr:uid="{00000000-0005-0000-0000-0000AE050000}"/>
    <cellStyle name="20% - Accent2 15 7" xfId="8001" xr:uid="{00000000-0005-0000-0000-0000AF050000}"/>
    <cellStyle name="20% - Accent2 16" xfId="1270" xr:uid="{00000000-0005-0000-0000-0000B0050000}"/>
    <cellStyle name="20% - Accent2 16 2" xfId="1271" xr:uid="{00000000-0005-0000-0000-0000B1050000}"/>
    <cellStyle name="20% - Accent2 16 2 2" xfId="3841" xr:uid="{00000000-0005-0000-0000-0000B2050000}"/>
    <cellStyle name="20% - Accent2 16 2 3" xfId="5958" xr:uid="{00000000-0005-0000-0000-0000B3050000}"/>
    <cellStyle name="20% - Accent2 16 2 4" xfId="8006" xr:uid="{00000000-0005-0000-0000-0000B4050000}"/>
    <cellStyle name="20% - Accent2 16 3" xfId="1272" xr:uid="{00000000-0005-0000-0000-0000B5050000}"/>
    <cellStyle name="20% - Accent2 16 3 2" xfId="3842" xr:uid="{00000000-0005-0000-0000-0000B6050000}"/>
    <cellStyle name="20% - Accent2 16 3 3" xfId="5959" xr:uid="{00000000-0005-0000-0000-0000B7050000}"/>
    <cellStyle name="20% - Accent2 16 3 4" xfId="8007" xr:uid="{00000000-0005-0000-0000-0000B8050000}"/>
    <cellStyle name="20% - Accent2 16 4" xfId="3840" xr:uid="{00000000-0005-0000-0000-0000B9050000}"/>
    <cellStyle name="20% - Accent2 16 5" xfId="5957" xr:uid="{00000000-0005-0000-0000-0000BA050000}"/>
    <cellStyle name="20% - Accent2 16 6" xfId="8005" xr:uid="{00000000-0005-0000-0000-0000BB050000}"/>
    <cellStyle name="20% - Accent2 17" xfId="1273" xr:uid="{00000000-0005-0000-0000-0000BC050000}"/>
    <cellStyle name="20% - Accent2 17 2" xfId="1274" xr:uid="{00000000-0005-0000-0000-0000BD050000}"/>
    <cellStyle name="20% - Accent2 17 2 2" xfId="3844" xr:uid="{00000000-0005-0000-0000-0000BE050000}"/>
    <cellStyle name="20% - Accent2 17 2 3" xfId="5961" xr:uid="{00000000-0005-0000-0000-0000BF050000}"/>
    <cellStyle name="20% - Accent2 17 2 4" xfId="8009" xr:uid="{00000000-0005-0000-0000-0000C0050000}"/>
    <cellStyle name="20% - Accent2 17 3" xfId="1275" xr:uid="{00000000-0005-0000-0000-0000C1050000}"/>
    <cellStyle name="20% - Accent2 17 3 2" xfId="3845" xr:uid="{00000000-0005-0000-0000-0000C2050000}"/>
    <cellStyle name="20% - Accent2 17 3 3" xfId="5962" xr:uid="{00000000-0005-0000-0000-0000C3050000}"/>
    <cellStyle name="20% - Accent2 17 3 4" xfId="8010" xr:uid="{00000000-0005-0000-0000-0000C4050000}"/>
    <cellStyle name="20% - Accent2 17 4" xfId="3843" xr:uid="{00000000-0005-0000-0000-0000C5050000}"/>
    <cellStyle name="20% - Accent2 17 5" xfId="5960" xr:uid="{00000000-0005-0000-0000-0000C6050000}"/>
    <cellStyle name="20% - Accent2 17 6" xfId="8008" xr:uid="{00000000-0005-0000-0000-0000C7050000}"/>
    <cellStyle name="20% - Accent2 18" xfId="1276" xr:uid="{00000000-0005-0000-0000-0000C8050000}"/>
    <cellStyle name="20% - Accent2 18 2" xfId="1277" xr:uid="{00000000-0005-0000-0000-0000C9050000}"/>
    <cellStyle name="20% - Accent2 18 2 2" xfId="3847" xr:uid="{00000000-0005-0000-0000-0000CA050000}"/>
    <cellStyle name="20% - Accent2 18 2 3" xfId="5964" xr:uid="{00000000-0005-0000-0000-0000CB050000}"/>
    <cellStyle name="20% - Accent2 18 2 4" xfId="8012" xr:uid="{00000000-0005-0000-0000-0000CC050000}"/>
    <cellStyle name="20% - Accent2 18 3" xfId="1278" xr:uid="{00000000-0005-0000-0000-0000CD050000}"/>
    <cellStyle name="20% - Accent2 18 3 2" xfId="3848" xr:uid="{00000000-0005-0000-0000-0000CE050000}"/>
    <cellStyle name="20% - Accent2 18 3 3" xfId="5965" xr:uid="{00000000-0005-0000-0000-0000CF050000}"/>
    <cellStyle name="20% - Accent2 18 3 4" xfId="8013" xr:uid="{00000000-0005-0000-0000-0000D0050000}"/>
    <cellStyle name="20% - Accent2 18 4" xfId="3846" xr:uid="{00000000-0005-0000-0000-0000D1050000}"/>
    <cellStyle name="20% - Accent2 18 5" xfId="5963" xr:uid="{00000000-0005-0000-0000-0000D2050000}"/>
    <cellStyle name="20% - Accent2 18 6" xfId="8011" xr:uid="{00000000-0005-0000-0000-0000D3050000}"/>
    <cellStyle name="20% - Accent2 19" xfId="1279" xr:uid="{00000000-0005-0000-0000-0000D4050000}"/>
    <cellStyle name="20% - Accent2 19 2" xfId="1280" xr:uid="{00000000-0005-0000-0000-0000D5050000}"/>
    <cellStyle name="20% - Accent2 19 2 2" xfId="3850" xr:uid="{00000000-0005-0000-0000-0000D6050000}"/>
    <cellStyle name="20% - Accent2 19 2 3" xfId="5967" xr:uid="{00000000-0005-0000-0000-0000D7050000}"/>
    <cellStyle name="20% - Accent2 19 2 4" xfId="8015" xr:uid="{00000000-0005-0000-0000-0000D8050000}"/>
    <cellStyle name="20% - Accent2 19 3" xfId="1281" xr:uid="{00000000-0005-0000-0000-0000D9050000}"/>
    <cellStyle name="20% - Accent2 19 3 2" xfId="3851" xr:uid="{00000000-0005-0000-0000-0000DA050000}"/>
    <cellStyle name="20% - Accent2 19 3 3" xfId="5968" xr:uid="{00000000-0005-0000-0000-0000DB050000}"/>
    <cellStyle name="20% - Accent2 19 3 4" xfId="8016" xr:uid="{00000000-0005-0000-0000-0000DC050000}"/>
    <cellStyle name="20% - Accent2 19 4" xfId="3849" xr:uid="{00000000-0005-0000-0000-0000DD050000}"/>
    <cellStyle name="20% - Accent2 19 5" xfId="5966" xr:uid="{00000000-0005-0000-0000-0000DE050000}"/>
    <cellStyle name="20% - Accent2 19 6" xfId="8014" xr:uid="{00000000-0005-0000-0000-0000DF050000}"/>
    <cellStyle name="20% - Accent2 2" xfId="1282" xr:uid="{00000000-0005-0000-0000-0000E0050000}"/>
    <cellStyle name="20% - Accent2 2 2" xfId="1283" xr:uid="{00000000-0005-0000-0000-0000E1050000}"/>
    <cellStyle name="20% - Accent2 2 2 2" xfId="1284" xr:uid="{00000000-0005-0000-0000-0000E2050000}"/>
    <cellStyle name="20% - Accent2 2 2 2 2" xfId="3852" xr:uid="{00000000-0005-0000-0000-0000E3050000}"/>
    <cellStyle name="20% - Accent2 2 2 2 3" xfId="5969" xr:uid="{00000000-0005-0000-0000-0000E4050000}"/>
    <cellStyle name="20% - Accent2 2 2 2 4" xfId="8017" xr:uid="{00000000-0005-0000-0000-0000E5050000}"/>
    <cellStyle name="20% - Accent2 2 3" xfId="1285" xr:uid="{00000000-0005-0000-0000-0000E6050000}"/>
    <cellStyle name="20% - Accent2 2 3 2" xfId="3853" xr:uid="{00000000-0005-0000-0000-0000E7050000}"/>
    <cellStyle name="20% - Accent2 2 3 3" xfId="5970" xr:uid="{00000000-0005-0000-0000-0000E8050000}"/>
    <cellStyle name="20% - Accent2 2 3 4" xfId="8018" xr:uid="{00000000-0005-0000-0000-0000E9050000}"/>
    <cellStyle name="20% - Accent2 2 4" xfId="1286" xr:uid="{00000000-0005-0000-0000-0000EA050000}"/>
    <cellStyle name="20% - Accent2 2 4 2" xfId="3854" xr:uid="{00000000-0005-0000-0000-0000EB050000}"/>
    <cellStyle name="20% - Accent2 2 4 3" xfId="5971" xr:uid="{00000000-0005-0000-0000-0000EC050000}"/>
    <cellStyle name="20% - Accent2 2 4 4" xfId="8019" xr:uid="{00000000-0005-0000-0000-0000ED050000}"/>
    <cellStyle name="20% - Accent2 2 5" xfId="1287" xr:uid="{00000000-0005-0000-0000-0000EE050000}"/>
    <cellStyle name="20% - Accent2 2 5 2" xfId="3855" xr:uid="{00000000-0005-0000-0000-0000EF050000}"/>
    <cellStyle name="20% - Accent2 2 5 3" xfId="5972" xr:uid="{00000000-0005-0000-0000-0000F0050000}"/>
    <cellStyle name="20% - Accent2 2 5 4" xfId="8020" xr:uid="{00000000-0005-0000-0000-0000F1050000}"/>
    <cellStyle name="20% - Accent2 2 6" xfId="1288" xr:uid="{00000000-0005-0000-0000-0000F2050000}"/>
    <cellStyle name="20% - Accent2 2 6 2" xfId="3856" xr:uid="{00000000-0005-0000-0000-0000F3050000}"/>
    <cellStyle name="20% - Accent2 2 6 3" xfId="5973" xr:uid="{00000000-0005-0000-0000-0000F4050000}"/>
    <cellStyle name="20% - Accent2 2 6 4" xfId="8021" xr:uid="{00000000-0005-0000-0000-0000F5050000}"/>
    <cellStyle name="20% - Accent2 2 7" xfId="1289" xr:uid="{00000000-0005-0000-0000-0000F6050000}"/>
    <cellStyle name="20% - Accent2 2 7 2" xfId="3857" xr:uid="{00000000-0005-0000-0000-0000F7050000}"/>
    <cellStyle name="20% - Accent2 2 7 3" xfId="5974" xr:uid="{00000000-0005-0000-0000-0000F8050000}"/>
    <cellStyle name="20% - Accent2 2 7 4" xfId="8022" xr:uid="{00000000-0005-0000-0000-0000F9050000}"/>
    <cellStyle name="20% - Accent2 2 8" xfId="1290" xr:uid="{00000000-0005-0000-0000-0000FA050000}"/>
    <cellStyle name="20% - Accent2 2 8 2" xfId="3858" xr:uid="{00000000-0005-0000-0000-0000FB050000}"/>
    <cellStyle name="20% - Accent2 2 8 3" xfId="5975" xr:uid="{00000000-0005-0000-0000-0000FC050000}"/>
    <cellStyle name="20% - Accent2 2 8 4" xfId="8023" xr:uid="{00000000-0005-0000-0000-0000FD050000}"/>
    <cellStyle name="20% - Accent2 2 9" xfId="1291" xr:uid="{00000000-0005-0000-0000-0000FE050000}"/>
    <cellStyle name="20% - Accent2 20" xfId="1292" xr:uid="{00000000-0005-0000-0000-0000FF050000}"/>
    <cellStyle name="20% - Accent2 20 2" xfId="1293" xr:uid="{00000000-0005-0000-0000-000000060000}"/>
    <cellStyle name="20% - Accent2 20 2 2" xfId="3860" xr:uid="{00000000-0005-0000-0000-000001060000}"/>
    <cellStyle name="20% - Accent2 20 2 3" xfId="5977" xr:uid="{00000000-0005-0000-0000-000002060000}"/>
    <cellStyle name="20% - Accent2 20 2 4" xfId="8025" xr:uid="{00000000-0005-0000-0000-000003060000}"/>
    <cellStyle name="20% - Accent2 20 3" xfId="1294" xr:uid="{00000000-0005-0000-0000-000004060000}"/>
    <cellStyle name="20% - Accent2 20 3 2" xfId="3861" xr:uid="{00000000-0005-0000-0000-000005060000}"/>
    <cellStyle name="20% - Accent2 20 3 3" xfId="5978" xr:uid="{00000000-0005-0000-0000-000006060000}"/>
    <cellStyle name="20% - Accent2 20 3 4" xfId="8026" xr:uid="{00000000-0005-0000-0000-000007060000}"/>
    <cellStyle name="20% - Accent2 20 4" xfId="3859" xr:uid="{00000000-0005-0000-0000-000008060000}"/>
    <cellStyle name="20% - Accent2 20 5" xfId="5976" xr:uid="{00000000-0005-0000-0000-000009060000}"/>
    <cellStyle name="20% - Accent2 20 6" xfId="8024" xr:uid="{00000000-0005-0000-0000-00000A060000}"/>
    <cellStyle name="20% - Accent2 21" xfId="1295" xr:uid="{00000000-0005-0000-0000-00000B060000}"/>
    <cellStyle name="20% - Accent2 21 2" xfId="1296" xr:uid="{00000000-0005-0000-0000-00000C060000}"/>
    <cellStyle name="20% - Accent2 21 2 2" xfId="3863" xr:uid="{00000000-0005-0000-0000-00000D060000}"/>
    <cellStyle name="20% - Accent2 21 2 3" xfId="5980" xr:uid="{00000000-0005-0000-0000-00000E060000}"/>
    <cellStyle name="20% - Accent2 21 2 4" xfId="8028" xr:uid="{00000000-0005-0000-0000-00000F060000}"/>
    <cellStyle name="20% - Accent2 21 3" xfId="1297" xr:uid="{00000000-0005-0000-0000-000010060000}"/>
    <cellStyle name="20% - Accent2 21 3 2" xfId="3864" xr:uid="{00000000-0005-0000-0000-000011060000}"/>
    <cellStyle name="20% - Accent2 21 3 3" xfId="5981" xr:uid="{00000000-0005-0000-0000-000012060000}"/>
    <cellStyle name="20% - Accent2 21 3 4" xfId="8029" xr:uid="{00000000-0005-0000-0000-000013060000}"/>
    <cellStyle name="20% - Accent2 21 4" xfId="3862" xr:uid="{00000000-0005-0000-0000-000014060000}"/>
    <cellStyle name="20% - Accent2 21 5" xfId="5979" xr:uid="{00000000-0005-0000-0000-000015060000}"/>
    <cellStyle name="20% - Accent2 21 6" xfId="8027" xr:uid="{00000000-0005-0000-0000-000016060000}"/>
    <cellStyle name="20% - Accent2 22" xfId="1298" xr:uid="{00000000-0005-0000-0000-000017060000}"/>
    <cellStyle name="20% - Accent2 22 2" xfId="1299" xr:uid="{00000000-0005-0000-0000-000018060000}"/>
    <cellStyle name="20% - Accent2 22 2 2" xfId="3866" xr:uid="{00000000-0005-0000-0000-000019060000}"/>
    <cellStyle name="20% - Accent2 22 2 3" xfId="5983" xr:uid="{00000000-0005-0000-0000-00001A060000}"/>
    <cellStyle name="20% - Accent2 22 2 4" xfId="8031" xr:uid="{00000000-0005-0000-0000-00001B060000}"/>
    <cellStyle name="20% - Accent2 22 3" xfId="1300" xr:uid="{00000000-0005-0000-0000-00001C060000}"/>
    <cellStyle name="20% - Accent2 22 3 2" xfId="3867" xr:uid="{00000000-0005-0000-0000-00001D060000}"/>
    <cellStyle name="20% - Accent2 22 3 3" xfId="5984" xr:uid="{00000000-0005-0000-0000-00001E060000}"/>
    <cellStyle name="20% - Accent2 22 3 4" xfId="8032" xr:uid="{00000000-0005-0000-0000-00001F060000}"/>
    <cellStyle name="20% - Accent2 22 4" xfId="3865" xr:uid="{00000000-0005-0000-0000-000020060000}"/>
    <cellStyle name="20% - Accent2 22 5" xfId="5982" xr:uid="{00000000-0005-0000-0000-000021060000}"/>
    <cellStyle name="20% - Accent2 22 6" xfId="8030" xr:uid="{00000000-0005-0000-0000-000022060000}"/>
    <cellStyle name="20% - Accent2 23" xfId="1301" xr:uid="{00000000-0005-0000-0000-000023060000}"/>
    <cellStyle name="20% - Accent2 23 2" xfId="1302" xr:uid="{00000000-0005-0000-0000-000024060000}"/>
    <cellStyle name="20% - Accent2 23 2 2" xfId="3869" xr:uid="{00000000-0005-0000-0000-000025060000}"/>
    <cellStyle name="20% - Accent2 23 2 3" xfId="5986" xr:uid="{00000000-0005-0000-0000-000026060000}"/>
    <cellStyle name="20% - Accent2 23 2 4" xfId="8034" xr:uid="{00000000-0005-0000-0000-000027060000}"/>
    <cellStyle name="20% - Accent2 23 3" xfId="3868" xr:uid="{00000000-0005-0000-0000-000028060000}"/>
    <cellStyle name="20% - Accent2 23 4" xfId="5985" xr:uid="{00000000-0005-0000-0000-000029060000}"/>
    <cellStyle name="20% - Accent2 23 5" xfId="8033" xr:uid="{00000000-0005-0000-0000-00002A060000}"/>
    <cellStyle name="20% - Accent2 24" xfId="1303" xr:uid="{00000000-0005-0000-0000-00002B060000}"/>
    <cellStyle name="20% - Accent2 24 2" xfId="1304" xr:uid="{00000000-0005-0000-0000-00002C060000}"/>
    <cellStyle name="20% - Accent2 24 2 2" xfId="3871" xr:uid="{00000000-0005-0000-0000-00002D060000}"/>
    <cellStyle name="20% - Accent2 24 2 3" xfId="5988" xr:uid="{00000000-0005-0000-0000-00002E060000}"/>
    <cellStyle name="20% - Accent2 24 2 4" xfId="8036" xr:uid="{00000000-0005-0000-0000-00002F060000}"/>
    <cellStyle name="20% - Accent2 24 3" xfId="3870" xr:uid="{00000000-0005-0000-0000-000030060000}"/>
    <cellStyle name="20% - Accent2 24 4" xfId="5987" xr:uid="{00000000-0005-0000-0000-000031060000}"/>
    <cellStyle name="20% - Accent2 24 5" xfId="8035" xr:uid="{00000000-0005-0000-0000-000032060000}"/>
    <cellStyle name="20% - Accent2 25" xfId="1305" xr:uid="{00000000-0005-0000-0000-000033060000}"/>
    <cellStyle name="20% - Accent2 25 2" xfId="1306" xr:uid="{00000000-0005-0000-0000-000034060000}"/>
    <cellStyle name="20% - Accent2 25 2 2" xfId="3873" xr:uid="{00000000-0005-0000-0000-000035060000}"/>
    <cellStyle name="20% - Accent2 25 2 3" xfId="5990" xr:uid="{00000000-0005-0000-0000-000036060000}"/>
    <cellStyle name="20% - Accent2 25 2 4" xfId="8038" xr:uid="{00000000-0005-0000-0000-000037060000}"/>
    <cellStyle name="20% - Accent2 25 3" xfId="3872" xr:uid="{00000000-0005-0000-0000-000038060000}"/>
    <cellStyle name="20% - Accent2 25 4" xfId="5989" xr:uid="{00000000-0005-0000-0000-000039060000}"/>
    <cellStyle name="20% - Accent2 25 5" xfId="8037" xr:uid="{00000000-0005-0000-0000-00003A060000}"/>
    <cellStyle name="20% - Accent2 26" xfId="1307" xr:uid="{00000000-0005-0000-0000-00003B060000}"/>
    <cellStyle name="20% - Accent2 26 2" xfId="1308" xr:uid="{00000000-0005-0000-0000-00003C060000}"/>
    <cellStyle name="20% - Accent2 26 2 2" xfId="3875" xr:uid="{00000000-0005-0000-0000-00003D060000}"/>
    <cellStyle name="20% - Accent2 26 2 3" xfId="5992" xr:uid="{00000000-0005-0000-0000-00003E060000}"/>
    <cellStyle name="20% - Accent2 26 2 4" xfId="8040" xr:uid="{00000000-0005-0000-0000-00003F060000}"/>
    <cellStyle name="20% - Accent2 26 3" xfId="3874" xr:uid="{00000000-0005-0000-0000-000040060000}"/>
    <cellStyle name="20% - Accent2 26 4" xfId="5991" xr:uid="{00000000-0005-0000-0000-000041060000}"/>
    <cellStyle name="20% - Accent2 26 5" xfId="8039" xr:uid="{00000000-0005-0000-0000-000042060000}"/>
    <cellStyle name="20% - Accent2 27" xfId="1309" xr:uid="{00000000-0005-0000-0000-000043060000}"/>
    <cellStyle name="20% - Accent2 27 2" xfId="1310" xr:uid="{00000000-0005-0000-0000-000044060000}"/>
    <cellStyle name="20% - Accent2 27 2 2" xfId="3877" xr:uid="{00000000-0005-0000-0000-000045060000}"/>
    <cellStyle name="20% - Accent2 27 2 3" xfId="5994" xr:uid="{00000000-0005-0000-0000-000046060000}"/>
    <cellStyle name="20% - Accent2 27 2 4" xfId="8042" xr:uid="{00000000-0005-0000-0000-000047060000}"/>
    <cellStyle name="20% - Accent2 27 3" xfId="3876" xr:uid="{00000000-0005-0000-0000-000048060000}"/>
    <cellStyle name="20% - Accent2 27 4" xfId="5993" xr:uid="{00000000-0005-0000-0000-000049060000}"/>
    <cellStyle name="20% - Accent2 27 5" xfId="8041" xr:uid="{00000000-0005-0000-0000-00004A060000}"/>
    <cellStyle name="20% - Accent2 28" xfId="1311" xr:uid="{00000000-0005-0000-0000-00004B060000}"/>
    <cellStyle name="20% - Accent2 28 2" xfId="1312" xr:uid="{00000000-0005-0000-0000-00004C060000}"/>
    <cellStyle name="20% - Accent2 28 2 2" xfId="3879" xr:uid="{00000000-0005-0000-0000-00004D060000}"/>
    <cellStyle name="20% - Accent2 28 2 3" xfId="5996" xr:uid="{00000000-0005-0000-0000-00004E060000}"/>
    <cellStyle name="20% - Accent2 28 2 4" xfId="8044" xr:uid="{00000000-0005-0000-0000-00004F060000}"/>
    <cellStyle name="20% - Accent2 28 3" xfId="3878" xr:uid="{00000000-0005-0000-0000-000050060000}"/>
    <cellStyle name="20% - Accent2 28 4" xfId="5995" xr:uid="{00000000-0005-0000-0000-000051060000}"/>
    <cellStyle name="20% - Accent2 28 5" xfId="8043" xr:uid="{00000000-0005-0000-0000-000052060000}"/>
    <cellStyle name="20% - Accent2 29" xfId="1313" xr:uid="{00000000-0005-0000-0000-000053060000}"/>
    <cellStyle name="20% - Accent2 29 2" xfId="1314" xr:uid="{00000000-0005-0000-0000-000054060000}"/>
    <cellStyle name="20% - Accent2 29 2 2" xfId="3881" xr:uid="{00000000-0005-0000-0000-000055060000}"/>
    <cellStyle name="20% - Accent2 29 2 3" xfId="5998" xr:uid="{00000000-0005-0000-0000-000056060000}"/>
    <cellStyle name="20% - Accent2 29 2 4" xfId="8046" xr:uid="{00000000-0005-0000-0000-000057060000}"/>
    <cellStyle name="20% - Accent2 29 3" xfId="3880" xr:uid="{00000000-0005-0000-0000-000058060000}"/>
    <cellStyle name="20% - Accent2 29 4" xfId="5997" xr:uid="{00000000-0005-0000-0000-000059060000}"/>
    <cellStyle name="20% - Accent2 29 5" xfId="8045" xr:uid="{00000000-0005-0000-0000-00005A060000}"/>
    <cellStyle name="20% - Accent2 3" xfId="1315" xr:uid="{00000000-0005-0000-0000-00005B060000}"/>
    <cellStyle name="20% - Accent2 3 2" xfId="1316" xr:uid="{00000000-0005-0000-0000-00005C060000}"/>
    <cellStyle name="20% - Accent2 3 2 2" xfId="3882" xr:uid="{00000000-0005-0000-0000-00005D060000}"/>
    <cellStyle name="20% - Accent2 3 2 3" xfId="5999" xr:uid="{00000000-0005-0000-0000-00005E060000}"/>
    <cellStyle name="20% - Accent2 3 2 4" xfId="8047" xr:uid="{00000000-0005-0000-0000-00005F060000}"/>
    <cellStyle name="20% - Accent2 3 3" xfId="1317" xr:uid="{00000000-0005-0000-0000-000060060000}"/>
    <cellStyle name="20% - Accent2 3 3 2" xfId="3883" xr:uid="{00000000-0005-0000-0000-000061060000}"/>
    <cellStyle name="20% - Accent2 3 3 3" xfId="6000" xr:uid="{00000000-0005-0000-0000-000062060000}"/>
    <cellStyle name="20% - Accent2 3 3 4" xfId="8048" xr:uid="{00000000-0005-0000-0000-000063060000}"/>
    <cellStyle name="20% - Accent2 3 4" xfId="1318" xr:uid="{00000000-0005-0000-0000-000064060000}"/>
    <cellStyle name="20% - Accent2 3 4 2" xfId="3884" xr:uid="{00000000-0005-0000-0000-000065060000}"/>
    <cellStyle name="20% - Accent2 3 4 3" xfId="6001" xr:uid="{00000000-0005-0000-0000-000066060000}"/>
    <cellStyle name="20% - Accent2 3 4 4" xfId="8049" xr:uid="{00000000-0005-0000-0000-000067060000}"/>
    <cellStyle name="20% - Accent2 3 5" xfId="1319" xr:uid="{00000000-0005-0000-0000-000068060000}"/>
    <cellStyle name="20% - Accent2 3 5 2" xfId="3885" xr:uid="{00000000-0005-0000-0000-000069060000}"/>
    <cellStyle name="20% - Accent2 3 5 3" xfId="6002" xr:uid="{00000000-0005-0000-0000-00006A060000}"/>
    <cellStyle name="20% - Accent2 3 5 4" xfId="8050" xr:uid="{00000000-0005-0000-0000-00006B060000}"/>
    <cellStyle name="20% - Accent2 3 6" xfId="1320" xr:uid="{00000000-0005-0000-0000-00006C060000}"/>
    <cellStyle name="20% - Accent2 3 6 2" xfId="3886" xr:uid="{00000000-0005-0000-0000-00006D060000}"/>
    <cellStyle name="20% - Accent2 3 6 3" xfId="6003" xr:uid="{00000000-0005-0000-0000-00006E060000}"/>
    <cellStyle name="20% - Accent2 3 6 4" xfId="8051" xr:uid="{00000000-0005-0000-0000-00006F060000}"/>
    <cellStyle name="20% - Accent2 3 7" xfId="1321" xr:uid="{00000000-0005-0000-0000-000070060000}"/>
    <cellStyle name="20% - Accent2 3 7 2" xfId="3887" xr:uid="{00000000-0005-0000-0000-000071060000}"/>
    <cellStyle name="20% - Accent2 3 7 3" xfId="6004" xr:uid="{00000000-0005-0000-0000-000072060000}"/>
    <cellStyle name="20% - Accent2 3 7 4" xfId="8052" xr:uid="{00000000-0005-0000-0000-000073060000}"/>
    <cellStyle name="20% - Accent2 30" xfId="1322" xr:uid="{00000000-0005-0000-0000-000074060000}"/>
    <cellStyle name="20% - Accent2 30 2" xfId="1323" xr:uid="{00000000-0005-0000-0000-000075060000}"/>
    <cellStyle name="20% - Accent2 30 2 2" xfId="3889" xr:uid="{00000000-0005-0000-0000-000076060000}"/>
    <cellStyle name="20% - Accent2 30 2 3" xfId="6006" xr:uid="{00000000-0005-0000-0000-000077060000}"/>
    <cellStyle name="20% - Accent2 30 2 4" xfId="8054" xr:uid="{00000000-0005-0000-0000-000078060000}"/>
    <cellStyle name="20% - Accent2 30 3" xfId="3888" xr:uid="{00000000-0005-0000-0000-000079060000}"/>
    <cellStyle name="20% - Accent2 30 4" xfId="6005" xr:uid="{00000000-0005-0000-0000-00007A060000}"/>
    <cellStyle name="20% - Accent2 30 5" xfId="8053" xr:uid="{00000000-0005-0000-0000-00007B060000}"/>
    <cellStyle name="20% - Accent2 31" xfId="1324" xr:uid="{00000000-0005-0000-0000-00007C060000}"/>
    <cellStyle name="20% - Accent2 31 2" xfId="1325" xr:uid="{00000000-0005-0000-0000-00007D060000}"/>
    <cellStyle name="20% - Accent2 31 2 2" xfId="3891" xr:uid="{00000000-0005-0000-0000-00007E060000}"/>
    <cellStyle name="20% - Accent2 31 2 3" xfId="6008" xr:uid="{00000000-0005-0000-0000-00007F060000}"/>
    <cellStyle name="20% - Accent2 31 2 4" xfId="8056" xr:uid="{00000000-0005-0000-0000-000080060000}"/>
    <cellStyle name="20% - Accent2 31 3" xfId="3890" xr:uid="{00000000-0005-0000-0000-000081060000}"/>
    <cellStyle name="20% - Accent2 31 4" xfId="6007" xr:uid="{00000000-0005-0000-0000-000082060000}"/>
    <cellStyle name="20% - Accent2 31 5" xfId="8055" xr:uid="{00000000-0005-0000-0000-000083060000}"/>
    <cellStyle name="20% - Accent2 32" xfId="1326" xr:uid="{00000000-0005-0000-0000-000084060000}"/>
    <cellStyle name="20% - Accent2 32 2" xfId="1327" xr:uid="{00000000-0005-0000-0000-000085060000}"/>
    <cellStyle name="20% - Accent2 32 2 2" xfId="3893" xr:uid="{00000000-0005-0000-0000-000086060000}"/>
    <cellStyle name="20% - Accent2 32 2 3" xfId="6010" xr:uid="{00000000-0005-0000-0000-000087060000}"/>
    <cellStyle name="20% - Accent2 32 2 4" xfId="8058" xr:uid="{00000000-0005-0000-0000-000088060000}"/>
    <cellStyle name="20% - Accent2 32 3" xfId="3892" xr:uid="{00000000-0005-0000-0000-000089060000}"/>
    <cellStyle name="20% - Accent2 32 4" xfId="6009" xr:uid="{00000000-0005-0000-0000-00008A060000}"/>
    <cellStyle name="20% - Accent2 32 5" xfId="8057" xr:uid="{00000000-0005-0000-0000-00008B060000}"/>
    <cellStyle name="20% - Accent2 33" xfId="1328" xr:uid="{00000000-0005-0000-0000-00008C060000}"/>
    <cellStyle name="20% - Accent2 33 2" xfId="3894" xr:uid="{00000000-0005-0000-0000-00008D060000}"/>
    <cellStyle name="20% - Accent2 33 3" xfId="6011" xr:uid="{00000000-0005-0000-0000-00008E060000}"/>
    <cellStyle name="20% - Accent2 33 4" xfId="8059" xr:uid="{00000000-0005-0000-0000-00008F060000}"/>
    <cellStyle name="20% - Accent2 34" xfId="1329" xr:uid="{00000000-0005-0000-0000-000090060000}"/>
    <cellStyle name="20% - Accent2 34 2" xfId="3895" xr:uid="{00000000-0005-0000-0000-000091060000}"/>
    <cellStyle name="20% - Accent2 34 3" xfId="6012" xr:uid="{00000000-0005-0000-0000-000092060000}"/>
    <cellStyle name="20% - Accent2 34 4" xfId="8060" xr:uid="{00000000-0005-0000-0000-000093060000}"/>
    <cellStyle name="20% - Accent2 35" xfId="1330" xr:uid="{00000000-0005-0000-0000-000094060000}"/>
    <cellStyle name="20% - Accent2 35 2" xfId="3896" xr:uid="{00000000-0005-0000-0000-000095060000}"/>
    <cellStyle name="20% - Accent2 35 3" xfId="6013" xr:uid="{00000000-0005-0000-0000-000096060000}"/>
    <cellStyle name="20% - Accent2 35 4" xfId="8061" xr:uid="{00000000-0005-0000-0000-000097060000}"/>
    <cellStyle name="20% - Accent2 36" xfId="1331" xr:uid="{00000000-0005-0000-0000-000098060000}"/>
    <cellStyle name="20% - Accent2 36 2" xfId="3897" xr:uid="{00000000-0005-0000-0000-000099060000}"/>
    <cellStyle name="20% - Accent2 36 3" xfId="6014" xr:uid="{00000000-0005-0000-0000-00009A060000}"/>
    <cellStyle name="20% - Accent2 36 4" xfId="8062" xr:uid="{00000000-0005-0000-0000-00009B060000}"/>
    <cellStyle name="20% - Accent2 37" xfId="1332" xr:uid="{00000000-0005-0000-0000-00009C060000}"/>
    <cellStyle name="20% - Accent2 37 2" xfId="3898" xr:uid="{00000000-0005-0000-0000-00009D060000}"/>
    <cellStyle name="20% - Accent2 37 3" xfId="6015" xr:uid="{00000000-0005-0000-0000-00009E060000}"/>
    <cellStyle name="20% - Accent2 37 4" xfId="8063" xr:uid="{00000000-0005-0000-0000-00009F060000}"/>
    <cellStyle name="20% - Accent2 38" xfId="1333" xr:uid="{00000000-0005-0000-0000-0000A0060000}"/>
    <cellStyle name="20% - Accent2 38 2" xfId="3899" xr:uid="{00000000-0005-0000-0000-0000A1060000}"/>
    <cellStyle name="20% - Accent2 38 3" xfId="6016" xr:uid="{00000000-0005-0000-0000-0000A2060000}"/>
    <cellStyle name="20% - Accent2 38 4" xfId="8064" xr:uid="{00000000-0005-0000-0000-0000A3060000}"/>
    <cellStyle name="20% - Accent2 39" xfId="1334" xr:uid="{00000000-0005-0000-0000-0000A4060000}"/>
    <cellStyle name="20% - Accent2 39 2" xfId="3900" xr:uid="{00000000-0005-0000-0000-0000A5060000}"/>
    <cellStyle name="20% - Accent2 39 3" xfId="6017" xr:uid="{00000000-0005-0000-0000-0000A6060000}"/>
    <cellStyle name="20% - Accent2 39 4" xfId="8065" xr:uid="{00000000-0005-0000-0000-0000A7060000}"/>
    <cellStyle name="20% - Accent2 4" xfId="1335" xr:uid="{00000000-0005-0000-0000-0000A8060000}"/>
    <cellStyle name="20% - Accent2 4 2" xfId="1336" xr:uid="{00000000-0005-0000-0000-0000A9060000}"/>
    <cellStyle name="20% - Accent2 4 2 2" xfId="3901" xr:uid="{00000000-0005-0000-0000-0000AA060000}"/>
    <cellStyle name="20% - Accent2 4 2 3" xfId="6018" xr:uid="{00000000-0005-0000-0000-0000AB060000}"/>
    <cellStyle name="20% - Accent2 4 2 4" xfId="8066" xr:uid="{00000000-0005-0000-0000-0000AC060000}"/>
    <cellStyle name="20% - Accent2 4 3" xfId="1337" xr:uid="{00000000-0005-0000-0000-0000AD060000}"/>
    <cellStyle name="20% - Accent2 4 3 2" xfId="3902" xr:uid="{00000000-0005-0000-0000-0000AE060000}"/>
    <cellStyle name="20% - Accent2 4 3 3" xfId="6019" xr:uid="{00000000-0005-0000-0000-0000AF060000}"/>
    <cellStyle name="20% - Accent2 4 3 4" xfId="8067" xr:uid="{00000000-0005-0000-0000-0000B0060000}"/>
    <cellStyle name="20% - Accent2 4 4" xfId="1338" xr:uid="{00000000-0005-0000-0000-0000B1060000}"/>
    <cellStyle name="20% - Accent2 4 4 2" xfId="3903" xr:uid="{00000000-0005-0000-0000-0000B2060000}"/>
    <cellStyle name="20% - Accent2 4 4 3" xfId="6020" xr:uid="{00000000-0005-0000-0000-0000B3060000}"/>
    <cellStyle name="20% - Accent2 4 4 4" xfId="8068" xr:uid="{00000000-0005-0000-0000-0000B4060000}"/>
    <cellStyle name="20% - Accent2 4 5" xfId="1339" xr:uid="{00000000-0005-0000-0000-0000B5060000}"/>
    <cellStyle name="20% - Accent2 4 5 2" xfId="3904" xr:uid="{00000000-0005-0000-0000-0000B6060000}"/>
    <cellStyle name="20% - Accent2 4 5 3" xfId="6021" xr:uid="{00000000-0005-0000-0000-0000B7060000}"/>
    <cellStyle name="20% - Accent2 4 5 4" xfId="8069" xr:uid="{00000000-0005-0000-0000-0000B8060000}"/>
    <cellStyle name="20% - Accent2 4 6" xfId="1340" xr:uid="{00000000-0005-0000-0000-0000B9060000}"/>
    <cellStyle name="20% - Accent2 4 6 2" xfId="3905" xr:uid="{00000000-0005-0000-0000-0000BA060000}"/>
    <cellStyle name="20% - Accent2 4 6 3" xfId="6022" xr:uid="{00000000-0005-0000-0000-0000BB060000}"/>
    <cellStyle name="20% - Accent2 4 6 4" xfId="8070" xr:uid="{00000000-0005-0000-0000-0000BC060000}"/>
    <cellStyle name="20% - Accent2 4 7" xfId="1341" xr:uid="{00000000-0005-0000-0000-0000BD060000}"/>
    <cellStyle name="20% - Accent2 4 7 2" xfId="3906" xr:uid="{00000000-0005-0000-0000-0000BE060000}"/>
    <cellStyle name="20% - Accent2 4 7 3" xfId="6023" xr:uid="{00000000-0005-0000-0000-0000BF060000}"/>
    <cellStyle name="20% - Accent2 4 7 4" xfId="8071" xr:uid="{00000000-0005-0000-0000-0000C0060000}"/>
    <cellStyle name="20% - Accent2 40" xfId="1342" xr:uid="{00000000-0005-0000-0000-0000C1060000}"/>
    <cellStyle name="20% - Accent2 40 2" xfId="3907" xr:uid="{00000000-0005-0000-0000-0000C2060000}"/>
    <cellStyle name="20% - Accent2 40 3" xfId="6024" xr:uid="{00000000-0005-0000-0000-0000C3060000}"/>
    <cellStyle name="20% - Accent2 40 4" xfId="8072" xr:uid="{00000000-0005-0000-0000-0000C4060000}"/>
    <cellStyle name="20% - Accent2 41" xfId="1343" xr:uid="{00000000-0005-0000-0000-0000C5060000}"/>
    <cellStyle name="20% - Accent2 41 2" xfId="3908" xr:uid="{00000000-0005-0000-0000-0000C6060000}"/>
    <cellStyle name="20% - Accent2 41 3" xfId="6025" xr:uid="{00000000-0005-0000-0000-0000C7060000}"/>
    <cellStyle name="20% - Accent2 41 4" xfId="8073" xr:uid="{00000000-0005-0000-0000-0000C8060000}"/>
    <cellStyle name="20% - Accent2 42" xfId="1344" xr:uid="{00000000-0005-0000-0000-0000C9060000}"/>
    <cellStyle name="20% - Accent2 42 2" xfId="3909" xr:uid="{00000000-0005-0000-0000-0000CA060000}"/>
    <cellStyle name="20% - Accent2 42 3" xfId="6026" xr:uid="{00000000-0005-0000-0000-0000CB060000}"/>
    <cellStyle name="20% - Accent2 42 4" xfId="8074" xr:uid="{00000000-0005-0000-0000-0000CC060000}"/>
    <cellStyle name="20% - Accent2 43" xfId="1345" xr:uid="{00000000-0005-0000-0000-0000CD060000}"/>
    <cellStyle name="20% - Accent2 43 2" xfId="3910" xr:uid="{00000000-0005-0000-0000-0000CE060000}"/>
    <cellStyle name="20% - Accent2 43 3" xfId="6027" xr:uid="{00000000-0005-0000-0000-0000CF060000}"/>
    <cellStyle name="20% - Accent2 43 4" xfId="8075" xr:uid="{00000000-0005-0000-0000-0000D0060000}"/>
    <cellStyle name="20% - Accent2 44" xfId="1346" xr:uid="{00000000-0005-0000-0000-0000D1060000}"/>
    <cellStyle name="20% - Accent2 44 2" xfId="3911" xr:uid="{00000000-0005-0000-0000-0000D2060000}"/>
    <cellStyle name="20% - Accent2 44 3" xfId="6028" xr:uid="{00000000-0005-0000-0000-0000D3060000}"/>
    <cellStyle name="20% - Accent2 44 4" xfId="8076" xr:uid="{00000000-0005-0000-0000-0000D4060000}"/>
    <cellStyle name="20% - Accent2 45" xfId="1347" xr:uid="{00000000-0005-0000-0000-0000D5060000}"/>
    <cellStyle name="20% - Accent2 45 2" xfId="3912" xr:uid="{00000000-0005-0000-0000-0000D6060000}"/>
    <cellStyle name="20% - Accent2 45 3" xfId="6029" xr:uid="{00000000-0005-0000-0000-0000D7060000}"/>
    <cellStyle name="20% - Accent2 45 4" xfId="8077" xr:uid="{00000000-0005-0000-0000-0000D8060000}"/>
    <cellStyle name="20% - Accent2 46" xfId="1348" xr:uid="{00000000-0005-0000-0000-0000D9060000}"/>
    <cellStyle name="20% - Accent2 46 2" xfId="3913" xr:uid="{00000000-0005-0000-0000-0000DA060000}"/>
    <cellStyle name="20% - Accent2 46 3" xfId="6030" xr:uid="{00000000-0005-0000-0000-0000DB060000}"/>
    <cellStyle name="20% - Accent2 46 4" xfId="8078" xr:uid="{00000000-0005-0000-0000-0000DC060000}"/>
    <cellStyle name="20% - Accent2 47" xfId="1349" xr:uid="{00000000-0005-0000-0000-0000DD060000}"/>
    <cellStyle name="20% - Accent2 47 2" xfId="3914" xr:uid="{00000000-0005-0000-0000-0000DE060000}"/>
    <cellStyle name="20% - Accent2 47 3" xfId="6031" xr:uid="{00000000-0005-0000-0000-0000DF060000}"/>
    <cellStyle name="20% - Accent2 47 4" xfId="8079" xr:uid="{00000000-0005-0000-0000-0000E0060000}"/>
    <cellStyle name="20% - Accent2 48" xfId="1350" xr:uid="{00000000-0005-0000-0000-0000E1060000}"/>
    <cellStyle name="20% - Accent2 48 2" xfId="3915" xr:uid="{00000000-0005-0000-0000-0000E2060000}"/>
    <cellStyle name="20% - Accent2 48 3" xfId="6032" xr:uid="{00000000-0005-0000-0000-0000E3060000}"/>
    <cellStyle name="20% - Accent2 48 4" xfId="8080" xr:uid="{00000000-0005-0000-0000-0000E4060000}"/>
    <cellStyle name="20% - Accent2 49" xfId="1351" xr:uid="{00000000-0005-0000-0000-0000E5060000}"/>
    <cellStyle name="20% - Accent2 49 2" xfId="3916" xr:uid="{00000000-0005-0000-0000-0000E6060000}"/>
    <cellStyle name="20% - Accent2 49 3" xfId="6033" xr:uid="{00000000-0005-0000-0000-0000E7060000}"/>
    <cellStyle name="20% - Accent2 49 4" xfId="8081" xr:uid="{00000000-0005-0000-0000-0000E8060000}"/>
    <cellStyle name="20% - Accent2 5" xfId="1352" xr:uid="{00000000-0005-0000-0000-0000E9060000}"/>
    <cellStyle name="20% - Accent2 5 2" xfId="1353" xr:uid="{00000000-0005-0000-0000-0000EA060000}"/>
    <cellStyle name="20% - Accent2 5 2 2" xfId="3917" xr:uid="{00000000-0005-0000-0000-0000EB060000}"/>
    <cellStyle name="20% - Accent2 5 2 3" xfId="6034" xr:uid="{00000000-0005-0000-0000-0000EC060000}"/>
    <cellStyle name="20% - Accent2 5 2 4" xfId="8082" xr:uid="{00000000-0005-0000-0000-0000ED060000}"/>
    <cellStyle name="20% - Accent2 5 3" xfId="1354" xr:uid="{00000000-0005-0000-0000-0000EE060000}"/>
    <cellStyle name="20% - Accent2 5 3 2" xfId="3918" xr:uid="{00000000-0005-0000-0000-0000EF060000}"/>
    <cellStyle name="20% - Accent2 5 3 3" xfId="6035" xr:uid="{00000000-0005-0000-0000-0000F0060000}"/>
    <cellStyle name="20% - Accent2 5 3 4" xfId="8083" xr:uid="{00000000-0005-0000-0000-0000F1060000}"/>
    <cellStyle name="20% - Accent2 5 4" xfId="1355" xr:uid="{00000000-0005-0000-0000-0000F2060000}"/>
    <cellStyle name="20% - Accent2 5 4 2" xfId="3919" xr:uid="{00000000-0005-0000-0000-0000F3060000}"/>
    <cellStyle name="20% - Accent2 5 4 3" xfId="6036" xr:uid="{00000000-0005-0000-0000-0000F4060000}"/>
    <cellStyle name="20% - Accent2 5 4 4" xfId="8084" xr:uid="{00000000-0005-0000-0000-0000F5060000}"/>
    <cellStyle name="20% - Accent2 5 5" xfId="1356" xr:uid="{00000000-0005-0000-0000-0000F6060000}"/>
    <cellStyle name="20% - Accent2 5 5 2" xfId="3920" xr:uid="{00000000-0005-0000-0000-0000F7060000}"/>
    <cellStyle name="20% - Accent2 5 5 3" xfId="6037" xr:uid="{00000000-0005-0000-0000-0000F8060000}"/>
    <cellStyle name="20% - Accent2 5 5 4" xfId="8085" xr:uid="{00000000-0005-0000-0000-0000F9060000}"/>
    <cellStyle name="20% - Accent2 5 6" xfId="1357" xr:uid="{00000000-0005-0000-0000-0000FA060000}"/>
    <cellStyle name="20% - Accent2 5 6 2" xfId="3921" xr:uid="{00000000-0005-0000-0000-0000FB060000}"/>
    <cellStyle name="20% - Accent2 5 6 3" xfId="6038" xr:uid="{00000000-0005-0000-0000-0000FC060000}"/>
    <cellStyle name="20% - Accent2 5 6 4" xfId="8086" xr:uid="{00000000-0005-0000-0000-0000FD060000}"/>
    <cellStyle name="20% - Accent2 5 7" xfId="1358" xr:uid="{00000000-0005-0000-0000-0000FE060000}"/>
    <cellStyle name="20% - Accent2 5 7 2" xfId="3922" xr:uid="{00000000-0005-0000-0000-0000FF060000}"/>
    <cellStyle name="20% - Accent2 5 7 3" xfId="6039" xr:uid="{00000000-0005-0000-0000-000000070000}"/>
    <cellStyle name="20% - Accent2 5 7 4" xfId="8087" xr:uid="{00000000-0005-0000-0000-000001070000}"/>
    <cellStyle name="20% - Accent2 50" xfId="1359" xr:uid="{00000000-0005-0000-0000-000002070000}"/>
    <cellStyle name="20% - Accent2 50 2" xfId="3923" xr:uid="{00000000-0005-0000-0000-000003070000}"/>
    <cellStyle name="20% - Accent2 50 3" xfId="6040" xr:uid="{00000000-0005-0000-0000-000004070000}"/>
    <cellStyle name="20% - Accent2 50 4" xfId="8088" xr:uid="{00000000-0005-0000-0000-000005070000}"/>
    <cellStyle name="20% - Accent2 6" xfId="1360" xr:uid="{00000000-0005-0000-0000-000006070000}"/>
    <cellStyle name="20% - Accent2 6 2" xfId="1361" xr:uid="{00000000-0005-0000-0000-000007070000}"/>
    <cellStyle name="20% - Accent2 6 2 2" xfId="3924" xr:uid="{00000000-0005-0000-0000-000008070000}"/>
    <cellStyle name="20% - Accent2 6 2 3" xfId="6041" xr:uid="{00000000-0005-0000-0000-000009070000}"/>
    <cellStyle name="20% - Accent2 6 2 4" xfId="8089" xr:uid="{00000000-0005-0000-0000-00000A070000}"/>
    <cellStyle name="20% - Accent2 6 3" xfId="1362" xr:uid="{00000000-0005-0000-0000-00000B070000}"/>
    <cellStyle name="20% - Accent2 6 3 2" xfId="3925" xr:uid="{00000000-0005-0000-0000-00000C070000}"/>
    <cellStyle name="20% - Accent2 6 3 3" xfId="6042" xr:uid="{00000000-0005-0000-0000-00000D070000}"/>
    <cellStyle name="20% - Accent2 6 3 4" xfId="8090" xr:uid="{00000000-0005-0000-0000-00000E070000}"/>
    <cellStyle name="20% - Accent2 6 4" xfId="1363" xr:uid="{00000000-0005-0000-0000-00000F070000}"/>
    <cellStyle name="20% - Accent2 6 4 2" xfId="3926" xr:uid="{00000000-0005-0000-0000-000010070000}"/>
    <cellStyle name="20% - Accent2 6 4 3" xfId="6043" xr:uid="{00000000-0005-0000-0000-000011070000}"/>
    <cellStyle name="20% - Accent2 6 4 4" xfId="8091" xr:uid="{00000000-0005-0000-0000-000012070000}"/>
    <cellStyle name="20% - Accent2 6 5" xfId="1364" xr:uid="{00000000-0005-0000-0000-000013070000}"/>
    <cellStyle name="20% - Accent2 6 5 2" xfId="3927" xr:uid="{00000000-0005-0000-0000-000014070000}"/>
    <cellStyle name="20% - Accent2 6 5 3" xfId="6044" xr:uid="{00000000-0005-0000-0000-000015070000}"/>
    <cellStyle name="20% - Accent2 6 5 4" xfId="8092" xr:uid="{00000000-0005-0000-0000-000016070000}"/>
    <cellStyle name="20% - Accent2 6 6" xfId="1365" xr:uid="{00000000-0005-0000-0000-000017070000}"/>
    <cellStyle name="20% - Accent2 6 6 2" xfId="3928" xr:uid="{00000000-0005-0000-0000-000018070000}"/>
    <cellStyle name="20% - Accent2 6 6 3" xfId="6045" xr:uid="{00000000-0005-0000-0000-000019070000}"/>
    <cellStyle name="20% - Accent2 6 6 4" xfId="8093" xr:uid="{00000000-0005-0000-0000-00001A070000}"/>
    <cellStyle name="20% - Accent2 6 7" xfId="1366" xr:uid="{00000000-0005-0000-0000-00001B070000}"/>
    <cellStyle name="20% - Accent2 6 7 2" xfId="3929" xr:uid="{00000000-0005-0000-0000-00001C070000}"/>
    <cellStyle name="20% - Accent2 6 7 3" xfId="6046" xr:uid="{00000000-0005-0000-0000-00001D070000}"/>
    <cellStyle name="20% - Accent2 6 7 4" xfId="8094" xr:uid="{00000000-0005-0000-0000-00001E070000}"/>
    <cellStyle name="20% - Accent2 7" xfId="1367" xr:uid="{00000000-0005-0000-0000-00001F070000}"/>
    <cellStyle name="20% - Accent2 7 10" xfId="8095" xr:uid="{00000000-0005-0000-0000-000020070000}"/>
    <cellStyle name="20% - Accent2 7 2" xfId="1368" xr:uid="{00000000-0005-0000-0000-000021070000}"/>
    <cellStyle name="20% - Accent2 7 2 2" xfId="3931" xr:uid="{00000000-0005-0000-0000-000022070000}"/>
    <cellStyle name="20% - Accent2 7 2 3" xfId="6048" xr:uid="{00000000-0005-0000-0000-000023070000}"/>
    <cellStyle name="20% - Accent2 7 2 4" xfId="8096" xr:uid="{00000000-0005-0000-0000-000024070000}"/>
    <cellStyle name="20% - Accent2 7 3" xfId="1369" xr:uid="{00000000-0005-0000-0000-000025070000}"/>
    <cellStyle name="20% - Accent2 7 3 2" xfId="3932" xr:uid="{00000000-0005-0000-0000-000026070000}"/>
    <cellStyle name="20% - Accent2 7 3 3" xfId="6049" xr:uid="{00000000-0005-0000-0000-000027070000}"/>
    <cellStyle name="20% - Accent2 7 3 4" xfId="8097" xr:uid="{00000000-0005-0000-0000-000028070000}"/>
    <cellStyle name="20% - Accent2 7 4" xfId="1370" xr:uid="{00000000-0005-0000-0000-000029070000}"/>
    <cellStyle name="20% - Accent2 7 4 2" xfId="3933" xr:uid="{00000000-0005-0000-0000-00002A070000}"/>
    <cellStyle name="20% - Accent2 7 4 3" xfId="6050" xr:uid="{00000000-0005-0000-0000-00002B070000}"/>
    <cellStyle name="20% - Accent2 7 4 4" xfId="8098" xr:uid="{00000000-0005-0000-0000-00002C070000}"/>
    <cellStyle name="20% - Accent2 7 5" xfId="1371" xr:uid="{00000000-0005-0000-0000-00002D070000}"/>
    <cellStyle name="20% - Accent2 7 5 2" xfId="3934" xr:uid="{00000000-0005-0000-0000-00002E070000}"/>
    <cellStyle name="20% - Accent2 7 5 3" xfId="6051" xr:uid="{00000000-0005-0000-0000-00002F070000}"/>
    <cellStyle name="20% - Accent2 7 5 4" xfId="8099" xr:uid="{00000000-0005-0000-0000-000030070000}"/>
    <cellStyle name="20% - Accent2 7 6" xfId="1372" xr:uid="{00000000-0005-0000-0000-000031070000}"/>
    <cellStyle name="20% - Accent2 7 6 2" xfId="3935" xr:uid="{00000000-0005-0000-0000-000032070000}"/>
    <cellStyle name="20% - Accent2 7 6 3" xfId="6052" xr:uid="{00000000-0005-0000-0000-000033070000}"/>
    <cellStyle name="20% - Accent2 7 6 4" xfId="8100" xr:uid="{00000000-0005-0000-0000-000034070000}"/>
    <cellStyle name="20% - Accent2 7 7" xfId="1373" xr:uid="{00000000-0005-0000-0000-000035070000}"/>
    <cellStyle name="20% - Accent2 7 7 2" xfId="3936" xr:uid="{00000000-0005-0000-0000-000036070000}"/>
    <cellStyle name="20% - Accent2 7 7 3" xfId="6053" xr:uid="{00000000-0005-0000-0000-000037070000}"/>
    <cellStyle name="20% - Accent2 7 7 4" xfId="8101" xr:uid="{00000000-0005-0000-0000-000038070000}"/>
    <cellStyle name="20% - Accent2 7 8" xfId="3930" xr:uid="{00000000-0005-0000-0000-000039070000}"/>
    <cellStyle name="20% - Accent2 7 9" xfId="6047" xr:uid="{00000000-0005-0000-0000-00003A070000}"/>
    <cellStyle name="20% - Accent2 8" xfId="1374" xr:uid="{00000000-0005-0000-0000-00003B070000}"/>
    <cellStyle name="20% - Accent2 8 10" xfId="8102" xr:uid="{00000000-0005-0000-0000-00003C070000}"/>
    <cellStyle name="20% - Accent2 8 2" xfId="1375" xr:uid="{00000000-0005-0000-0000-00003D070000}"/>
    <cellStyle name="20% - Accent2 8 2 2" xfId="3938" xr:uid="{00000000-0005-0000-0000-00003E070000}"/>
    <cellStyle name="20% - Accent2 8 2 3" xfId="6055" xr:uid="{00000000-0005-0000-0000-00003F070000}"/>
    <cellStyle name="20% - Accent2 8 2 4" xfId="8103" xr:uid="{00000000-0005-0000-0000-000040070000}"/>
    <cellStyle name="20% - Accent2 8 3" xfId="1376" xr:uid="{00000000-0005-0000-0000-000041070000}"/>
    <cellStyle name="20% - Accent2 8 3 2" xfId="3939" xr:uid="{00000000-0005-0000-0000-000042070000}"/>
    <cellStyle name="20% - Accent2 8 3 3" xfId="6056" xr:uid="{00000000-0005-0000-0000-000043070000}"/>
    <cellStyle name="20% - Accent2 8 3 4" xfId="8104" xr:uid="{00000000-0005-0000-0000-000044070000}"/>
    <cellStyle name="20% - Accent2 8 4" xfId="1377" xr:uid="{00000000-0005-0000-0000-000045070000}"/>
    <cellStyle name="20% - Accent2 8 4 2" xfId="3940" xr:uid="{00000000-0005-0000-0000-000046070000}"/>
    <cellStyle name="20% - Accent2 8 4 3" xfId="6057" xr:uid="{00000000-0005-0000-0000-000047070000}"/>
    <cellStyle name="20% - Accent2 8 4 4" xfId="8105" xr:uid="{00000000-0005-0000-0000-000048070000}"/>
    <cellStyle name="20% - Accent2 8 5" xfId="1378" xr:uid="{00000000-0005-0000-0000-000049070000}"/>
    <cellStyle name="20% - Accent2 8 5 2" xfId="3941" xr:uid="{00000000-0005-0000-0000-00004A070000}"/>
    <cellStyle name="20% - Accent2 8 5 3" xfId="6058" xr:uid="{00000000-0005-0000-0000-00004B070000}"/>
    <cellStyle name="20% - Accent2 8 5 4" xfId="8106" xr:uid="{00000000-0005-0000-0000-00004C070000}"/>
    <cellStyle name="20% - Accent2 8 6" xfId="1379" xr:uid="{00000000-0005-0000-0000-00004D070000}"/>
    <cellStyle name="20% - Accent2 8 6 2" xfId="3942" xr:uid="{00000000-0005-0000-0000-00004E070000}"/>
    <cellStyle name="20% - Accent2 8 6 3" xfId="6059" xr:uid="{00000000-0005-0000-0000-00004F070000}"/>
    <cellStyle name="20% - Accent2 8 6 4" xfId="8107" xr:uid="{00000000-0005-0000-0000-000050070000}"/>
    <cellStyle name="20% - Accent2 8 7" xfId="1380" xr:uid="{00000000-0005-0000-0000-000051070000}"/>
    <cellStyle name="20% - Accent2 8 7 2" xfId="3943" xr:uid="{00000000-0005-0000-0000-000052070000}"/>
    <cellStyle name="20% - Accent2 8 7 3" xfId="6060" xr:uid="{00000000-0005-0000-0000-000053070000}"/>
    <cellStyle name="20% - Accent2 8 7 4" xfId="8108" xr:uid="{00000000-0005-0000-0000-000054070000}"/>
    <cellStyle name="20% - Accent2 8 8" xfId="3937" xr:uid="{00000000-0005-0000-0000-000055070000}"/>
    <cellStyle name="20% - Accent2 8 9" xfId="6054" xr:uid="{00000000-0005-0000-0000-000056070000}"/>
    <cellStyle name="20% - Accent2 9" xfId="1381" xr:uid="{00000000-0005-0000-0000-000057070000}"/>
    <cellStyle name="20% - Accent2 9 10" xfId="8109" xr:uid="{00000000-0005-0000-0000-000058070000}"/>
    <cellStyle name="20% - Accent2 9 2" xfId="1382" xr:uid="{00000000-0005-0000-0000-000059070000}"/>
    <cellStyle name="20% - Accent2 9 2 2" xfId="3945" xr:uid="{00000000-0005-0000-0000-00005A070000}"/>
    <cellStyle name="20% - Accent2 9 2 3" xfId="6062" xr:uid="{00000000-0005-0000-0000-00005B070000}"/>
    <cellStyle name="20% - Accent2 9 2 4" xfId="8110" xr:uid="{00000000-0005-0000-0000-00005C070000}"/>
    <cellStyle name="20% - Accent2 9 3" xfId="1383" xr:uid="{00000000-0005-0000-0000-00005D070000}"/>
    <cellStyle name="20% - Accent2 9 3 2" xfId="3946" xr:uid="{00000000-0005-0000-0000-00005E070000}"/>
    <cellStyle name="20% - Accent2 9 3 3" xfId="6063" xr:uid="{00000000-0005-0000-0000-00005F070000}"/>
    <cellStyle name="20% - Accent2 9 3 4" xfId="8111" xr:uid="{00000000-0005-0000-0000-000060070000}"/>
    <cellStyle name="20% - Accent2 9 4" xfId="1384" xr:uid="{00000000-0005-0000-0000-000061070000}"/>
    <cellStyle name="20% - Accent2 9 4 2" xfId="3947" xr:uid="{00000000-0005-0000-0000-000062070000}"/>
    <cellStyle name="20% - Accent2 9 4 3" xfId="6064" xr:uid="{00000000-0005-0000-0000-000063070000}"/>
    <cellStyle name="20% - Accent2 9 4 4" xfId="8112" xr:uid="{00000000-0005-0000-0000-000064070000}"/>
    <cellStyle name="20% - Accent2 9 5" xfId="1385" xr:uid="{00000000-0005-0000-0000-000065070000}"/>
    <cellStyle name="20% - Accent2 9 5 2" xfId="3948" xr:uid="{00000000-0005-0000-0000-000066070000}"/>
    <cellStyle name="20% - Accent2 9 5 3" xfId="6065" xr:uid="{00000000-0005-0000-0000-000067070000}"/>
    <cellStyle name="20% - Accent2 9 5 4" xfId="8113" xr:uid="{00000000-0005-0000-0000-000068070000}"/>
    <cellStyle name="20% - Accent2 9 6" xfId="1386" xr:uid="{00000000-0005-0000-0000-000069070000}"/>
    <cellStyle name="20% - Accent2 9 6 2" xfId="3949" xr:uid="{00000000-0005-0000-0000-00006A070000}"/>
    <cellStyle name="20% - Accent2 9 6 3" xfId="6066" xr:uid="{00000000-0005-0000-0000-00006B070000}"/>
    <cellStyle name="20% - Accent2 9 6 4" xfId="8114" xr:uid="{00000000-0005-0000-0000-00006C070000}"/>
    <cellStyle name="20% - Accent2 9 7" xfId="1387" xr:uid="{00000000-0005-0000-0000-00006D070000}"/>
    <cellStyle name="20% - Accent2 9 7 2" xfId="3950" xr:uid="{00000000-0005-0000-0000-00006E070000}"/>
    <cellStyle name="20% - Accent2 9 7 3" xfId="6067" xr:uid="{00000000-0005-0000-0000-00006F070000}"/>
    <cellStyle name="20% - Accent2 9 7 4" xfId="8115" xr:uid="{00000000-0005-0000-0000-000070070000}"/>
    <cellStyle name="20% - Accent2 9 8" xfId="3944" xr:uid="{00000000-0005-0000-0000-000071070000}"/>
    <cellStyle name="20% - Accent2 9 9" xfId="6061" xr:uid="{00000000-0005-0000-0000-000072070000}"/>
    <cellStyle name="20% - Accent3 10" xfId="1388" xr:uid="{00000000-0005-0000-0000-000073070000}"/>
    <cellStyle name="20% - Accent3 10 10" xfId="8116" xr:uid="{00000000-0005-0000-0000-000074070000}"/>
    <cellStyle name="20% - Accent3 10 2" xfId="1389" xr:uid="{00000000-0005-0000-0000-000075070000}"/>
    <cellStyle name="20% - Accent3 10 2 2" xfId="3952" xr:uid="{00000000-0005-0000-0000-000076070000}"/>
    <cellStyle name="20% - Accent3 10 2 3" xfId="6069" xr:uid="{00000000-0005-0000-0000-000077070000}"/>
    <cellStyle name="20% - Accent3 10 2 4" xfId="8117" xr:uid="{00000000-0005-0000-0000-000078070000}"/>
    <cellStyle name="20% - Accent3 10 3" xfId="1390" xr:uid="{00000000-0005-0000-0000-000079070000}"/>
    <cellStyle name="20% - Accent3 10 3 2" xfId="3953" xr:uid="{00000000-0005-0000-0000-00007A070000}"/>
    <cellStyle name="20% - Accent3 10 3 3" xfId="6070" xr:uid="{00000000-0005-0000-0000-00007B070000}"/>
    <cellStyle name="20% - Accent3 10 3 4" xfId="8118" xr:uid="{00000000-0005-0000-0000-00007C070000}"/>
    <cellStyle name="20% - Accent3 10 4" xfId="1391" xr:uid="{00000000-0005-0000-0000-00007D070000}"/>
    <cellStyle name="20% - Accent3 10 4 2" xfId="3954" xr:uid="{00000000-0005-0000-0000-00007E070000}"/>
    <cellStyle name="20% - Accent3 10 4 3" xfId="6071" xr:uid="{00000000-0005-0000-0000-00007F070000}"/>
    <cellStyle name="20% - Accent3 10 4 4" xfId="8119" xr:uid="{00000000-0005-0000-0000-000080070000}"/>
    <cellStyle name="20% - Accent3 10 5" xfId="1392" xr:uid="{00000000-0005-0000-0000-000081070000}"/>
    <cellStyle name="20% - Accent3 10 5 2" xfId="3955" xr:uid="{00000000-0005-0000-0000-000082070000}"/>
    <cellStyle name="20% - Accent3 10 5 3" xfId="6072" xr:uid="{00000000-0005-0000-0000-000083070000}"/>
    <cellStyle name="20% - Accent3 10 5 4" xfId="8120" xr:uid="{00000000-0005-0000-0000-000084070000}"/>
    <cellStyle name="20% - Accent3 10 6" xfId="1393" xr:uid="{00000000-0005-0000-0000-000085070000}"/>
    <cellStyle name="20% - Accent3 10 6 2" xfId="3956" xr:uid="{00000000-0005-0000-0000-000086070000}"/>
    <cellStyle name="20% - Accent3 10 6 3" xfId="6073" xr:uid="{00000000-0005-0000-0000-000087070000}"/>
    <cellStyle name="20% - Accent3 10 6 4" xfId="8121" xr:uid="{00000000-0005-0000-0000-000088070000}"/>
    <cellStyle name="20% - Accent3 10 7" xfId="1394" xr:uid="{00000000-0005-0000-0000-000089070000}"/>
    <cellStyle name="20% - Accent3 10 7 2" xfId="3957" xr:uid="{00000000-0005-0000-0000-00008A070000}"/>
    <cellStyle name="20% - Accent3 10 7 3" xfId="6074" xr:uid="{00000000-0005-0000-0000-00008B070000}"/>
    <cellStyle name="20% - Accent3 10 7 4" xfId="8122" xr:uid="{00000000-0005-0000-0000-00008C070000}"/>
    <cellStyle name="20% - Accent3 10 8" xfId="3951" xr:uid="{00000000-0005-0000-0000-00008D070000}"/>
    <cellStyle name="20% - Accent3 10 9" xfId="6068" xr:uid="{00000000-0005-0000-0000-00008E070000}"/>
    <cellStyle name="20% - Accent3 11" xfId="1395" xr:uid="{00000000-0005-0000-0000-00008F070000}"/>
    <cellStyle name="20% - Accent3 11 2" xfId="1396" xr:uid="{00000000-0005-0000-0000-000090070000}"/>
    <cellStyle name="20% - Accent3 11 2 2" xfId="3959" xr:uid="{00000000-0005-0000-0000-000091070000}"/>
    <cellStyle name="20% - Accent3 11 2 3" xfId="6076" xr:uid="{00000000-0005-0000-0000-000092070000}"/>
    <cellStyle name="20% - Accent3 11 2 4" xfId="8124" xr:uid="{00000000-0005-0000-0000-000093070000}"/>
    <cellStyle name="20% - Accent3 11 3" xfId="1397" xr:uid="{00000000-0005-0000-0000-000094070000}"/>
    <cellStyle name="20% - Accent3 11 3 2" xfId="3960" xr:uid="{00000000-0005-0000-0000-000095070000}"/>
    <cellStyle name="20% - Accent3 11 3 3" xfId="6077" xr:uid="{00000000-0005-0000-0000-000096070000}"/>
    <cellStyle name="20% - Accent3 11 3 4" xfId="8125" xr:uid="{00000000-0005-0000-0000-000097070000}"/>
    <cellStyle name="20% - Accent3 11 4" xfId="1398" xr:uid="{00000000-0005-0000-0000-000098070000}"/>
    <cellStyle name="20% - Accent3 11 4 2" xfId="3961" xr:uid="{00000000-0005-0000-0000-000099070000}"/>
    <cellStyle name="20% - Accent3 11 4 3" xfId="6078" xr:uid="{00000000-0005-0000-0000-00009A070000}"/>
    <cellStyle name="20% - Accent3 11 4 4" xfId="8126" xr:uid="{00000000-0005-0000-0000-00009B070000}"/>
    <cellStyle name="20% - Accent3 11 5" xfId="1399" xr:uid="{00000000-0005-0000-0000-00009C070000}"/>
    <cellStyle name="20% - Accent3 11 5 2" xfId="3962" xr:uid="{00000000-0005-0000-0000-00009D070000}"/>
    <cellStyle name="20% - Accent3 11 5 3" xfId="6079" xr:uid="{00000000-0005-0000-0000-00009E070000}"/>
    <cellStyle name="20% - Accent3 11 5 4" xfId="8127" xr:uid="{00000000-0005-0000-0000-00009F070000}"/>
    <cellStyle name="20% - Accent3 11 6" xfId="1400" xr:uid="{00000000-0005-0000-0000-0000A0070000}"/>
    <cellStyle name="20% - Accent3 11 6 2" xfId="3963" xr:uid="{00000000-0005-0000-0000-0000A1070000}"/>
    <cellStyle name="20% - Accent3 11 6 3" xfId="6080" xr:uid="{00000000-0005-0000-0000-0000A2070000}"/>
    <cellStyle name="20% - Accent3 11 6 4" xfId="8128" xr:uid="{00000000-0005-0000-0000-0000A3070000}"/>
    <cellStyle name="20% - Accent3 11 7" xfId="3958" xr:uid="{00000000-0005-0000-0000-0000A4070000}"/>
    <cellStyle name="20% - Accent3 11 8" xfId="6075" xr:uid="{00000000-0005-0000-0000-0000A5070000}"/>
    <cellStyle name="20% - Accent3 11 9" xfId="8123" xr:uid="{00000000-0005-0000-0000-0000A6070000}"/>
    <cellStyle name="20% - Accent3 12" xfId="1401" xr:uid="{00000000-0005-0000-0000-0000A7070000}"/>
    <cellStyle name="20% - Accent3 12 2" xfId="1402" xr:uid="{00000000-0005-0000-0000-0000A8070000}"/>
    <cellStyle name="20% - Accent3 12 2 2" xfId="3965" xr:uid="{00000000-0005-0000-0000-0000A9070000}"/>
    <cellStyle name="20% - Accent3 12 2 3" xfId="6082" xr:uid="{00000000-0005-0000-0000-0000AA070000}"/>
    <cellStyle name="20% - Accent3 12 2 4" xfId="8130" xr:uid="{00000000-0005-0000-0000-0000AB070000}"/>
    <cellStyle name="20% - Accent3 12 3" xfId="1403" xr:uid="{00000000-0005-0000-0000-0000AC070000}"/>
    <cellStyle name="20% - Accent3 12 3 2" xfId="3966" xr:uid="{00000000-0005-0000-0000-0000AD070000}"/>
    <cellStyle name="20% - Accent3 12 3 3" xfId="6083" xr:uid="{00000000-0005-0000-0000-0000AE070000}"/>
    <cellStyle name="20% - Accent3 12 3 4" xfId="8131" xr:uid="{00000000-0005-0000-0000-0000AF070000}"/>
    <cellStyle name="20% - Accent3 12 4" xfId="1404" xr:uid="{00000000-0005-0000-0000-0000B0070000}"/>
    <cellStyle name="20% - Accent3 12 4 2" xfId="3967" xr:uid="{00000000-0005-0000-0000-0000B1070000}"/>
    <cellStyle name="20% - Accent3 12 4 3" xfId="6084" xr:uid="{00000000-0005-0000-0000-0000B2070000}"/>
    <cellStyle name="20% - Accent3 12 4 4" xfId="8132" xr:uid="{00000000-0005-0000-0000-0000B3070000}"/>
    <cellStyle name="20% - Accent3 12 5" xfId="1405" xr:uid="{00000000-0005-0000-0000-0000B4070000}"/>
    <cellStyle name="20% - Accent3 12 5 2" xfId="3968" xr:uid="{00000000-0005-0000-0000-0000B5070000}"/>
    <cellStyle name="20% - Accent3 12 5 3" xfId="6085" xr:uid="{00000000-0005-0000-0000-0000B6070000}"/>
    <cellStyle name="20% - Accent3 12 5 4" xfId="8133" xr:uid="{00000000-0005-0000-0000-0000B7070000}"/>
    <cellStyle name="20% - Accent3 12 6" xfId="3964" xr:uid="{00000000-0005-0000-0000-0000B8070000}"/>
    <cellStyle name="20% - Accent3 12 7" xfId="6081" xr:uid="{00000000-0005-0000-0000-0000B9070000}"/>
    <cellStyle name="20% - Accent3 12 8" xfId="8129" xr:uid="{00000000-0005-0000-0000-0000BA070000}"/>
    <cellStyle name="20% - Accent3 13" xfId="1406" xr:uid="{00000000-0005-0000-0000-0000BB070000}"/>
    <cellStyle name="20% - Accent3 13 2" xfId="1407" xr:uid="{00000000-0005-0000-0000-0000BC070000}"/>
    <cellStyle name="20% - Accent3 13 2 2" xfId="3970" xr:uid="{00000000-0005-0000-0000-0000BD070000}"/>
    <cellStyle name="20% - Accent3 13 2 3" xfId="6087" xr:uid="{00000000-0005-0000-0000-0000BE070000}"/>
    <cellStyle name="20% - Accent3 13 2 4" xfId="8135" xr:uid="{00000000-0005-0000-0000-0000BF070000}"/>
    <cellStyle name="20% - Accent3 13 3" xfId="1408" xr:uid="{00000000-0005-0000-0000-0000C0070000}"/>
    <cellStyle name="20% - Accent3 13 3 2" xfId="3971" xr:uid="{00000000-0005-0000-0000-0000C1070000}"/>
    <cellStyle name="20% - Accent3 13 3 3" xfId="6088" xr:uid="{00000000-0005-0000-0000-0000C2070000}"/>
    <cellStyle name="20% - Accent3 13 3 4" xfId="8136" xr:uid="{00000000-0005-0000-0000-0000C3070000}"/>
    <cellStyle name="20% - Accent3 13 4" xfId="1409" xr:uid="{00000000-0005-0000-0000-0000C4070000}"/>
    <cellStyle name="20% - Accent3 13 4 2" xfId="3972" xr:uid="{00000000-0005-0000-0000-0000C5070000}"/>
    <cellStyle name="20% - Accent3 13 4 3" xfId="6089" xr:uid="{00000000-0005-0000-0000-0000C6070000}"/>
    <cellStyle name="20% - Accent3 13 4 4" xfId="8137" xr:uid="{00000000-0005-0000-0000-0000C7070000}"/>
    <cellStyle name="20% - Accent3 13 5" xfId="1410" xr:uid="{00000000-0005-0000-0000-0000C8070000}"/>
    <cellStyle name="20% - Accent3 13 5 2" xfId="3973" xr:uid="{00000000-0005-0000-0000-0000C9070000}"/>
    <cellStyle name="20% - Accent3 13 5 3" xfId="6090" xr:uid="{00000000-0005-0000-0000-0000CA070000}"/>
    <cellStyle name="20% - Accent3 13 5 4" xfId="8138" xr:uid="{00000000-0005-0000-0000-0000CB070000}"/>
    <cellStyle name="20% - Accent3 13 6" xfId="3969" xr:uid="{00000000-0005-0000-0000-0000CC070000}"/>
    <cellStyle name="20% - Accent3 13 7" xfId="6086" xr:uid="{00000000-0005-0000-0000-0000CD070000}"/>
    <cellStyle name="20% - Accent3 13 8" xfId="8134" xr:uid="{00000000-0005-0000-0000-0000CE070000}"/>
    <cellStyle name="20% - Accent3 14" xfId="1411" xr:uid="{00000000-0005-0000-0000-0000CF070000}"/>
    <cellStyle name="20% - Accent3 14 2" xfId="1412" xr:uid="{00000000-0005-0000-0000-0000D0070000}"/>
    <cellStyle name="20% - Accent3 14 2 2" xfId="3975" xr:uid="{00000000-0005-0000-0000-0000D1070000}"/>
    <cellStyle name="20% - Accent3 14 2 3" xfId="6092" xr:uid="{00000000-0005-0000-0000-0000D2070000}"/>
    <cellStyle name="20% - Accent3 14 2 4" xfId="8140" xr:uid="{00000000-0005-0000-0000-0000D3070000}"/>
    <cellStyle name="20% - Accent3 14 3" xfId="1413" xr:uid="{00000000-0005-0000-0000-0000D4070000}"/>
    <cellStyle name="20% - Accent3 14 3 2" xfId="3976" xr:uid="{00000000-0005-0000-0000-0000D5070000}"/>
    <cellStyle name="20% - Accent3 14 3 3" xfId="6093" xr:uid="{00000000-0005-0000-0000-0000D6070000}"/>
    <cellStyle name="20% - Accent3 14 3 4" xfId="8141" xr:uid="{00000000-0005-0000-0000-0000D7070000}"/>
    <cellStyle name="20% - Accent3 14 4" xfId="1414" xr:uid="{00000000-0005-0000-0000-0000D8070000}"/>
    <cellStyle name="20% - Accent3 14 4 2" xfId="3977" xr:uid="{00000000-0005-0000-0000-0000D9070000}"/>
    <cellStyle name="20% - Accent3 14 4 3" xfId="6094" xr:uid="{00000000-0005-0000-0000-0000DA070000}"/>
    <cellStyle name="20% - Accent3 14 4 4" xfId="8142" xr:uid="{00000000-0005-0000-0000-0000DB070000}"/>
    <cellStyle name="20% - Accent3 14 5" xfId="3974" xr:uid="{00000000-0005-0000-0000-0000DC070000}"/>
    <cellStyle name="20% - Accent3 14 6" xfId="6091" xr:uid="{00000000-0005-0000-0000-0000DD070000}"/>
    <cellStyle name="20% - Accent3 14 7" xfId="8139" xr:uid="{00000000-0005-0000-0000-0000DE070000}"/>
    <cellStyle name="20% - Accent3 15" xfId="1415" xr:uid="{00000000-0005-0000-0000-0000DF070000}"/>
    <cellStyle name="20% - Accent3 15 2" xfId="1416" xr:uid="{00000000-0005-0000-0000-0000E0070000}"/>
    <cellStyle name="20% - Accent3 15 2 2" xfId="3979" xr:uid="{00000000-0005-0000-0000-0000E1070000}"/>
    <cellStyle name="20% - Accent3 15 2 3" xfId="6096" xr:uid="{00000000-0005-0000-0000-0000E2070000}"/>
    <cellStyle name="20% - Accent3 15 2 4" xfId="8144" xr:uid="{00000000-0005-0000-0000-0000E3070000}"/>
    <cellStyle name="20% - Accent3 15 3" xfId="1417" xr:uid="{00000000-0005-0000-0000-0000E4070000}"/>
    <cellStyle name="20% - Accent3 15 3 2" xfId="3980" xr:uid="{00000000-0005-0000-0000-0000E5070000}"/>
    <cellStyle name="20% - Accent3 15 3 3" xfId="6097" xr:uid="{00000000-0005-0000-0000-0000E6070000}"/>
    <cellStyle name="20% - Accent3 15 3 4" xfId="8145" xr:uid="{00000000-0005-0000-0000-0000E7070000}"/>
    <cellStyle name="20% - Accent3 15 4" xfId="1418" xr:uid="{00000000-0005-0000-0000-0000E8070000}"/>
    <cellStyle name="20% - Accent3 15 4 2" xfId="3981" xr:uid="{00000000-0005-0000-0000-0000E9070000}"/>
    <cellStyle name="20% - Accent3 15 4 3" xfId="6098" xr:uid="{00000000-0005-0000-0000-0000EA070000}"/>
    <cellStyle name="20% - Accent3 15 4 4" xfId="8146" xr:uid="{00000000-0005-0000-0000-0000EB070000}"/>
    <cellStyle name="20% - Accent3 15 5" xfId="3978" xr:uid="{00000000-0005-0000-0000-0000EC070000}"/>
    <cellStyle name="20% - Accent3 15 6" xfId="6095" xr:uid="{00000000-0005-0000-0000-0000ED070000}"/>
    <cellStyle name="20% - Accent3 15 7" xfId="8143" xr:uid="{00000000-0005-0000-0000-0000EE070000}"/>
    <cellStyle name="20% - Accent3 16" xfId="1419" xr:uid="{00000000-0005-0000-0000-0000EF070000}"/>
    <cellStyle name="20% - Accent3 16 2" xfId="1420" xr:uid="{00000000-0005-0000-0000-0000F0070000}"/>
    <cellStyle name="20% - Accent3 16 2 2" xfId="3983" xr:uid="{00000000-0005-0000-0000-0000F1070000}"/>
    <cellStyle name="20% - Accent3 16 2 3" xfId="6100" xr:uid="{00000000-0005-0000-0000-0000F2070000}"/>
    <cellStyle name="20% - Accent3 16 2 4" xfId="8148" xr:uid="{00000000-0005-0000-0000-0000F3070000}"/>
    <cellStyle name="20% - Accent3 16 3" xfId="1421" xr:uid="{00000000-0005-0000-0000-0000F4070000}"/>
    <cellStyle name="20% - Accent3 16 3 2" xfId="3984" xr:uid="{00000000-0005-0000-0000-0000F5070000}"/>
    <cellStyle name="20% - Accent3 16 3 3" xfId="6101" xr:uid="{00000000-0005-0000-0000-0000F6070000}"/>
    <cellStyle name="20% - Accent3 16 3 4" xfId="8149" xr:uid="{00000000-0005-0000-0000-0000F7070000}"/>
    <cellStyle name="20% - Accent3 16 4" xfId="3982" xr:uid="{00000000-0005-0000-0000-0000F8070000}"/>
    <cellStyle name="20% - Accent3 16 5" xfId="6099" xr:uid="{00000000-0005-0000-0000-0000F9070000}"/>
    <cellStyle name="20% - Accent3 16 6" xfId="8147" xr:uid="{00000000-0005-0000-0000-0000FA070000}"/>
    <cellStyle name="20% - Accent3 17" xfId="1422" xr:uid="{00000000-0005-0000-0000-0000FB070000}"/>
    <cellStyle name="20% - Accent3 17 2" xfId="1423" xr:uid="{00000000-0005-0000-0000-0000FC070000}"/>
    <cellStyle name="20% - Accent3 17 2 2" xfId="3986" xr:uid="{00000000-0005-0000-0000-0000FD070000}"/>
    <cellStyle name="20% - Accent3 17 2 3" xfId="6103" xr:uid="{00000000-0005-0000-0000-0000FE070000}"/>
    <cellStyle name="20% - Accent3 17 2 4" xfId="8151" xr:uid="{00000000-0005-0000-0000-0000FF070000}"/>
    <cellStyle name="20% - Accent3 17 3" xfId="1424" xr:uid="{00000000-0005-0000-0000-000000080000}"/>
    <cellStyle name="20% - Accent3 17 3 2" xfId="3987" xr:uid="{00000000-0005-0000-0000-000001080000}"/>
    <cellStyle name="20% - Accent3 17 3 3" xfId="6104" xr:uid="{00000000-0005-0000-0000-000002080000}"/>
    <cellStyle name="20% - Accent3 17 3 4" xfId="8152" xr:uid="{00000000-0005-0000-0000-000003080000}"/>
    <cellStyle name="20% - Accent3 17 4" xfId="3985" xr:uid="{00000000-0005-0000-0000-000004080000}"/>
    <cellStyle name="20% - Accent3 17 5" xfId="6102" xr:uid="{00000000-0005-0000-0000-000005080000}"/>
    <cellStyle name="20% - Accent3 17 6" xfId="8150" xr:uid="{00000000-0005-0000-0000-000006080000}"/>
    <cellStyle name="20% - Accent3 18" xfId="1425" xr:uid="{00000000-0005-0000-0000-000007080000}"/>
    <cellStyle name="20% - Accent3 18 2" xfId="1426" xr:uid="{00000000-0005-0000-0000-000008080000}"/>
    <cellStyle name="20% - Accent3 18 2 2" xfId="3989" xr:uid="{00000000-0005-0000-0000-000009080000}"/>
    <cellStyle name="20% - Accent3 18 2 3" xfId="6106" xr:uid="{00000000-0005-0000-0000-00000A080000}"/>
    <cellStyle name="20% - Accent3 18 2 4" xfId="8154" xr:uid="{00000000-0005-0000-0000-00000B080000}"/>
    <cellStyle name="20% - Accent3 18 3" xfId="1427" xr:uid="{00000000-0005-0000-0000-00000C080000}"/>
    <cellStyle name="20% - Accent3 18 3 2" xfId="3990" xr:uid="{00000000-0005-0000-0000-00000D080000}"/>
    <cellStyle name="20% - Accent3 18 3 3" xfId="6107" xr:uid="{00000000-0005-0000-0000-00000E080000}"/>
    <cellStyle name="20% - Accent3 18 3 4" xfId="8155" xr:uid="{00000000-0005-0000-0000-00000F080000}"/>
    <cellStyle name="20% - Accent3 18 4" xfId="3988" xr:uid="{00000000-0005-0000-0000-000010080000}"/>
    <cellStyle name="20% - Accent3 18 5" xfId="6105" xr:uid="{00000000-0005-0000-0000-000011080000}"/>
    <cellStyle name="20% - Accent3 18 6" xfId="8153" xr:uid="{00000000-0005-0000-0000-000012080000}"/>
    <cellStyle name="20% - Accent3 19" xfId="1428" xr:uid="{00000000-0005-0000-0000-000013080000}"/>
    <cellStyle name="20% - Accent3 19 2" xfId="1429" xr:uid="{00000000-0005-0000-0000-000014080000}"/>
    <cellStyle name="20% - Accent3 19 2 2" xfId="3992" xr:uid="{00000000-0005-0000-0000-000015080000}"/>
    <cellStyle name="20% - Accent3 19 2 3" xfId="6109" xr:uid="{00000000-0005-0000-0000-000016080000}"/>
    <cellStyle name="20% - Accent3 19 2 4" xfId="8157" xr:uid="{00000000-0005-0000-0000-000017080000}"/>
    <cellStyle name="20% - Accent3 19 3" xfId="1430" xr:uid="{00000000-0005-0000-0000-000018080000}"/>
    <cellStyle name="20% - Accent3 19 3 2" xfId="3993" xr:uid="{00000000-0005-0000-0000-000019080000}"/>
    <cellStyle name="20% - Accent3 19 3 3" xfId="6110" xr:uid="{00000000-0005-0000-0000-00001A080000}"/>
    <cellStyle name="20% - Accent3 19 3 4" xfId="8158" xr:uid="{00000000-0005-0000-0000-00001B080000}"/>
    <cellStyle name="20% - Accent3 19 4" xfId="3991" xr:uid="{00000000-0005-0000-0000-00001C080000}"/>
    <cellStyle name="20% - Accent3 19 5" xfId="6108" xr:uid="{00000000-0005-0000-0000-00001D080000}"/>
    <cellStyle name="20% - Accent3 19 6" xfId="8156" xr:uid="{00000000-0005-0000-0000-00001E080000}"/>
    <cellStyle name="20% - Accent3 2" xfId="1431" xr:uid="{00000000-0005-0000-0000-00001F080000}"/>
    <cellStyle name="20% - Accent3 2 2" xfId="1432" xr:uid="{00000000-0005-0000-0000-000020080000}"/>
    <cellStyle name="20% - Accent3 2 2 2" xfId="1433" xr:uid="{00000000-0005-0000-0000-000021080000}"/>
    <cellStyle name="20% - Accent3 2 2 2 2" xfId="3994" xr:uid="{00000000-0005-0000-0000-000022080000}"/>
    <cellStyle name="20% - Accent3 2 2 2 3" xfId="6111" xr:uid="{00000000-0005-0000-0000-000023080000}"/>
    <cellStyle name="20% - Accent3 2 2 2 4" xfId="8159" xr:uid="{00000000-0005-0000-0000-000024080000}"/>
    <cellStyle name="20% - Accent3 2 3" xfId="1434" xr:uid="{00000000-0005-0000-0000-000025080000}"/>
    <cellStyle name="20% - Accent3 2 3 2" xfId="3995" xr:uid="{00000000-0005-0000-0000-000026080000}"/>
    <cellStyle name="20% - Accent3 2 3 3" xfId="6112" xr:uid="{00000000-0005-0000-0000-000027080000}"/>
    <cellStyle name="20% - Accent3 2 3 4" xfId="8160" xr:uid="{00000000-0005-0000-0000-000028080000}"/>
    <cellStyle name="20% - Accent3 2 4" xfId="1435" xr:uid="{00000000-0005-0000-0000-000029080000}"/>
    <cellStyle name="20% - Accent3 2 4 2" xfId="3996" xr:uid="{00000000-0005-0000-0000-00002A080000}"/>
    <cellStyle name="20% - Accent3 2 4 3" xfId="6113" xr:uid="{00000000-0005-0000-0000-00002B080000}"/>
    <cellStyle name="20% - Accent3 2 4 4" xfId="8161" xr:uid="{00000000-0005-0000-0000-00002C080000}"/>
    <cellStyle name="20% - Accent3 2 5" xfId="1436" xr:uid="{00000000-0005-0000-0000-00002D080000}"/>
    <cellStyle name="20% - Accent3 2 5 2" xfId="3997" xr:uid="{00000000-0005-0000-0000-00002E080000}"/>
    <cellStyle name="20% - Accent3 2 5 3" xfId="6114" xr:uid="{00000000-0005-0000-0000-00002F080000}"/>
    <cellStyle name="20% - Accent3 2 5 4" xfId="8162" xr:uid="{00000000-0005-0000-0000-000030080000}"/>
    <cellStyle name="20% - Accent3 2 6" xfId="1437" xr:uid="{00000000-0005-0000-0000-000031080000}"/>
    <cellStyle name="20% - Accent3 2 6 2" xfId="3998" xr:uid="{00000000-0005-0000-0000-000032080000}"/>
    <cellStyle name="20% - Accent3 2 6 3" xfId="6115" xr:uid="{00000000-0005-0000-0000-000033080000}"/>
    <cellStyle name="20% - Accent3 2 6 4" xfId="8163" xr:uid="{00000000-0005-0000-0000-000034080000}"/>
    <cellStyle name="20% - Accent3 2 7" xfId="1438" xr:uid="{00000000-0005-0000-0000-000035080000}"/>
    <cellStyle name="20% - Accent3 2 7 2" xfId="3999" xr:uid="{00000000-0005-0000-0000-000036080000}"/>
    <cellStyle name="20% - Accent3 2 7 3" xfId="6116" xr:uid="{00000000-0005-0000-0000-000037080000}"/>
    <cellStyle name="20% - Accent3 2 7 4" xfId="8164" xr:uid="{00000000-0005-0000-0000-000038080000}"/>
    <cellStyle name="20% - Accent3 2 8" xfId="1439" xr:uid="{00000000-0005-0000-0000-000039080000}"/>
    <cellStyle name="20% - Accent3 2 8 2" xfId="4000" xr:uid="{00000000-0005-0000-0000-00003A080000}"/>
    <cellStyle name="20% - Accent3 2 8 3" xfId="6117" xr:uid="{00000000-0005-0000-0000-00003B080000}"/>
    <cellStyle name="20% - Accent3 2 8 4" xfId="8165" xr:uid="{00000000-0005-0000-0000-00003C080000}"/>
    <cellStyle name="20% - Accent3 2 9" xfId="1440" xr:uid="{00000000-0005-0000-0000-00003D080000}"/>
    <cellStyle name="20% - Accent3 20" xfId="1441" xr:uid="{00000000-0005-0000-0000-00003E080000}"/>
    <cellStyle name="20% - Accent3 20 2" xfId="1442" xr:uid="{00000000-0005-0000-0000-00003F080000}"/>
    <cellStyle name="20% - Accent3 20 2 2" xfId="4002" xr:uid="{00000000-0005-0000-0000-000040080000}"/>
    <cellStyle name="20% - Accent3 20 2 3" xfId="6119" xr:uid="{00000000-0005-0000-0000-000041080000}"/>
    <cellStyle name="20% - Accent3 20 2 4" xfId="8167" xr:uid="{00000000-0005-0000-0000-000042080000}"/>
    <cellStyle name="20% - Accent3 20 3" xfId="1443" xr:uid="{00000000-0005-0000-0000-000043080000}"/>
    <cellStyle name="20% - Accent3 20 3 2" xfId="4003" xr:uid="{00000000-0005-0000-0000-000044080000}"/>
    <cellStyle name="20% - Accent3 20 3 3" xfId="6120" xr:uid="{00000000-0005-0000-0000-000045080000}"/>
    <cellStyle name="20% - Accent3 20 3 4" xfId="8168" xr:uid="{00000000-0005-0000-0000-000046080000}"/>
    <cellStyle name="20% - Accent3 20 4" xfId="4001" xr:uid="{00000000-0005-0000-0000-000047080000}"/>
    <cellStyle name="20% - Accent3 20 5" xfId="6118" xr:uid="{00000000-0005-0000-0000-000048080000}"/>
    <cellStyle name="20% - Accent3 20 6" xfId="8166" xr:uid="{00000000-0005-0000-0000-000049080000}"/>
    <cellStyle name="20% - Accent3 21" xfId="1444" xr:uid="{00000000-0005-0000-0000-00004A080000}"/>
    <cellStyle name="20% - Accent3 21 2" xfId="1445" xr:uid="{00000000-0005-0000-0000-00004B080000}"/>
    <cellStyle name="20% - Accent3 21 2 2" xfId="4005" xr:uid="{00000000-0005-0000-0000-00004C080000}"/>
    <cellStyle name="20% - Accent3 21 2 3" xfId="6122" xr:uid="{00000000-0005-0000-0000-00004D080000}"/>
    <cellStyle name="20% - Accent3 21 2 4" xfId="8170" xr:uid="{00000000-0005-0000-0000-00004E080000}"/>
    <cellStyle name="20% - Accent3 21 3" xfId="1446" xr:uid="{00000000-0005-0000-0000-00004F080000}"/>
    <cellStyle name="20% - Accent3 21 3 2" xfId="4006" xr:uid="{00000000-0005-0000-0000-000050080000}"/>
    <cellStyle name="20% - Accent3 21 3 3" xfId="6123" xr:uid="{00000000-0005-0000-0000-000051080000}"/>
    <cellStyle name="20% - Accent3 21 3 4" xfId="8171" xr:uid="{00000000-0005-0000-0000-000052080000}"/>
    <cellStyle name="20% - Accent3 21 4" xfId="4004" xr:uid="{00000000-0005-0000-0000-000053080000}"/>
    <cellStyle name="20% - Accent3 21 5" xfId="6121" xr:uid="{00000000-0005-0000-0000-000054080000}"/>
    <cellStyle name="20% - Accent3 21 6" xfId="8169" xr:uid="{00000000-0005-0000-0000-000055080000}"/>
    <cellStyle name="20% - Accent3 22" xfId="1447" xr:uid="{00000000-0005-0000-0000-000056080000}"/>
    <cellStyle name="20% - Accent3 22 2" xfId="1448" xr:uid="{00000000-0005-0000-0000-000057080000}"/>
    <cellStyle name="20% - Accent3 22 2 2" xfId="4008" xr:uid="{00000000-0005-0000-0000-000058080000}"/>
    <cellStyle name="20% - Accent3 22 2 3" xfId="6125" xr:uid="{00000000-0005-0000-0000-000059080000}"/>
    <cellStyle name="20% - Accent3 22 2 4" xfId="8173" xr:uid="{00000000-0005-0000-0000-00005A080000}"/>
    <cellStyle name="20% - Accent3 22 3" xfId="1449" xr:uid="{00000000-0005-0000-0000-00005B080000}"/>
    <cellStyle name="20% - Accent3 22 3 2" xfId="4009" xr:uid="{00000000-0005-0000-0000-00005C080000}"/>
    <cellStyle name="20% - Accent3 22 3 3" xfId="6126" xr:uid="{00000000-0005-0000-0000-00005D080000}"/>
    <cellStyle name="20% - Accent3 22 3 4" xfId="8174" xr:uid="{00000000-0005-0000-0000-00005E080000}"/>
    <cellStyle name="20% - Accent3 22 4" xfId="4007" xr:uid="{00000000-0005-0000-0000-00005F080000}"/>
    <cellStyle name="20% - Accent3 22 5" xfId="6124" xr:uid="{00000000-0005-0000-0000-000060080000}"/>
    <cellStyle name="20% - Accent3 22 6" xfId="8172" xr:uid="{00000000-0005-0000-0000-000061080000}"/>
    <cellStyle name="20% - Accent3 23" xfId="1450" xr:uid="{00000000-0005-0000-0000-000062080000}"/>
    <cellStyle name="20% - Accent3 23 2" xfId="1451" xr:uid="{00000000-0005-0000-0000-000063080000}"/>
    <cellStyle name="20% - Accent3 23 2 2" xfId="4011" xr:uid="{00000000-0005-0000-0000-000064080000}"/>
    <cellStyle name="20% - Accent3 23 2 3" xfId="6128" xr:uid="{00000000-0005-0000-0000-000065080000}"/>
    <cellStyle name="20% - Accent3 23 2 4" xfId="8176" xr:uid="{00000000-0005-0000-0000-000066080000}"/>
    <cellStyle name="20% - Accent3 23 3" xfId="4010" xr:uid="{00000000-0005-0000-0000-000067080000}"/>
    <cellStyle name="20% - Accent3 23 4" xfId="6127" xr:uid="{00000000-0005-0000-0000-000068080000}"/>
    <cellStyle name="20% - Accent3 23 5" xfId="8175" xr:uid="{00000000-0005-0000-0000-000069080000}"/>
    <cellStyle name="20% - Accent3 24" xfId="1452" xr:uid="{00000000-0005-0000-0000-00006A080000}"/>
    <cellStyle name="20% - Accent3 24 2" xfId="1453" xr:uid="{00000000-0005-0000-0000-00006B080000}"/>
    <cellStyle name="20% - Accent3 24 2 2" xfId="4013" xr:uid="{00000000-0005-0000-0000-00006C080000}"/>
    <cellStyle name="20% - Accent3 24 2 3" xfId="6130" xr:uid="{00000000-0005-0000-0000-00006D080000}"/>
    <cellStyle name="20% - Accent3 24 2 4" xfId="8178" xr:uid="{00000000-0005-0000-0000-00006E080000}"/>
    <cellStyle name="20% - Accent3 24 3" xfId="4012" xr:uid="{00000000-0005-0000-0000-00006F080000}"/>
    <cellStyle name="20% - Accent3 24 4" xfId="6129" xr:uid="{00000000-0005-0000-0000-000070080000}"/>
    <cellStyle name="20% - Accent3 24 5" xfId="8177" xr:uid="{00000000-0005-0000-0000-000071080000}"/>
    <cellStyle name="20% - Accent3 25" xfId="1454" xr:uid="{00000000-0005-0000-0000-000072080000}"/>
    <cellStyle name="20% - Accent3 25 2" xfId="1455" xr:uid="{00000000-0005-0000-0000-000073080000}"/>
    <cellStyle name="20% - Accent3 25 2 2" xfId="4015" xr:uid="{00000000-0005-0000-0000-000074080000}"/>
    <cellStyle name="20% - Accent3 25 2 3" xfId="6132" xr:uid="{00000000-0005-0000-0000-000075080000}"/>
    <cellStyle name="20% - Accent3 25 2 4" xfId="8180" xr:uid="{00000000-0005-0000-0000-000076080000}"/>
    <cellStyle name="20% - Accent3 25 3" xfId="4014" xr:uid="{00000000-0005-0000-0000-000077080000}"/>
    <cellStyle name="20% - Accent3 25 4" xfId="6131" xr:uid="{00000000-0005-0000-0000-000078080000}"/>
    <cellStyle name="20% - Accent3 25 5" xfId="8179" xr:uid="{00000000-0005-0000-0000-000079080000}"/>
    <cellStyle name="20% - Accent3 26" xfId="1456" xr:uid="{00000000-0005-0000-0000-00007A080000}"/>
    <cellStyle name="20% - Accent3 26 2" xfId="1457" xr:uid="{00000000-0005-0000-0000-00007B080000}"/>
    <cellStyle name="20% - Accent3 26 2 2" xfId="4017" xr:uid="{00000000-0005-0000-0000-00007C080000}"/>
    <cellStyle name="20% - Accent3 26 2 3" xfId="6134" xr:uid="{00000000-0005-0000-0000-00007D080000}"/>
    <cellStyle name="20% - Accent3 26 2 4" xfId="8182" xr:uid="{00000000-0005-0000-0000-00007E080000}"/>
    <cellStyle name="20% - Accent3 26 3" xfId="4016" xr:uid="{00000000-0005-0000-0000-00007F080000}"/>
    <cellStyle name="20% - Accent3 26 4" xfId="6133" xr:uid="{00000000-0005-0000-0000-000080080000}"/>
    <cellStyle name="20% - Accent3 26 5" xfId="8181" xr:uid="{00000000-0005-0000-0000-000081080000}"/>
    <cellStyle name="20% - Accent3 27" xfId="1458" xr:uid="{00000000-0005-0000-0000-000082080000}"/>
    <cellStyle name="20% - Accent3 27 2" xfId="1459" xr:uid="{00000000-0005-0000-0000-000083080000}"/>
    <cellStyle name="20% - Accent3 27 2 2" xfId="4019" xr:uid="{00000000-0005-0000-0000-000084080000}"/>
    <cellStyle name="20% - Accent3 27 2 3" xfId="6136" xr:uid="{00000000-0005-0000-0000-000085080000}"/>
    <cellStyle name="20% - Accent3 27 2 4" xfId="8184" xr:uid="{00000000-0005-0000-0000-000086080000}"/>
    <cellStyle name="20% - Accent3 27 3" xfId="4018" xr:uid="{00000000-0005-0000-0000-000087080000}"/>
    <cellStyle name="20% - Accent3 27 4" xfId="6135" xr:uid="{00000000-0005-0000-0000-000088080000}"/>
    <cellStyle name="20% - Accent3 27 5" xfId="8183" xr:uid="{00000000-0005-0000-0000-000089080000}"/>
    <cellStyle name="20% - Accent3 28" xfId="1460" xr:uid="{00000000-0005-0000-0000-00008A080000}"/>
    <cellStyle name="20% - Accent3 28 2" xfId="1461" xr:uid="{00000000-0005-0000-0000-00008B080000}"/>
    <cellStyle name="20% - Accent3 28 2 2" xfId="4021" xr:uid="{00000000-0005-0000-0000-00008C080000}"/>
    <cellStyle name="20% - Accent3 28 2 3" xfId="6138" xr:uid="{00000000-0005-0000-0000-00008D080000}"/>
    <cellStyle name="20% - Accent3 28 2 4" xfId="8186" xr:uid="{00000000-0005-0000-0000-00008E080000}"/>
    <cellStyle name="20% - Accent3 28 3" xfId="4020" xr:uid="{00000000-0005-0000-0000-00008F080000}"/>
    <cellStyle name="20% - Accent3 28 4" xfId="6137" xr:uid="{00000000-0005-0000-0000-000090080000}"/>
    <cellStyle name="20% - Accent3 28 5" xfId="8185" xr:uid="{00000000-0005-0000-0000-000091080000}"/>
    <cellStyle name="20% - Accent3 29" xfId="1462" xr:uid="{00000000-0005-0000-0000-000092080000}"/>
    <cellStyle name="20% - Accent3 29 2" xfId="1463" xr:uid="{00000000-0005-0000-0000-000093080000}"/>
    <cellStyle name="20% - Accent3 29 2 2" xfId="4023" xr:uid="{00000000-0005-0000-0000-000094080000}"/>
    <cellStyle name="20% - Accent3 29 2 3" xfId="6140" xr:uid="{00000000-0005-0000-0000-000095080000}"/>
    <cellStyle name="20% - Accent3 29 2 4" xfId="8188" xr:uid="{00000000-0005-0000-0000-000096080000}"/>
    <cellStyle name="20% - Accent3 29 3" xfId="4022" xr:uid="{00000000-0005-0000-0000-000097080000}"/>
    <cellStyle name="20% - Accent3 29 4" xfId="6139" xr:uid="{00000000-0005-0000-0000-000098080000}"/>
    <cellStyle name="20% - Accent3 29 5" xfId="8187" xr:uid="{00000000-0005-0000-0000-000099080000}"/>
    <cellStyle name="20% - Accent3 3" xfId="1464" xr:uid="{00000000-0005-0000-0000-00009A080000}"/>
    <cellStyle name="20% - Accent3 3 2" xfId="1465" xr:uid="{00000000-0005-0000-0000-00009B080000}"/>
    <cellStyle name="20% - Accent3 3 2 2" xfId="4024" xr:uid="{00000000-0005-0000-0000-00009C080000}"/>
    <cellStyle name="20% - Accent3 3 2 3" xfId="6141" xr:uid="{00000000-0005-0000-0000-00009D080000}"/>
    <cellStyle name="20% - Accent3 3 2 4" xfId="8189" xr:uid="{00000000-0005-0000-0000-00009E080000}"/>
    <cellStyle name="20% - Accent3 3 3" xfId="1466" xr:uid="{00000000-0005-0000-0000-00009F080000}"/>
    <cellStyle name="20% - Accent3 3 3 2" xfId="4025" xr:uid="{00000000-0005-0000-0000-0000A0080000}"/>
    <cellStyle name="20% - Accent3 3 3 3" xfId="6142" xr:uid="{00000000-0005-0000-0000-0000A1080000}"/>
    <cellStyle name="20% - Accent3 3 3 4" xfId="8190" xr:uid="{00000000-0005-0000-0000-0000A2080000}"/>
    <cellStyle name="20% - Accent3 3 4" xfId="1467" xr:uid="{00000000-0005-0000-0000-0000A3080000}"/>
    <cellStyle name="20% - Accent3 3 4 2" xfId="4026" xr:uid="{00000000-0005-0000-0000-0000A4080000}"/>
    <cellStyle name="20% - Accent3 3 4 3" xfId="6143" xr:uid="{00000000-0005-0000-0000-0000A5080000}"/>
    <cellStyle name="20% - Accent3 3 4 4" xfId="8191" xr:uid="{00000000-0005-0000-0000-0000A6080000}"/>
    <cellStyle name="20% - Accent3 3 5" xfId="1468" xr:uid="{00000000-0005-0000-0000-0000A7080000}"/>
    <cellStyle name="20% - Accent3 3 5 2" xfId="4027" xr:uid="{00000000-0005-0000-0000-0000A8080000}"/>
    <cellStyle name="20% - Accent3 3 5 3" xfId="6144" xr:uid="{00000000-0005-0000-0000-0000A9080000}"/>
    <cellStyle name="20% - Accent3 3 5 4" xfId="8192" xr:uid="{00000000-0005-0000-0000-0000AA080000}"/>
    <cellStyle name="20% - Accent3 3 6" xfId="1469" xr:uid="{00000000-0005-0000-0000-0000AB080000}"/>
    <cellStyle name="20% - Accent3 3 6 2" xfId="4028" xr:uid="{00000000-0005-0000-0000-0000AC080000}"/>
    <cellStyle name="20% - Accent3 3 6 3" xfId="6145" xr:uid="{00000000-0005-0000-0000-0000AD080000}"/>
    <cellStyle name="20% - Accent3 3 6 4" xfId="8193" xr:uid="{00000000-0005-0000-0000-0000AE080000}"/>
    <cellStyle name="20% - Accent3 3 7" xfId="1470" xr:uid="{00000000-0005-0000-0000-0000AF080000}"/>
    <cellStyle name="20% - Accent3 3 7 2" xfId="4029" xr:uid="{00000000-0005-0000-0000-0000B0080000}"/>
    <cellStyle name="20% - Accent3 3 7 3" xfId="6146" xr:uid="{00000000-0005-0000-0000-0000B1080000}"/>
    <cellStyle name="20% - Accent3 3 7 4" xfId="8194" xr:uid="{00000000-0005-0000-0000-0000B2080000}"/>
    <cellStyle name="20% - Accent3 30" xfId="1471" xr:uid="{00000000-0005-0000-0000-0000B3080000}"/>
    <cellStyle name="20% - Accent3 30 2" xfId="1472" xr:uid="{00000000-0005-0000-0000-0000B4080000}"/>
    <cellStyle name="20% - Accent3 30 2 2" xfId="4031" xr:uid="{00000000-0005-0000-0000-0000B5080000}"/>
    <cellStyle name="20% - Accent3 30 2 3" xfId="6148" xr:uid="{00000000-0005-0000-0000-0000B6080000}"/>
    <cellStyle name="20% - Accent3 30 2 4" xfId="8196" xr:uid="{00000000-0005-0000-0000-0000B7080000}"/>
    <cellStyle name="20% - Accent3 30 3" xfId="4030" xr:uid="{00000000-0005-0000-0000-0000B8080000}"/>
    <cellStyle name="20% - Accent3 30 4" xfId="6147" xr:uid="{00000000-0005-0000-0000-0000B9080000}"/>
    <cellStyle name="20% - Accent3 30 5" xfId="8195" xr:uid="{00000000-0005-0000-0000-0000BA080000}"/>
    <cellStyle name="20% - Accent3 31" xfId="1473" xr:uid="{00000000-0005-0000-0000-0000BB080000}"/>
    <cellStyle name="20% - Accent3 31 2" xfId="1474" xr:uid="{00000000-0005-0000-0000-0000BC080000}"/>
    <cellStyle name="20% - Accent3 31 2 2" xfId="4033" xr:uid="{00000000-0005-0000-0000-0000BD080000}"/>
    <cellStyle name="20% - Accent3 31 2 3" xfId="6150" xr:uid="{00000000-0005-0000-0000-0000BE080000}"/>
    <cellStyle name="20% - Accent3 31 2 4" xfId="8198" xr:uid="{00000000-0005-0000-0000-0000BF080000}"/>
    <cellStyle name="20% - Accent3 31 3" xfId="4032" xr:uid="{00000000-0005-0000-0000-0000C0080000}"/>
    <cellStyle name="20% - Accent3 31 4" xfId="6149" xr:uid="{00000000-0005-0000-0000-0000C1080000}"/>
    <cellStyle name="20% - Accent3 31 5" xfId="8197" xr:uid="{00000000-0005-0000-0000-0000C2080000}"/>
    <cellStyle name="20% - Accent3 32" xfId="1475" xr:uid="{00000000-0005-0000-0000-0000C3080000}"/>
    <cellStyle name="20% - Accent3 32 2" xfId="1476" xr:uid="{00000000-0005-0000-0000-0000C4080000}"/>
    <cellStyle name="20% - Accent3 32 2 2" xfId="4035" xr:uid="{00000000-0005-0000-0000-0000C5080000}"/>
    <cellStyle name="20% - Accent3 32 2 3" xfId="6152" xr:uid="{00000000-0005-0000-0000-0000C6080000}"/>
    <cellStyle name="20% - Accent3 32 2 4" xfId="8200" xr:uid="{00000000-0005-0000-0000-0000C7080000}"/>
    <cellStyle name="20% - Accent3 32 3" xfId="4034" xr:uid="{00000000-0005-0000-0000-0000C8080000}"/>
    <cellStyle name="20% - Accent3 32 4" xfId="6151" xr:uid="{00000000-0005-0000-0000-0000C9080000}"/>
    <cellStyle name="20% - Accent3 32 5" xfId="8199" xr:uid="{00000000-0005-0000-0000-0000CA080000}"/>
    <cellStyle name="20% - Accent3 33" xfId="1477" xr:uid="{00000000-0005-0000-0000-0000CB080000}"/>
    <cellStyle name="20% - Accent3 33 2" xfId="4036" xr:uid="{00000000-0005-0000-0000-0000CC080000}"/>
    <cellStyle name="20% - Accent3 33 3" xfId="6153" xr:uid="{00000000-0005-0000-0000-0000CD080000}"/>
    <cellStyle name="20% - Accent3 33 4" xfId="8201" xr:uid="{00000000-0005-0000-0000-0000CE080000}"/>
    <cellStyle name="20% - Accent3 34" xfId="1478" xr:uid="{00000000-0005-0000-0000-0000CF080000}"/>
    <cellStyle name="20% - Accent3 34 2" xfId="4037" xr:uid="{00000000-0005-0000-0000-0000D0080000}"/>
    <cellStyle name="20% - Accent3 34 3" xfId="6154" xr:uid="{00000000-0005-0000-0000-0000D1080000}"/>
    <cellStyle name="20% - Accent3 34 4" xfId="8202" xr:uid="{00000000-0005-0000-0000-0000D2080000}"/>
    <cellStyle name="20% - Accent3 35" xfId="1479" xr:uid="{00000000-0005-0000-0000-0000D3080000}"/>
    <cellStyle name="20% - Accent3 35 2" xfId="4038" xr:uid="{00000000-0005-0000-0000-0000D4080000}"/>
    <cellStyle name="20% - Accent3 35 3" xfId="6155" xr:uid="{00000000-0005-0000-0000-0000D5080000}"/>
    <cellStyle name="20% - Accent3 35 4" xfId="8203" xr:uid="{00000000-0005-0000-0000-0000D6080000}"/>
    <cellStyle name="20% - Accent3 36" xfId="1480" xr:uid="{00000000-0005-0000-0000-0000D7080000}"/>
    <cellStyle name="20% - Accent3 36 2" xfId="4039" xr:uid="{00000000-0005-0000-0000-0000D8080000}"/>
    <cellStyle name="20% - Accent3 36 3" xfId="6156" xr:uid="{00000000-0005-0000-0000-0000D9080000}"/>
    <cellStyle name="20% - Accent3 36 4" xfId="8204" xr:uid="{00000000-0005-0000-0000-0000DA080000}"/>
    <cellStyle name="20% - Accent3 37" xfId="1481" xr:uid="{00000000-0005-0000-0000-0000DB080000}"/>
    <cellStyle name="20% - Accent3 37 2" xfId="4040" xr:uid="{00000000-0005-0000-0000-0000DC080000}"/>
    <cellStyle name="20% - Accent3 37 3" xfId="6157" xr:uid="{00000000-0005-0000-0000-0000DD080000}"/>
    <cellStyle name="20% - Accent3 37 4" xfId="8205" xr:uid="{00000000-0005-0000-0000-0000DE080000}"/>
    <cellStyle name="20% - Accent3 38" xfId="1482" xr:uid="{00000000-0005-0000-0000-0000DF080000}"/>
    <cellStyle name="20% - Accent3 38 2" xfId="4041" xr:uid="{00000000-0005-0000-0000-0000E0080000}"/>
    <cellStyle name="20% - Accent3 38 3" xfId="6158" xr:uid="{00000000-0005-0000-0000-0000E1080000}"/>
    <cellStyle name="20% - Accent3 38 4" xfId="8206" xr:uid="{00000000-0005-0000-0000-0000E2080000}"/>
    <cellStyle name="20% - Accent3 39" xfId="1483" xr:uid="{00000000-0005-0000-0000-0000E3080000}"/>
    <cellStyle name="20% - Accent3 39 2" xfId="4042" xr:uid="{00000000-0005-0000-0000-0000E4080000}"/>
    <cellStyle name="20% - Accent3 39 3" xfId="6159" xr:uid="{00000000-0005-0000-0000-0000E5080000}"/>
    <cellStyle name="20% - Accent3 39 4" xfId="8207" xr:uid="{00000000-0005-0000-0000-0000E6080000}"/>
    <cellStyle name="20% - Accent3 4" xfId="1484" xr:uid="{00000000-0005-0000-0000-0000E7080000}"/>
    <cellStyle name="20% - Accent3 4 2" xfId="1485" xr:uid="{00000000-0005-0000-0000-0000E8080000}"/>
    <cellStyle name="20% - Accent3 4 2 2" xfId="4043" xr:uid="{00000000-0005-0000-0000-0000E9080000}"/>
    <cellStyle name="20% - Accent3 4 2 3" xfId="6160" xr:uid="{00000000-0005-0000-0000-0000EA080000}"/>
    <cellStyle name="20% - Accent3 4 2 4" xfId="8208" xr:uid="{00000000-0005-0000-0000-0000EB080000}"/>
    <cellStyle name="20% - Accent3 4 3" xfId="1486" xr:uid="{00000000-0005-0000-0000-0000EC080000}"/>
    <cellStyle name="20% - Accent3 4 3 2" xfId="4044" xr:uid="{00000000-0005-0000-0000-0000ED080000}"/>
    <cellStyle name="20% - Accent3 4 3 3" xfId="6161" xr:uid="{00000000-0005-0000-0000-0000EE080000}"/>
    <cellStyle name="20% - Accent3 4 3 4" xfId="8209" xr:uid="{00000000-0005-0000-0000-0000EF080000}"/>
    <cellStyle name="20% - Accent3 4 4" xfId="1487" xr:uid="{00000000-0005-0000-0000-0000F0080000}"/>
    <cellStyle name="20% - Accent3 4 4 2" xfId="4045" xr:uid="{00000000-0005-0000-0000-0000F1080000}"/>
    <cellStyle name="20% - Accent3 4 4 3" xfId="6162" xr:uid="{00000000-0005-0000-0000-0000F2080000}"/>
    <cellStyle name="20% - Accent3 4 4 4" xfId="8210" xr:uid="{00000000-0005-0000-0000-0000F3080000}"/>
    <cellStyle name="20% - Accent3 4 5" xfId="1488" xr:uid="{00000000-0005-0000-0000-0000F4080000}"/>
    <cellStyle name="20% - Accent3 4 5 2" xfId="4046" xr:uid="{00000000-0005-0000-0000-0000F5080000}"/>
    <cellStyle name="20% - Accent3 4 5 3" xfId="6163" xr:uid="{00000000-0005-0000-0000-0000F6080000}"/>
    <cellStyle name="20% - Accent3 4 5 4" xfId="8211" xr:uid="{00000000-0005-0000-0000-0000F7080000}"/>
    <cellStyle name="20% - Accent3 4 6" xfId="1489" xr:uid="{00000000-0005-0000-0000-0000F8080000}"/>
    <cellStyle name="20% - Accent3 4 6 2" xfId="4047" xr:uid="{00000000-0005-0000-0000-0000F9080000}"/>
    <cellStyle name="20% - Accent3 4 6 3" xfId="6164" xr:uid="{00000000-0005-0000-0000-0000FA080000}"/>
    <cellStyle name="20% - Accent3 4 6 4" xfId="8212" xr:uid="{00000000-0005-0000-0000-0000FB080000}"/>
    <cellStyle name="20% - Accent3 4 7" xfId="1490" xr:uid="{00000000-0005-0000-0000-0000FC080000}"/>
    <cellStyle name="20% - Accent3 4 7 2" xfId="4048" xr:uid="{00000000-0005-0000-0000-0000FD080000}"/>
    <cellStyle name="20% - Accent3 4 7 3" xfId="6165" xr:uid="{00000000-0005-0000-0000-0000FE080000}"/>
    <cellStyle name="20% - Accent3 4 7 4" xfId="8213" xr:uid="{00000000-0005-0000-0000-0000FF080000}"/>
    <cellStyle name="20% - Accent3 40" xfId="1491" xr:uid="{00000000-0005-0000-0000-000000090000}"/>
    <cellStyle name="20% - Accent3 40 2" xfId="4049" xr:uid="{00000000-0005-0000-0000-000001090000}"/>
    <cellStyle name="20% - Accent3 40 3" xfId="6166" xr:uid="{00000000-0005-0000-0000-000002090000}"/>
    <cellStyle name="20% - Accent3 40 4" xfId="8214" xr:uid="{00000000-0005-0000-0000-000003090000}"/>
    <cellStyle name="20% - Accent3 41" xfId="1492" xr:uid="{00000000-0005-0000-0000-000004090000}"/>
    <cellStyle name="20% - Accent3 41 2" xfId="4050" xr:uid="{00000000-0005-0000-0000-000005090000}"/>
    <cellStyle name="20% - Accent3 41 3" xfId="6167" xr:uid="{00000000-0005-0000-0000-000006090000}"/>
    <cellStyle name="20% - Accent3 41 4" xfId="8215" xr:uid="{00000000-0005-0000-0000-000007090000}"/>
    <cellStyle name="20% - Accent3 42" xfId="1493" xr:uid="{00000000-0005-0000-0000-000008090000}"/>
    <cellStyle name="20% - Accent3 42 2" xfId="4051" xr:uid="{00000000-0005-0000-0000-000009090000}"/>
    <cellStyle name="20% - Accent3 42 3" xfId="6168" xr:uid="{00000000-0005-0000-0000-00000A090000}"/>
    <cellStyle name="20% - Accent3 42 4" xfId="8216" xr:uid="{00000000-0005-0000-0000-00000B090000}"/>
    <cellStyle name="20% - Accent3 43" xfId="1494" xr:uid="{00000000-0005-0000-0000-00000C090000}"/>
    <cellStyle name="20% - Accent3 43 2" xfId="4052" xr:uid="{00000000-0005-0000-0000-00000D090000}"/>
    <cellStyle name="20% - Accent3 43 3" xfId="6169" xr:uid="{00000000-0005-0000-0000-00000E090000}"/>
    <cellStyle name="20% - Accent3 43 4" xfId="8217" xr:uid="{00000000-0005-0000-0000-00000F090000}"/>
    <cellStyle name="20% - Accent3 44" xfId="1495" xr:uid="{00000000-0005-0000-0000-000010090000}"/>
    <cellStyle name="20% - Accent3 44 2" xfId="4053" xr:uid="{00000000-0005-0000-0000-000011090000}"/>
    <cellStyle name="20% - Accent3 44 3" xfId="6170" xr:uid="{00000000-0005-0000-0000-000012090000}"/>
    <cellStyle name="20% - Accent3 44 4" xfId="8218" xr:uid="{00000000-0005-0000-0000-000013090000}"/>
    <cellStyle name="20% - Accent3 45" xfId="1496" xr:uid="{00000000-0005-0000-0000-000014090000}"/>
    <cellStyle name="20% - Accent3 45 2" xfId="4054" xr:uid="{00000000-0005-0000-0000-000015090000}"/>
    <cellStyle name="20% - Accent3 45 3" xfId="6171" xr:uid="{00000000-0005-0000-0000-000016090000}"/>
    <cellStyle name="20% - Accent3 45 4" xfId="8219" xr:uid="{00000000-0005-0000-0000-000017090000}"/>
    <cellStyle name="20% - Accent3 46" xfId="1497" xr:uid="{00000000-0005-0000-0000-000018090000}"/>
    <cellStyle name="20% - Accent3 46 2" xfId="4055" xr:uid="{00000000-0005-0000-0000-000019090000}"/>
    <cellStyle name="20% - Accent3 46 3" xfId="6172" xr:uid="{00000000-0005-0000-0000-00001A090000}"/>
    <cellStyle name="20% - Accent3 46 4" xfId="8220" xr:uid="{00000000-0005-0000-0000-00001B090000}"/>
    <cellStyle name="20% - Accent3 47" xfId="1498" xr:uid="{00000000-0005-0000-0000-00001C090000}"/>
    <cellStyle name="20% - Accent3 47 2" xfId="4056" xr:uid="{00000000-0005-0000-0000-00001D090000}"/>
    <cellStyle name="20% - Accent3 47 3" xfId="6173" xr:uid="{00000000-0005-0000-0000-00001E090000}"/>
    <cellStyle name="20% - Accent3 47 4" xfId="8221" xr:uid="{00000000-0005-0000-0000-00001F090000}"/>
    <cellStyle name="20% - Accent3 48" xfId="1499" xr:uid="{00000000-0005-0000-0000-000020090000}"/>
    <cellStyle name="20% - Accent3 48 2" xfId="4057" xr:uid="{00000000-0005-0000-0000-000021090000}"/>
    <cellStyle name="20% - Accent3 48 3" xfId="6174" xr:uid="{00000000-0005-0000-0000-000022090000}"/>
    <cellStyle name="20% - Accent3 48 4" xfId="8222" xr:uid="{00000000-0005-0000-0000-000023090000}"/>
    <cellStyle name="20% - Accent3 49" xfId="1500" xr:uid="{00000000-0005-0000-0000-000024090000}"/>
    <cellStyle name="20% - Accent3 49 2" xfId="4058" xr:uid="{00000000-0005-0000-0000-000025090000}"/>
    <cellStyle name="20% - Accent3 49 3" xfId="6175" xr:uid="{00000000-0005-0000-0000-000026090000}"/>
    <cellStyle name="20% - Accent3 49 4" xfId="8223" xr:uid="{00000000-0005-0000-0000-000027090000}"/>
    <cellStyle name="20% - Accent3 5" xfId="1501" xr:uid="{00000000-0005-0000-0000-000028090000}"/>
    <cellStyle name="20% - Accent3 5 2" xfId="1502" xr:uid="{00000000-0005-0000-0000-000029090000}"/>
    <cellStyle name="20% - Accent3 5 2 2" xfId="4059" xr:uid="{00000000-0005-0000-0000-00002A090000}"/>
    <cellStyle name="20% - Accent3 5 2 3" xfId="6176" xr:uid="{00000000-0005-0000-0000-00002B090000}"/>
    <cellStyle name="20% - Accent3 5 2 4" xfId="8224" xr:uid="{00000000-0005-0000-0000-00002C090000}"/>
    <cellStyle name="20% - Accent3 5 3" xfId="1503" xr:uid="{00000000-0005-0000-0000-00002D090000}"/>
    <cellStyle name="20% - Accent3 5 3 2" xfId="4060" xr:uid="{00000000-0005-0000-0000-00002E090000}"/>
    <cellStyle name="20% - Accent3 5 3 3" xfId="6177" xr:uid="{00000000-0005-0000-0000-00002F090000}"/>
    <cellStyle name="20% - Accent3 5 3 4" xfId="8225" xr:uid="{00000000-0005-0000-0000-000030090000}"/>
    <cellStyle name="20% - Accent3 5 4" xfId="1504" xr:uid="{00000000-0005-0000-0000-000031090000}"/>
    <cellStyle name="20% - Accent3 5 4 2" xfId="4061" xr:uid="{00000000-0005-0000-0000-000032090000}"/>
    <cellStyle name="20% - Accent3 5 4 3" xfId="6178" xr:uid="{00000000-0005-0000-0000-000033090000}"/>
    <cellStyle name="20% - Accent3 5 4 4" xfId="8226" xr:uid="{00000000-0005-0000-0000-000034090000}"/>
    <cellStyle name="20% - Accent3 5 5" xfId="1505" xr:uid="{00000000-0005-0000-0000-000035090000}"/>
    <cellStyle name="20% - Accent3 5 5 2" xfId="4062" xr:uid="{00000000-0005-0000-0000-000036090000}"/>
    <cellStyle name="20% - Accent3 5 5 3" xfId="6179" xr:uid="{00000000-0005-0000-0000-000037090000}"/>
    <cellStyle name="20% - Accent3 5 5 4" xfId="8227" xr:uid="{00000000-0005-0000-0000-000038090000}"/>
    <cellStyle name="20% - Accent3 5 6" xfId="1506" xr:uid="{00000000-0005-0000-0000-000039090000}"/>
    <cellStyle name="20% - Accent3 5 6 2" xfId="4063" xr:uid="{00000000-0005-0000-0000-00003A090000}"/>
    <cellStyle name="20% - Accent3 5 6 3" xfId="6180" xr:uid="{00000000-0005-0000-0000-00003B090000}"/>
    <cellStyle name="20% - Accent3 5 6 4" xfId="8228" xr:uid="{00000000-0005-0000-0000-00003C090000}"/>
    <cellStyle name="20% - Accent3 5 7" xfId="1507" xr:uid="{00000000-0005-0000-0000-00003D090000}"/>
    <cellStyle name="20% - Accent3 5 7 2" xfId="4064" xr:uid="{00000000-0005-0000-0000-00003E090000}"/>
    <cellStyle name="20% - Accent3 5 7 3" xfId="6181" xr:uid="{00000000-0005-0000-0000-00003F090000}"/>
    <cellStyle name="20% - Accent3 5 7 4" xfId="8229" xr:uid="{00000000-0005-0000-0000-000040090000}"/>
    <cellStyle name="20% - Accent3 50" xfId="1508" xr:uid="{00000000-0005-0000-0000-000041090000}"/>
    <cellStyle name="20% - Accent3 50 2" xfId="4065" xr:uid="{00000000-0005-0000-0000-000042090000}"/>
    <cellStyle name="20% - Accent3 50 3" xfId="6182" xr:uid="{00000000-0005-0000-0000-000043090000}"/>
    <cellStyle name="20% - Accent3 50 4" xfId="8230" xr:uid="{00000000-0005-0000-0000-000044090000}"/>
    <cellStyle name="20% - Accent3 6" xfId="1509" xr:uid="{00000000-0005-0000-0000-000045090000}"/>
    <cellStyle name="20% - Accent3 6 2" xfId="1510" xr:uid="{00000000-0005-0000-0000-000046090000}"/>
    <cellStyle name="20% - Accent3 6 2 2" xfId="4066" xr:uid="{00000000-0005-0000-0000-000047090000}"/>
    <cellStyle name="20% - Accent3 6 2 3" xfId="6183" xr:uid="{00000000-0005-0000-0000-000048090000}"/>
    <cellStyle name="20% - Accent3 6 2 4" xfId="8231" xr:uid="{00000000-0005-0000-0000-000049090000}"/>
    <cellStyle name="20% - Accent3 6 3" xfId="1511" xr:uid="{00000000-0005-0000-0000-00004A090000}"/>
    <cellStyle name="20% - Accent3 6 3 2" xfId="4067" xr:uid="{00000000-0005-0000-0000-00004B090000}"/>
    <cellStyle name="20% - Accent3 6 3 3" xfId="6184" xr:uid="{00000000-0005-0000-0000-00004C090000}"/>
    <cellStyle name="20% - Accent3 6 3 4" xfId="8232" xr:uid="{00000000-0005-0000-0000-00004D090000}"/>
    <cellStyle name="20% - Accent3 6 4" xfId="1512" xr:uid="{00000000-0005-0000-0000-00004E090000}"/>
    <cellStyle name="20% - Accent3 6 4 2" xfId="4068" xr:uid="{00000000-0005-0000-0000-00004F090000}"/>
    <cellStyle name="20% - Accent3 6 4 3" xfId="6185" xr:uid="{00000000-0005-0000-0000-000050090000}"/>
    <cellStyle name="20% - Accent3 6 4 4" xfId="8233" xr:uid="{00000000-0005-0000-0000-000051090000}"/>
    <cellStyle name="20% - Accent3 6 5" xfId="1513" xr:uid="{00000000-0005-0000-0000-000052090000}"/>
    <cellStyle name="20% - Accent3 6 5 2" xfId="4069" xr:uid="{00000000-0005-0000-0000-000053090000}"/>
    <cellStyle name="20% - Accent3 6 5 3" xfId="6186" xr:uid="{00000000-0005-0000-0000-000054090000}"/>
    <cellStyle name="20% - Accent3 6 5 4" xfId="8234" xr:uid="{00000000-0005-0000-0000-000055090000}"/>
    <cellStyle name="20% - Accent3 6 6" xfId="1514" xr:uid="{00000000-0005-0000-0000-000056090000}"/>
    <cellStyle name="20% - Accent3 6 6 2" xfId="4070" xr:uid="{00000000-0005-0000-0000-000057090000}"/>
    <cellStyle name="20% - Accent3 6 6 3" xfId="6187" xr:uid="{00000000-0005-0000-0000-000058090000}"/>
    <cellStyle name="20% - Accent3 6 6 4" xfId="8235" xr:uid="{00000000-0005-0000-0000-000059090000}"/>
    <cellStyle name="20% - Accent3 6 7" xfId="1515" xr:uid="{00000000-0005-0000-0000-00005A090000}"/>
    <cellStyle name="20% - Accent3 6 7 2" xfId="4071" xr:uid="{00000000-0005-0000-0000-00005B090000}"/>
    <cellStyle name="20% - Accent3 6 7 3" xfId="6188" xr:uid="{00000000-0005-0000-0000-00005C090000}"/>
    <cellStyle name="20% - Accent3 6 7 4" xfId="8236" xr:uid="{00000000-0005-0000-0000-00005D090000}"/>
    <cellStyle name="20% - Accent3 7" xfId="1516" xr:uid="{00000000-0005-0000-0000-00005E090000}"/>
    <cellStyle name="20% - Accent3 7 10" xfId="8237" xr:uid="{00000000-0005-0000-0000-00005F090000}"/>
    <cellStyle name="20% - Accent3 7 2" xfId="1517" xr:uid="{00000000-0005-0000-0000-000060090000}"/>
    <cellStyle name="20% - Accent3 7 2 2" xfId="4073" xr:uid="{00000000-0005-0000-0000-000061090000}"/>
    <cellStyle name="20% - Accent3 7 2 3" xfId="6190" xr:uid="{00000000-0005-0000-0000-000062090000}"/>
    <cellStyle name="20% - Accent3 7 2 4" xfId="8238" xr:uid="{00000000-0005-0000-0000-000063090000}"/>
    <cellStyle name="20% - Accent3 7 3" xfId="1518" xr:uid="{00000000-0005-0000-0000-000064090000}"/>
    <cellStyle name="20% - Accent3 7 3 2" xfId="4074" xr:uid="{00000000-0005-0000-0000-000065090000}"/>
    <cellStyle name="20% - Accent3 7 3 3" xfId="6191" xr:uid="{00000000-0005-0000-0000-000066090000}"/>
    <cellStyle name="20% - Accent3 7 3 4" xfId="8239" xr:uid="{00000000-0005-0000-0000-000067090000}"/>
    <cellStyle name="20% - Accent3 7 4" xfId="1519" xr:uid="{00000000-0005-0000-0000-000068090000}"/>
    <cellStyle name="20% - Accent3 7 4 2" xfId="4075" xr:uid="{00000000-0005-0000-0000-000069090000}"/>
    <cellStyle name="20% - Accent3 7 4 3" xfId="6192" xr:uid="{00000000-0005-0000-0000-00006A090000}"/>
    <cellStyle name="20% - Accent3 7 4 4" xfId="8240" xr:uid="{00000000-0005-0000-0000-00006B090000}"/>
    <cellStyle name="20% - Accent3 7 5" xfId="1520" xr:uid="{00000000-0005-0000-0000-00006C090000}"/>
    <cellStyle name="20% - Accent3 7 5 2" xfId="4076" xr:uid="{00000000-0005-0000-0000-00006D090000}"/>
    <cellStyle name="20% - Accent3 7 5 3" xfId="6193" xr:uid="{00000000-0005-0000-0000-00006E090000}"/>
    <cellStyle name="20% - Accent3 7 5 4" xfId="8241" xr:uid="{00000000-0005-0000-0000-00006F090000}"/>
    <cellStyle name="20% - Accent3 7 6" xfId="1521" xr:uid="{00000000-0005-0000-0000-000070090000}"/>
    <cellStyle name="20% - Accent3 7 6 2" xfId="4077" xr:uid="{00000000-0005-0000-0000-000071090000}"/>
    <cellStyle name="20% - Accent3 7 6 3" xfId="6194" xr:uid="{00000000-0005-0000-0000-000072090000}"/>
    <cellStyle name="20% - Accent3 7 6 4" xfId="8242" xr:uid="{00000000-0005-0000-0000-000073090000}"/>
    <cellStyle name="20% - Accent3 7 7" xfId="1522" xr:uid="{00000000-0005-0000-0000-000074090000}"/>
    <cellStyle name="20% - Accent3 7 7 2" xfId="4078" xr:uid="{00000000-0005-0000-0000-000075090000}"/>
    <cellStyle name="20% - Accent3 7 7 3" xfId="6195" xr:uid="{00000000-0005-0000-0000-000076090000}"/>
    <cellStyle name="20% - Accent3 7 7 4" xfId="8243" xr:uid="{00000000-0005-0000-0000-000077090000}"/>
    <cellStyle name="20% - Accent3 7 8" xfId="4072" xr:uid="{00000000-0005-0000-0000-000078090000}"/>
    <cellStyle name="20% - Accent3 7 9" xfId="6189" xr:uid="{00000000-0005-0000-0000-000079090000}"/>
    <cellStyle name="20% - Accent3 8" xfId="1523" xr:uid="{00000000-0005-0000-0000-00007A090000}"/>
    <cellStyle name="20% - Accent3 8 10" xfId="8244" xr:uid="{00000000-0005-0000-0000-00007B090000}"/>
    <cellStyle name="20% - Accent3 8 2" xfId="1524" xr:uid="{00000000-0005-0000-0000-00007C090000}"/>
    <cellStyle name="20% - Accent3 8 2 2" xfId="4080" xr:uid="{00000000-0005-0000-0000-00007D090000}"/>
    <cellStyle name="20% - Accent3 8 2 3" xfId="6197" xr:uid="{00000000-0005-0000-0000-00007E090000}"/>
    <cellStyle name="20% - Accent3 8 2 4" xfId="8245" xr:uid="{00000000-0005-0000-0000-00007F090000}"/>
    <cellStyle name="20% - Accent3 8 3" xfId="1525" xr:uid="{00000000-0005-0000-0000-000080090000}"/>
    <cellStyle name="20% - Accent3 8 3 2" xfId="4081" xr:uid="{00000000-0005-0000-0000-000081090000}"/>
    <cellStyle name="20% - Accent3 8 3 3" xfId="6198" xr:uid="{00000000-0005-0000-0000-000082090000}"/>
    <cellStyle name="20% - Accent3 8 3 4" xfId="8246" xr:uid="{00000000-0005-0000-0000-000083090000}"/>
    <cellStyle name="20% - Accent3 8 4" xfId="1526" xr:uid="{00000000-0005-0000-0000-000084090000}"/>
    <cellStyle name="20% - Accent3 8 4 2" xfId="4082" xr:uid="{00000000-0005-0000-0000-000085090000}"/>
    <cellStyle name="20% - Accent3 8 4 3" xfId="6199" xr:uid="{00000000-0005-0000-0000-000086090000}"/>
    <cellStyle name="20% - Accent3 8 4 4" xfId="8247" xr:uid="{00000000-0005-0000-0000-000087090000}"/>
    <cellStyle name="20% - Accent3 8 5" xfId="1527" xr:uid="{00000000-0005-0000-0000-000088090000}"/>
    <cellStyle name="20% - Accent3 8 5 2" xfId="4083" xr:uid="{00000000-0005-0000-0000-000089090000}"/>
    <cellStyle name="20% - Accent3 8 5 3" xfId="6200" xr:uid="{00000000-0005-0000-0000-00008A090000}"/>
    <cellStyle name="20% - Accent3 8 5 4" xfId="8248" xr:uid="{00000000-0005-0000-0000-00008B090000}"/>
    <cellStyle name="20% - Accent3 8 6" xfId="1528" xr:uid="{00000000-0005-0000-0000-00008C090000}"/>
    <cellStyle name="20% - Accent3 8 6 2" xfId="4084" xr:uid="{00000000-0005-0000-0000-00008D090000}"/>
    <cellStyle name="20% - Accent3 8 6 3" xfId="6201" xr:uid="{00000000-0005-0000-0000-00008E090000}"/>
    <cellStyle name="20% - Accent3 8 6 4" xfId="8249" xr:uid="{00000000-0005-0000-0000-00008F090000}"/>
    <cellStyle name="20% - Accent3 8 7" xfId="1529" xr:uid="{00000000-0005-0000-0000-000090090000}"/>
    <cellStyle name="20% - Accent3 8 7 2" xfId="4085" xr:uid="{00000000-0005-0000-0000-000091090000}"/>
    <cellStyle name="20% - Accent3 8 7 3" xfId="6202" xr:uid="{00000000-0005-0000-0000-000092090000}"/>
    <cellStyle name="20% - Accent3 8 7 4" xfId="8250" xr:uid="{00000000-0005-0000-0000-000093090000}"/>
    <cellStyle name="20% - Accent3 8 8" xfId="4079" xr:uid="{00000000-0005-0000-0000-000094090000}"/>
    <cellStyle name="20% - Accent3 8 9" xfId="6196" xr:uid="{00000000-0005-0000-0000-000095090000}"/>
    <cellStyle name="20% - Accent3 9" xfId="1530" xr:uid="{00000000-0005-0000-0000-000096090000}"/>
    <cellStyle name="20% - Accent3 9 10" xfId="8251" xr:uid="{00000000-0005-0000-0000-000097090000}"/>
    <cellStyle name="20% - Accent3 9 2" xfId="1531" xr:uid="{00000000-0005-0000-0000-000098090000}"/>
    <cellStyle name="20% - Accent3 9 2 2" xfId="4087" xr:uid="{00000000-0005-0000-0000-000099090000}"/>
    <cellStyle name="20% - Accent3 9 2 3" xfId="6204" xr:uid="{00000000-0005-0000-0000-00009A090000}"/>
    <cellStyle name="20% - Accent3 9 2 4" xfId="8252" xr:uid="{00000000-0005-0000-0000-00009B090000}"/>
    <cellStyle name="20% - Accent3 9 3" xfId="1532" xr:uid="{00000000-0005-0000-0000-00009C090000}"/>
    <cellStyle name="20% - Accent3 9 3 2" xfId="4088" xr:uid="{00000000-0005-0000-0000-00009D090000}"/>
    <cellStyle name="20% - Accent3 9 3 3" xfId="6205" xr:uid="{00000000-0005-0000-0000-00009E090000}"/>
    <cellStyle name="20% - Accent3 9 3 4" xfId="8253" xr:uid="{00000000-0005-0000-0000-00009F090000}"/>
    <cellStyle name="20% - Accent3 9 4" xfId="1533" xr:uid="{00000000-0005-0000-0000-0000A0090000}"/>
    <cellStyle name="20% - Accent3 9 4 2" xfId="4089" xr:uid="{00000000-0005-0000-0000-0000A1090000}"/>
    <cellStyle name="20% - Accent3 9 4 3" xfId="6206" xr:uid="{00000000-0005-0000-0000-0000A2090000}"/>
    <cellStyle name="20% - Accent3 9 4 4" xfId="8254" xr:uid="{00000000-0005-0000-0000-0000A3090000}"/>
    <cellStyle name="20% - Accent3 9 5" xfId="1534" xr:uid="{00000000-0005-0000-0000-0000A4090000}"/>
    <cellStyle name="20% - Accent3 9 5 2" xfId="4090" xr:uid="{00000000-0005-0000-0000-0000A5090000}"/>
    <cellStyle name="20% - Accent3 9 5 3" xfId="6207" xr:uid="{00000000-0005-0000-0000-0000A6090000}"/>
    <cellStyle name="20% - Accent3 9 5 4" xfId="8255" xr:uid="{00000000-0005-0000-0000-0000A7090000}"/>
    <cellStyle name="20% - Accent3 9 6" xfId="1535" xr:uid="{00000000-0005-0000-0000-0000A8090000}"/>
    <cellStyle name="20% - Accent3 9 6 2" xfId="4091" xr:uid="{00000000-0005-0000-0000-0000A9090000}"/>
    <cellStyle name="20% - Accent3 9 6 3" xfId="6208" xr:uid="{00000000-0005-0000-0000-0000AA090000}"/>
    <cellStyle name="20% - Accent3 9 6 4" xfId="8256" xr:uid="{00000000-0005-0000-0000-0000AB090000}"/>
    <cellStyle name="20% - Accent3 9 7" xfId="1536" xr:uid="{00000000-0005-0000-0000-0000AC090000}"/>
    <cellStyle name="20% - Accent3 9 7 2" xfId="4092" xr:uid="{00000000-0005-0000-0000-0000AD090000}"/>
    <cellStyle name="20% - Accent3 9 7 3" xfId="6209" xr:uid="{00000000-0005-0000-0000-0000AE090000}"/>
    <cellStyle name="20% - Accent3 9 7 4" xfId="8257" xr:uid="{00000000-0005-0000-0000-0000AF090000}"/>
    <cellStyle name="20% - Accent3 9 8" xfId="4086" xr:uid="{00000000-0005-0000-0000-0000B0090000}"/>
    <cellStyle name="20% - Accent3 9 9" xfId="6203" xr:uid="{00000000-0005-0000-0000-0000B1090000}"/>
    <cellStyle name="20% - Accent4 10" xfId="1537" xr:uid="{00000000-0005-0000-0000-0000B2090000}"/>
    <cellStyle name="20% - Accent4 10 10" xfId="8258" xr:uid="{00000000-0005-0000-0000-0000B3090000}"/>
    <cellStyle name="20% - Accent4 10 2" xfId="1538" xr:uid="{00000000-0005-0000-0000-0000B4090000}"/>
    <cellStyle name="20% - Accent4 10 2 2" xfId="4094" xr:uid="{00000000-0005-0000-0000-0000B5090000}"/>
    <cellStyle name="20% - Accent4 10 2 3" xfId="6211" xr:uid="{00000000-0005-0000-0000-0000B6090000}"/>
    <cellStyle name="20% - Accent4 10 2 4" xfId="8259" xr:uid="{00000000-0005-0000-0000-0000B7090000}"/>
    <cellStyle name="20% - Accent4 10 3" xfId="1539" xr:uid="{00000000-0005-0000-0000-0000B8090000}"/>
    <cellStyle name="20% - Accent4 10 3 2" xfId="4095" xr:uid="{00000000-0005-0000-0000-0000B9090000}"/>
    <cellStyle name="20% - Accent4 10 3 3" xfId="6212" xr:uid="{00000000-0005-0000-0000-0000BA090000}"/>
    <cellStyle name="20% - Accent4 10 3 4" xfId="8260" xr:uid="{00000000-0005-0000-0000-0000BB090000}"/>
    <cellStyle name="20% - Accent4 10 4" xfId="1540" xr:uid="{00000000-0005-0000-0000-0000BC090000}"/>
    <cellStyle name="20% - Accent4 10 4 2" xfId="4096" xr:uid="{00000000-0005-0000-0000-0000BD090000}"/>
    <cellStyle name="20% - Accent4 10 4 3" xfId="6213" xr:uid="{00000000-0005-0000-0000-0000BE090000}"/>
    <cellStyle name="20% - Accent4 10 4 4" xfId="8261" xr:uid="{00000000-0005-0000-0000-0000BF090000}"/>
    <cellStyle name="20% - Accent4 10 5" xfId="1541" xr:uid="{00000000-0005-0000-0000-0000C0090000}"/>
    <cellStyle name="20% - Accent4 10 5 2" xfId="4097" xr:uid="{00000000-0005-0000-0000-0000C1090000}"/>
    <cellStyle name="20% - Accent4 10 5 3" xfId="6214" xr:uid="{00000000-0005-0000-0000-0000C2090000}"/>
    <cellStyle name="20% - Accent4 10 5 4" xfId="8262" xr:uid="{00000000-0005-0000-0000-0000C3090000}"/>
    <cellStyle name="20% - Accent4 10 6" xfId="1542" xr:uid="{00000000-0005-0000-0000-0000C4090000}"/>
    <cellStyle name="20% - Accent4 10 6 2" xfId="4098" xr:uid="{00000000-0005-0000-0000-0000C5090000}"/>
    <cellStyle name="20% - Accent4 10 6 3" xfId="6215" xr:uid="{00000000-0005-0000-0000-0000C6090000}"/>
    <cellStyle name="20% - Accent4 10 6 4" xfId="8263" xr:uid="{00000000-0005-0000-0000-0000C7090000}"/>
    <cellStyle name="20% - Accent4 10 7" xfId="1543" xr:uid="{00000000-0005-0000-0000-0000C8090000}"/>
    <cellStyle name="20% - Accent4 10 7 2" xfId="4099" xr:uid="{00000000-0005-0000-0000-0000C9090000}"/>
    <cellStyle name="20% - Accent4 10 7 3" xfId="6216" xr:uid="{00000000-0005-0000-0000-0000CA090000}"/>
    <cellStyle name="20% - Accent4 10 7 4" xfId="8264" xr:uid="{00000000-0005-0000-0000-0000CB090000}"/>
    <cellStyle name="20% - Accent4 10 8" xfId="4093" xr:uid="{00000000-0005-0000-0000-0000CC090000}"/>
    <cellStyle name="20% - Accent4 10 9" xfId="6210" xr:uid="{00000000-0005-0000-0000-0000CD090000}"/>
    <cellStyle name="20% - Accent4 11" xfId="1544" xr:uid="{00000000-0005-0000-0000-0000CE090000}"/>
    <cellStyle name="20% - Accent4 11 2" xfId="1545" xr:uid="{00000000-0005-0000-0000-0000CF090000}"/>
    <cellStyle name="20% - Accent4 11 2 2" xfId="4101" xr:uid="{00000000-0005-0000-0000-0000D0090000}"/>
    <cellStyle name="20% - Accent4 11 2 3" xfId="6218" xr:uid="{00000000-0005-0000-0000-0000D1090000}"/>
    <cellStyle name="20% - Accent4 11 2 4" xfId="8266" xr:uid="{00000000-0005-0000-0000-0000D2090000}"/>
    <cellStyle name="20% - Accent4 11 3" xfId="1546" xr:uid="{00000000-0005-0000-0000-0000D3090000}"/>
    <cellStyle name="20% - Accent4 11 3 2" xfId="4102" xr:uid="{00000000-0005-0000-0000-0000D4090000}"/>
    <cellStyle name="20% - Accent4 11 3 3" xfId="6219" xr:uid="{00000000-0005-0000-0000-0000D5090000}"/>
    <cellStyle name="20% - Accent4 11 3 4" xfId="8267" xr:uid="{00000000-0005-0000-0000-0000D6090000}"/>
    <cellStyle name="20% - Accent4 11 4" xfId="1547" xr:uid="{00000000-0005-0000-0000-0000D7090000}"/>
    <cellStyle name="20% - Accent4 11 4 2" xfId="4103" xr:uid="{00000000-0005-0000-0000-0000D8090000}"/>
    <cellStyle name="20% - Accent4 11 4 3" xfId="6220" xr:uid="{00000000-0005-0000-0000-0000D9090000}"/>
    <cellStyle name="20% - Accent4 11 4 4" xfId="8268" xr:uid="{00000000-0005-0000-0000-0000DA090000}"/>
    <cellStyle name="20% - Accent4 11 5" xfId="1548" xr:uid="{00000000-0005-0000-0000-0000DB090000}"/>
    <cellStyle name="20% - Accent4 11 5 2" xfId="4104" xr:uid="{00000000-0005-0000-0000-0000DC090000}"/>
    <cellStyle name="20% - Accent4 11 5 3" xfId="6221" xr:uid="{00000000-0005-0000-0000-0000DD090000}"/>
    <cellStyle name="20% - Accent4 11 5 4" xfId="8269" xr:uid="{00000000-0005-0000-0000-0000DE090000}"/>
    <cellStyle name="20% - Accent4 11 6" xfId="1549" xr:uid="{00000000-0005-0000-0000-0000DF090000}"/>
    <cellStyle name="20% - Accent4 11 6 2" xfId="4105" xr:uid="{00000000-0005-0000-0000-0000E0090000}"/>
    <cellStyle name="20% - Accent4 11 6 3" xfId="6222" xr:uid="{00000000-0005-0000-0000-0000E1090000}"/>
    <cellStyle name="20% - Accent4 11 6 4" xfId="8270" xr:uid="{00000000-0005-0000-0000-0000E2090000}"/>
    <cellStyle name="20% - Accent4 11 7" xfId="4100" xr:uid="{00000000-0005-0000-0000-0000E3090000}"/>
    <cellStyle name="20% - Accent4 11 8" xfId="6217" xr:uid="{00000000-0005-0000-0000-0000E4090000}"/>
    <cellStyle name="20% - Accent4 11 9" xfId="8265" xr:uid="{00000000-0005-0000-0000-0000E5090000}"/>
    <cellStyle name="20% - Accent4 12" xfId="1550" xr:uid="{00000000-0005-0000-0000-0000E6090000}"/>
    <cellStyle name="20% - Accent4 12 2" xfId="1551" xr:uid="{00000000-0005-0000-0000-0000E7090000}"/>
    <cellStyle name="20% - Accent4 12 2 2" xfId="4107" xr:uid="{00000000-0005-0000-0000-0000E8090000}"/>
    <cellStyle name="20% - Accent4 12 2 3" xfId="6224" xr:uid="{00000000-0005-0000-0000-0000E9090000}"/>
    <cellStyle name="20% - Accent4 12 2 4" xfId="8272" xr:uid="{00000000-0005-0000-0000-0000EA090000}"/>
    <cellStyle name="20% - Accent4 12 3" xfId="1552" xr:uid="{00000000-0005-0000-0000-0000EB090000}"/>
    <cellStyle name="20% - Accent4 12 3 2" xfId="4108" xr:uid="{00000000-0005-0000-0000-0000EC090000}"/>
    <cellStyle name="20% - Accent4 12 3 3" xfId="6225" xr:uid="{00000000-0005-0000-0000-0000ED090000}"/>
    <cellStyle name="20% - Accent4 12 3 4" xfId="8273" xr:uid="{00000000-0005-0000-0000-0000EE090000}"/>
    <cellStyle name="20% - Accent4 12 4" xfId="1553" xr:uid="{00000000-0005-0000-0000-0000EF090000}"/>
    <cellStyle name="20% - Accent4 12 4 2" xfId="4109" xr:uid="{00000000-0005-0000-0000-0000F0090000}"/>
    <cellStyle name="20% - Accent4 12 4 3" xfId="6226" xr:uid="{00000000-0005-0000-0000-0000F1090000}"/>
    <cellStyle name="20% - Accent4 12 4 4" xfId="8274" xr:uid="{00000000-0005-0000-0000-0000F2090000}"/>
    <cellStyle name="20% - Accent4 12 5" xfId="1554" xr:uid="{00000000-0005-0000-0000-0000F3090000}"/>
    <cellStyle name="20% - Accent4 12 5 2" xfId="4110" xr:uid="{00000000-0005-0000-0000-0000F4090000}"/>
    <cellStyle name="20% - Accent4 12 5 3" xfId="6227" xr:uid="{00000000-0005-0000-0000-0000F5090000}"/>
    <cellStyle name="20% - Accent4 12 5 4" xfId="8275" xr:uid="{00000000-0005-0000-0000-0000F6090000}"/>
    <cellStyle name="20% - Accent4 12 6" xfId="4106" xr:uid="{00000000-0005-0000-0000-0000F7090000}"/>
    <cellStyle name="20% - Accent4 12 7" xfId="6223" xr:uid="{00000000-0005-0000-0000-0000F8090000}"/>
    <cellStyle name="20% - Accent4 12 8" xfId="8271" xr:uid="{00000000-0005-0000-0000-0000F9090000}"/>
    <cellStyle name="20% - Accent4 13" xfId="1555" xr:uid="{00000000-0005-0000-0000-0000FA090000}"/>
    <cellStyle name="20% - Accent4 13 2" xfId="1556" xr:uid="{00000000-0005-0000-0000-0000FB090000}"/>
    <cellStyle name="20% - Accent4 13 2 2" xfId="4112" xr:uid="{00000000-0005-0000-0000-0000FC090000}"/>
    <cellStyle name="20% - Accent4 13 2 3" xfId="6229" xr:uid="{00000000-0005-0000-0000-0000FD090000}"/>
    <cellStyle name="20% - Accent4 13 2 4" xfId="8277" xr:uid="{00000000-0005-0000-0000-0000FE090000}"/>
    <cellStyle name="20% - Accent4 13 3" xfId="1557" xr:uid="{00000000-0005-0000-0000-0000FF090000}"/>
    <cellStyle name="20% - Accent4 13 3 2" xfId="4113" xr:uid="{00000000-0005-0000-0000-0000000A0000}"/>
    <cellStyle name="20% - Accent4 13 3 3" xfId="6230" xr:uid="{00000000-0005-0000-0000-0000010A0000}"/>
    <cellStyle name="20% - Accent4 13 3 4" xfId="8278" xr:uid="{00000000-0005-0000-0000-0000020A0000}"/>
    <cellStyle name="20% - Accent4 13 4" xfId="1558" xr:uid="{00000000-0005-0000-0000-0000030A0000}"/>
    <cellStyle name="20% - Accent4 13 4 2" xfId="4114" xr:uid="{00000000-0005-0000-0000-0000040A0000}"/>
    <cellStyle name="20% - Accent4 13 4 3" xfId="6231" xr:uid="{00000000-0005-0000-0000-0000050A0000}"/>
    <cellStyle name="20% - Accent4 13 4 4" xfId="8279" xr:uid="{00000000-0005-0000-0000-0000060A0000}"/>
    <cellStyle name="20% - Accent4 13 5" xfId="1559" xr:uid="{00000000-0005-0000-0000-0000070A0000}"/>
    <cellStyle name="20% - Accent4 13 5 2" xfId="4115" xr:uid="{00000000-0005-0000-0000-0000080A0000}"/>
    <cellStyle name="20% - Accent4 13 5 3" xfId="6232" xr:uid="{00000000-0005-0000-0000-0000090A0000}"/>
    <cellStyle name="20% - Accent4 13 5 4" xfId="8280" xr:uid="{00000000-0005-0000-0000-00000A0A0000}"/>
    <cellStyle name="20% - Accent4 13 6" xfId="4111" xr:uid="{00000000-0005-0000-0000-00000B0A0000}"/>
    <cellStyle name="20% - Accent4 13 7" xfId="6228" xr:uid="{00000000-0005-0000-0000-00000C0A0000}"/>
    <cellStyle name="20% - Accent4 13 8" xfId="8276" xr:uid="{00000000-0005-0000-0000-00000D0A0000}"/>
    <cellStyle name="20% - Accent4 14" xfId="1560" xr:uid="{00000000-0005-0000-0000-00000E0A0000}"/>
    <cellStyle name="20% - Accent4 14 2" xfId="1561" xr:uid="{00000000-0005-0000-0000-00000F0A0000}"/>
    <cellStyle name="20% - Accent4 14 2 2" xfId="4117" xr:uid="{00000000-0005-0000-0000-0000100A0000}"/>
    <cellStyle name="20% - Accent4 14 2 3" xfId="6234" xr:uid="{00000000-0005-0000-0000-0000110A0000}"/>
    <cellStyle name="20% - Accent4 14 2 4" xfId="8282" xr:uid="{00000000-0005-0000-0000-0000120A0000}"/>
    <cellStyle name="20% - Accent4 14 3" xfId="1562" xr:uid="{00000000-0005-0000-0000-0000130A0000}"/>
    <cellStyle name="20% - Accent4 14 3 2" xfId="4118" xr:uid="{00000000-0005-0000-0000-0000140A0000}"/>
    <cellStyle name="20% - Accent4 14 3 3" xfId="6235" xr:uid="{00000000-0005-0000-0000-0000150A0000}"/>
    <cellStyle name="20% - Accent4 14 3 4" xfId="8283" xr:uid="{00000000-0005-0000-0000-0000160A0000}"/>
    <cellStyle name="20% - Accent4 14 4" xfId="1563" xr:uid="{00000000-0005-0000-0000-0000170A0000}"/>
    <cellStyle name="20% - Accent4 14 4 2" xfId="4119" xr:uid="{00000000-0005-0000-0000-0000180A0000}"/>
    <cellStyle name="20% - Accent4 14 4 3" xfId="6236" xr:uid="{00000000-0005-0000-0000-0000190A0000}"/>
    <cellStyle name="20% - Accent4 14 4 4" xfId="8284" xr:uid="{00000000-0005-0000-0000-00001A0A0000}"/>
    <cellStyle name="20% - Accent4 14 5" xfId="4116" xr:uid="{00000000-0005-0000-0000-00001B0A0000}"/>
    <cellStyle name="20% - Accent4 14 6" xfId="6233" xr:uid="{00000000-0005-0000-0000-00001C0A0000}"/>
    <cellStyle name="20% - Accent4 14 7" xfId="8281" xr:uid="{00000000-0005-0000-0000-00001D0A0000}"/>
    <cellStyle name="20% - Accent4 15" xfId="1564" xr:uid="{00000000-0005-0000-0000-00001E0A0000}"/>
    <cellStyle name="20% - Accent4 15 2" xfId="1565" xr:uid="{00000000-0005-0000-0000-00001F0A0000}"/>
    <cellStyle name="20% - Accent4 15 2 2" xfId="4121" xr:uid="{00000000-0005-0000-0000-0000200A0000}"/>
    <cellStyle name="20% - Accent4 15 2 3" xfId="6238" xr:uid="{00000000-0005-0000-0000-0000210A0000}"/>
    <cellStyle name="20% - Accent4 15 2 4" xfId="8286" xr:uid="{00000000-0005-0000-0000-0000220A0000}"/>
    <cellStyle name="20% - Accent4 15 3" xfId="1566" xr:uid="{00000000-0005-0000-0000-0000230A0000}"/>
    <cellStyle name="20% - Accent4 15 3 2" xfId="4122" xr:uid="{00000000-0005-0000-0000-0000240A0000}"/>
    <cellStyle name="20% - Accent4 15 3 3" xfId="6239" xr:uid="{00000000-0005-0000-0000-0000250A0000}"/>
    <cellStyle name="20% - Accent4 15 3 4" xfId="8287" xr:uid="{00000000-0005-0000-0000-0000260A0000}"/>
    <cellStyle name="20% - Accent4 15 4" xfId="1567" xr:uid="{00000000-0005-0000-0000-0000270A0000}"/>
    <cellStyle name="20% - Accent4 15 4 2" xfId="4123" xr:uid="{00000000-0005-0000-0000-0000280A0000}"/>
    <cellStyle name="20% - Accent4 15 4 3" xfId="6240" xr:uid="{00000000-0005-0000-0000-0000290A0000}"/>
    <cellStyle name="20% - Accent4 15 4 4" xfId="8288" xr:uid="{00000000-0005-0000-0000-00002A0A0000}"/>
    <cellStyle name="20% - Accent4 15 5" xfId="4120" xr:uid="{00000000-0005-0000-0000-00002B0A0000}"/>
    <cellStyle name="20% - Accent4 15 6" xfId="6237" xr:uid="{00000000-0005-0000-0000-00002C0A0000}"/>
    <cellStyle name="20% - Accent4 15 7" xfId="8285" xr:uid="{00000000-0005-0000-0000-00002D0A0000}"/>
    <cellStyle name="20% - Accent4 16" xfId="1568" xr:uid="{00000000-0005-0000-0000-00002E0A0000}"/>
    <cellStyle name="20% - Accent4 16 2" xfId="1569" xr:uid="{00000000-0005-0000-0000-00002F0A0000}"/>
    <cellStyle name="20% - Accent4 16 2 2" xfId="4125" xr:uid="{00000000-0005-0000-0000-0000300A0000}"/>
    <cellStyle name="20% - Accent4 16 2 3" xfId="6242" xr:uid="{00000000-0005-0000-0000-0000310A0000}"/>
    <cellStyle name="20% - Accent4 16 2 4" xfId="8290" xr:uid="{00000000-0005-0000-0000-0000320A0000}"/>
    <cellStyle name="20% - Accent4 16 3" xfId="1570" xr:uid="{00000000-0005-0000-0000-0000330A0000}"/>
    <cellStyle name="20% - Accent4 16 3 2" xfId="4126" xr:uid="{00000000-0005-0000-0000-0000340A0000}"/>
    <cellStyle name="20% - Accent4 16 3 3" xfId="6243" xr:uid="{00000000-0005-0000-0000-0000350A0000}"/>
    <cellStyle name="20% - Accent4 16 3 4" xfId="8291" xr:uid="{00000000-0005-0000-0000-0000360A0000}"/>
    <cellStyle name="20% - Accent4 16 4" xfId="4124" xr:uid="{00000000-0005-0000-0000-0000370A0000}"/>
    <cellStyle name="20% - Accent4 16 5" xfId="6241" xr:uid="{00000000-0005-0000-0000-0000380A0000}"/>
    <cellStyle name="20% - Accent4 16 6" xfId="8289" xr:uid="{00000000-0005-0000-0000-0000390A0000}"/>
    <cellStyle name="20% - Accent4 17" xfId="1571" xr:uid="{00000000-0005-0000-0000-00003A0A0000}"/>
    <cellStyle name="20% - Accent4 17 2" xfId="1572" xr:uid="{00000000-0005-0000-0000-00003B0A0000}"/>
    <cellStyle name="20% - Accent4 17 2 2" xfId="4128" xr:uid="{00000000-0005-0000-0000-00003C0A0000}"/>
    <cellStyle name="20% - Accent4 17 2 3" xfId="6245" xr:uid="{00000000-0005-0000-0000-00003D0A0000}"/>
    <cellStyle name="20% - Accent4 17 2 4" xfId="8293" xr:uid="{00000000-0005-0000-0000-00003E0A0000}"/>
    <cellStyle name="20% - Accent4 17 3" xfId="1573" xr:uid="{00000000-0005-0000-0000-00003F0A0000}"/>
    <cellStyle name="20% - Accent4 17 3 2" xfId="4129" xr:uid="{00000000-0005-0000-0000-0000400A0000}"/>
    <cellStyle name="20% - Accent4 17 3 3" xfId="6246" xr:uid="{00000000-0005-0000-0000-0000410A0000}"/>
    <cellStyle name="20% - Accent4 17 3 4" xfId="8294" xr:uid="{00000000-0005-0000-0000-0000420A0000}"/>
    <cellStyle name="20% - Accent4 17 4" xfId="4127" xr:uid="{00000000-0005-0000-0000-0000430A0000}"/>
    <cellStyle name="20% - Accent4 17 5" xfId="6244" xr:uid="{00000000-0005-0000-0000-0000440A0000}"/>
    <cellStyle name="20% - Accent4 17 6" xfId="8292" xr:uid="{00000000-0005-0000-0000-0000450A0000}"/>
    <cellStyle name="20% - Accent4 18" xfId="1574" xr:uid="{00000000-0005-0000-0000-0000460A0000}"/>
    <cellStyle name="20% - Accent4 18 2" xfId="1575" xr:uid="{00000000-0005-0000-0000-0000470A0000}"/>
    <cellStyle name="20% - Accent4 18 2 2" xfId="4131" xr:uid="{00000000-0005-0000-0000-0000480A0000}"/>
    <cellStyle name="20% - Accent4 18 2 3" xfId="6248" xr:uid="{00000000-0005-0000-0000-0000490A0000}"/>
    <cellStyle name="20% - Accent4 18 2 4" xfId="8296" xr:uid="{00000000-0005-0000-0000-00004A0A0000}"/>
    <cellStyle name="20% - Accent4 18 3" xfId="1576" xr:uid="{00000000-0005-0000-0000-00004B0A0000}"/>
    <cellStyle name="20% - Accent4 18 3 2" xfId="4132" xr:uid="{00000000-0005-0000-0000-00004C0A0000}"/>
    <cellStyle name="20% - Accent4 18 3 3" xfId="6249" xr:uid="{00000000-0005-0000-0000-00004D0A0000}"/>
    <cellStyle name="20% - Accent4 18 3 4" xfId="8297" xr:uid="{00000000-0005-0000-0000-00004E0A0000}"/>
    <cellStyle name="20% - Accent4 18 4" xfId="4130" xr:uid="{00000000-0005-0000-0000-00004F0A0000}"/>
    <cellStyle name="20% - Accent4 18 5" xfId="6247" xr:uid="{00000000-0005-0000-0000-0000500A0000}"/>
    <cellStyle name="20% - Accent4 18 6" xfId="8295" xr:uid="{00000000-0005-0000-0000-0000510A0000}"/>
    <cellStyle name="20% - Accent4 19" xfId="1577" xr:uid="{00000000-0005-0000-0000-0000520A0000}"/>
    <cellStyle name="20% - Accent4 19 2" xfId="1578" xr:uid="{00000000-0005-0000-0000-0000530A0000}"/>
    <cellStyle name="20% - Accent4 19 2 2" xfId="4134" xr:uid="{00000000-0005-0000-0000-0000540A0000}"/>
    <cellStyle name="20% - Accent4 19 2 3" xfId="6251" xr:uid="{00000000-0005-0000-0000-0000550A0000}"/>
    <cellStyle name="20% - Accent4 19 2 4" xfId="8299" xr:uid="{00000000-0005-0000-0000-0000560A0000}"/>
    <cellStyle name="20% - Accent4 19 3" xfId="1579" xr:uid="{00000000-0005-0000-0000-0000570A0000}"/>
    <cellStyle name="20% - Accent4 19 3 2" xfId="4135" xr:uid="{00000000-0005-0000-0000-0000580A0000}"/>
    <cellStyle name="20% - Accent4 19 3 3" xfId="6252" xr:uid="{00000000-0005-0000-0000-0000590A0000}"/>
    <cellStyle name="20% - Accent4 19 3 4" xfId="8300" xr:uid="{00000000-0005-0000-0000-00005A0A0000}"/>
    <cellStyle name="20% - Accent4 19 4" xfId="4133" xr:uid="{00000000-0005-0000-0000-00005B0A0000}"/>
    <cellStyle name="20% - Accent4 19 5" xfId="6250" xr:uid="{00000000-0005-0000-0000-00005C0A0000}"/>
    <cellStyle name="20% - Accent4 19 6" xfId="8298" xr:uid="{00000000-0005-0000-0000-00005D0A0000}"/>
    <cellStyle name="20% - Accent4 2" xfId="1580" xr:uid="{00000000-0005-0000-0000-00005E0A0000}"/>
    <cellStyle name="20% - Accent4 2 2" xfId="1581" xr:uid="{00000000-0005-0000-0000-00005F0A0000}"/>
    <cellStyle name="20% - Accent4 2 2 2" xfId="1582" xr:uid="{00000000-0005-0000-0000-0000600A0000}"/>
    <cellStyle name="20% - Accent4 2 2 2 2" xfId="4136" xr:uid="{00000000-0005-0000-0000-0000610A0000}"/>
    <cellStyle name="20% - Accent4 2 2 2 3" xfId="6253" xr:uid="{00000000-0005-0000-0000-0000620A0000}"/>
    <cellStyle name="20% - Accent4 2 2 2 4" xfId="8301" xr:uid="{00000000-0005-0000-0000-0000630A0000}"/>
    <cellStyle name="20% - Accent4 2 3" xfId="1583" xr:uid="{00000000-0005-0000-0000-0000640A0000}"/>
    <cellStyle name="20% - Accent4 2 3 2" xfId="4137" xr:uid="{00000000-0005-0000-0000-0000650A0000}"/>
    <cellStyle name="20% - Accent4 2 3 3" xfId="6254" xr:uid="{00000000-0005-0000-0000-0000660A0000}"/>
    <cellStyle name="20% - Accent4 2 3 4" xfId="8302" xr:uid="{00000000-0005-0000-0000-0000670A0000}"/>
    <cellStyle name="20% - Accent4 2 4" xfId="1584" xr:uid="{00000000-0005-0000-0000-0000680A0000}"/>
    <cellStyle name="20% - Accent4 2 4 2" xfId="4138" xr:uid="{00000000-0005-0000-0000-0000690A0000}"/>
    <cellStyle name="20% - Accent4 2 4 3" xfId="6255" xr:uid="{00000000-0005-0000-0000-00006A0A0000}"/>
    <cellStyle name="20% - Accent4 2 4 4" xfId="8303" xr:uid="{00000000-0005-0000-0000-00006B0A0000}"/>
    <cellStyle name="20% - Accent4 2 5" xfId="1585" xr:uid="{00000000-0005-0000-0000-00006C0A0000}"/>
    <cellStyle name="20% - Accent4 2 5 2" xfId="4139" xr:uid="{00000000-0005-0000-0000-00006D0A0000}"/>
    <cellStyle name="20% - Accent4 2 5 3" xfId="6256" xr:uid="{00000000-0005-0000-0000-00006E0A0000}"/>
    <cellStyle name="20% - Accent4 2 5 4" xfId="8304" xr:uid="{00000000-0005-0000-0000-00006F0A0000}"/>
    <cellStyle name="20% - Accent4 2 6" xfId="1586" xr:uid="{00000000-0005-0000-0000-0000700A0000}"/>
    <cellStyle name="20% - Accent4 2 6 2" xfId="4140" xr:uid="{00000000-0005-0000-0000-0000710A0000}"/>
    <cellStyle name="20% - Accent4 2 6 3" xfId="6257" xr:uid="{00000000-0005-0000-0000-0000720A0000}"/>
    <cellStyle name="20% - Accent4 2 6 4" xfId="8305" xr:uid="{00000000-0005-0000-0000-0000730A0000}"/>
    <cellStyle name="20% - Accent4 2 7" xfId="1587" xr:uid="{00000000-0005-0000-0000-0000740A0000}"/>
    <cellStyle name="20% - Accent4 2 7 2" xfId="4141" xr:uid="{00000000-0005-0000-0000-0000750A0000}"/>
    <cellStyle name="20% - Accent4 2 7 3" xfId="6258" xr:uid="{00000000-0005-0000-0000-0000760A0000}"/>
    <cellStyle name="20% - Accent4 2 7 4" xfId="8306" xr:uid="{00000000-0005-0000-0000-0000770A0000}"/>
    <cellStyle name="20% - Accent4 2 8" xfId="1588" xr:uid="{00000000-0005-0000-0000-0000780A0000}"/>
    <cellStyle name="20% - Accent4 2 8 2" xfId="4142" xr:uid="{00000000-0005-0000-0000-0000790A0000}"/>
    <cellStyle name="20% - Accent4 2 8 3" xfId="6259" xr:uid="{00000000-0005-0000-0000-00007A0A0000}"/>
    <cellStyle name="20% - Accent4 2 8 4" xfId="8307" xr:uid="{00000000-0005-0000-0000-00007B0A0000}"/>
    <cellStyle name="20% - Accent4 2 9" xfId="1589" xr:uid="{00000000-0005-0000-0000-00007C0A0000}"/>
    <cellStyle name="20% - Accent4 20" xfId="1590" xr:uid="{00000000-0005-0000-0000-00007D0A0000}"/>
    <cellStyle name="20% - Accent4 20 2" xfId="1591" xr:uid="{00000000-0005-0000-0000-00007E0A0000}"/>
    <cellStyle name="20% - Accent4 20 2 2" xfId="4144" xr:uid="{00000000-0005-0000-0000-00007F0A0000}"/>
    <cellStyle name="20% - Accent4 20 2 3" xfId="6261" xr:uid="{00000000-0005-0000-0000-0000800A0000}"/>
    <cellStyle name="20% - Accent4 20 2 4" xfId="8309" xr:uid="{00000000-0005-0000-0000-0000810A0000}"/>
    <cellStyle name="20% - Accent4 20 3" xfId="1592" xr:uid="{00000000-0005-0000-0000-0000820A0000}"/>
    <cellStyle name="20% - Accent4 20 3 2" xfId="4145" xr:uid="{00000000-0005-0000-0000-0000830A0000}"/>
    <cellStyle name="20% - Accent4 20 3 3" xfId="6262" xr:uid="{00000000-0005-0000-0000-0000840A0000}"/>
    <cellStyle name="20% - Accent4 20 3 4" xfId="8310" xr:uid="{00000000-0005-0000-0000-0000850A0000}"/>
    <cellStyle name="20% - Accent4 20 4" xfId="4143" xr:uid="{00000000-0005-0000-0000-0000860A0000}"/>
    <cellStyle name="20% - Accent4 20 5" xfId="6260" xr:uid="{00000000-0005-0000-0000-0000870A0000}"/>
    <cellStyle name="20% - Accent4 20 6" xfId="8308" xr:uid="{00000000-0005-0000-0000-0000880A0000}"/>
    <cellStyle name="20% - Accent4 21" xfId="1593" xr:uid="{00000000-0005-0000-0000-0000890A0000}"/>
    <cellStyle name="20% - Accent4 21 2" xfId="1594" xr:uid="{00000000-0005-0000-0000-00008A0A0000}"/>
    <cellStyle name="20% - Accent4 21 2 2" xfId="4147" xr:uid="{00000000-0005-0000-0000-00008B0A0000}"/>
    <cellStyle name="20% - Accent4 21 2 3" xfId="6264" xr:uid="{00000000-0005-0000-0000-00008C0A0000}"/>
    <cellStyle name="20% - Accent4 21 2 4" xfId="8312" xr:uid="{00000000-0005-0000-0000-00008D0A0000}"/>
    <cellStyle name="20% - Accent4 21 3" xfId="1595" xr:uid="{00000000-0005-0000-0000-00008E0A0000}"/>
    <cellStyle name="20% - Accent4 21 3 2" xfId="4148" xr:uid="{00000000-0005-0000-0000-00008F0A0000}"/>
    <cellStyle name="20% - Accent4 21 3 3" xfId="6265" xr:uid="{00000000-0005-0000-0000-0000900A0000}"/>
    <cellStyle name="20% - Accent4 21 3 4" xfId="8313" xr:uid="{00000000-0005-0000-0000-0000910A0000}"/>
    <cellStyle name="20% - Accent4 21 4" xfId="4146" xr:uid="{00000000-0005-0000-0000-0000920A0000}"/>
    <cellStyle name="20% - Accent4 21 5" xfId="6263" xr:uid="{00000000-0005-0000-0000-0000930A0000}"/>
    <cellStyle name="20% - Accent4 21 6" xfId="8311" xr:uid="{00000000-0005-0000-0000-0000940A0000}"/>
    <cellStyle name="20% - Accent4 22" xfId="1596" xr:uid="{00000000-0005-0000-0000-0000950A0000}"/>
    <cellStyle name="20% - Accent4 22 2" xfId="1597" xr:uid="{00000000-0005-0000-0000-0000960A0000}"/>
    <cellStyle name="20% - Accent4 22 2 2" xfId="4150" xr:uid="{00000000-0005-0000-0000-0000970A0000}"/>
    <cellStyle name="20% - Accent4 22 2 3" xfId="6267" xr:uid="{00000000-0005-0000-0000-0000980A0000}"/>
    <cellStyle name="20% - Accent4 22 2 4" xfId="8315" xr:uid="{00000000-0005-0000-0000-0000990A0000}"/>
    <cellStyle name="20% - Accent4 22 3" xfId="1598" xr:uid="{00000000-0005-0000-0000-00009A0A0000}"/>
    <cellStyle name="20% - Accent4 22 3 2" xfId="4151" xr:uid="{00000000-0005-0000-0000-00009B0A0000}"/>
    <cellStyle name="20% - Accent4 22 3 3" xfId="6268" xr:uid="{00000000-0005-0000-0000-00009C0A0000}"/>
    <cellStyle name="20% - Accent4 22 3 4" xfId="8316" xr:uid="{00000000-0005-0000-0000-00009D0A0000}"/>
    <cellStyle name="20% - Accent4 22 4" xfId="4149" xr:uid="{00000000-0005-0000-0000-00009E0A0000}"/>
    <cellStyle name="20% - Accent4 22 5" xfId="6266" xr:uid="{00000000-0005-0000-0000-00009F0A0000}"/>
    <cellStyle name="20% - Accent4 22 6" xfId="8314" xr:uid="{00000000-0005-0000-0000-0000A00A0000}"/>
    <cellStyle name="20% - Accent4 23" xfId="1599" xr:uid="{00000000-0005-0000-0000-0000A10A0000}"/>
    <cellStyle name="20% - Accent4 23 2" xfId="1600" xr:uid="{00000000-0005-0000-0000-0000A20A0000}"/>
    <cellStyle name="20% - Accent4 23 2 2" xfId="4153" xr:uid="{00000000-0005-0000-0000-0000A30A0000}"/>
    <cellStyle name="20% - Accent4 23 2 3" xfId="6270" xr:uid="{00000000-0005-0000-0000-0000A40A0000}"/>
    <cellStyle name="20% - Accent4 23 2 4" xfId="8318" xr:uid="{00000000-0005-0000-0000-0000A50A0000}"/>
    <cellStyle name="20% - Accent4 23 3" xfId="4152" xr:uid="{00000000-0005-0000-0000-0000A60A0000}"/>
    <cellStyle name="20% - Accent4 23 4" xfId="6269" xr:uid="{00000000-0005-0000-0000-0000A70A0000}"/>
    <cellStyle name="20% - Accent4 23 5" xfId="8317" xr:uid="{00000000-0005-0000-0000-0000A80A0000}"/>
    <cellStyle name="20% - Accent4 24" xfId="1601" xr:uid="{00000000-0005-0000-0000-0000A90A0000}"/>
    <cellStyle name="20% - Accent4 24 2" xfId="1602" xr:uid="{00000000-0005-0000-0000-0000AA0A0000}"/>
    <cellStyle name="20% - Accent4 24 2 2" xfId="4155" xr:uid="{00000000-0005-0000-0000-0000AB0A0000}"/>
    <cellStyle name="20% - Accent4 24 2 3" xfId="6272" xr:uid="{00000000-0005-0000-0000-0000AC0A0000}"/>
    <cellStyle name="20% - Accent4 24 2 4" xfId="8320" xr:uid="{00000000-0005-0000-0000-0000AD0A0000}"/>
    <cellStyle name="20% - Accent4 24 3" xfId="4154" xr:uid="{00000000-0005-0000-0000-0000AE0A0000}"/>
    <cellStyle name="20% - Accent4 24 4" xfId="6271" xr:uid="{00000000-0005-0000-0000-0000AF0A0000}"/>
    <cellStyle name="20% - Accent4 24 5" xfId="8319" xr:uid="{00000000-0005-0000-0000-0000B00A0000}"/>
    <cellStyle name="20% - Accent4 25" xfId="1603" xr:uid="{00000000-0005-0000-0000-0000B10A0000}"/>
    <cellStyle name="20% - Accent4 25 2" xfId="1604" xr:uid="{00000000-0005-0000-0000-0000B20A0000}"/>
    <cellStyle name="20% - Accent4 25 2 2" xfId="4157" xr:uid="{00000000-0005-0000-0000-0000B30A0000}"/>
    <cellStyle name="20% - Accent4 25 2 3" xfId="6274" xr:uid="{00000000-0005-0000-0000-0000B40A0000}"/>
    <cellStyle name="20% - Accent4 25 2 4" xfId="8322" xr:uid="{00000000-0005-0000-0000-0000B50A0000}"/>
    <cellStyle name="20% - Accent4 25 3" xfId="4156" xr:uid="{00000000-0005-0000-0000-0000B60A0000}"/>
    <cellStyle name="20% - Accent4 25 4" xfId="6273" xr:uid="{00000000-0005-0000-0000-0000B70A0000}"/>
    <cellStyle name="20% - Accent4 25 5" xfId="8321" xr:uid="{00000000-0005-0000-0000-0000B80A0000}"/>
    <cellStyle name="20% - Accent4 26" xfId="1605" xr:uid="{00000000-0005-0000-0000-0000B90A0000}"/>
    <cellStyle name="20% - Accent4 26 2" xfId="1606" xr:uid="{00000000-0005-0000-0000-0000BA0A0000}"/>
    <cellStyle name="20% - Accent4 26 2 2" xfId="4159" xr:uid="{00000000-0005-0000-0000-0000BB0A0000}"/>
    <cellStyle name="20% - Accent4 26 2 3" xfId="6276" xr:uid="{00000000-0005-0000-0000-0000BC0A0000}"/>
    <cellStyle name="20% - Accent4 26 2 4" xfId="8324" xr:uid="{00000000-0005-0000-0000-0000BD0A0000}"/>
    <cellStyle name="20% - Accent4 26 3" xfId="4158" xr:uid="{00000000-0005-0000-0000-0000BE0A0000}"/>
    <cellStyle name="20% - Accent4 26 4" xfId="6275" xr:uid="{00000000-0005-0000-0000-0000BF0A0000}"/>
    <cellStyle name="20% - Accent4 26 5" xfId="8323" xr:uid="{00000000-0005-0000-0000-0000C00A0000}"/>
    <cellStyle name="20% - Accent4 27" xfId="1607" xr:uid="{00000000-0005-0000-0000-0000C10A0000}"/>
    <cellStyle name="20% - Accent4 27 2" xfId="1608" xr:uid="{00000000-0005-0000-0000-0000C20A0000}"/>
    <cellStyle name="20% - Accent4 27 2 2" xfId="4161" xr:uid="{00000000-0005-0000-0000-0000C30A0000}"/>
    <cellStyle name="20% - Accent4 27 2 3" xfId="6278" xr:uid="{00000000-0005-0000-0000-0000C40A0000}"/>
    <cellStyle name="20% - Accent4 27 2 4" xfId="8326" xr:uid="{00000000-0005-0000-0000-0000C50A0000}"/>
    <cellStyle name="20% - Accent4 27 3" xfId="4160" xr:uid="{00000000-0005-0000-0000-0000C60A0000}"/>
    <cellStyle name="20% - Accent4 27 4" xfId="6277" xr:uid="{00000000-0005-0000-0000-0000C70A0000}"/>
    <cellStyle name="20% - Accent4 27 5" xfId="8325" xr:uid="{00000000-0005-0000-0000-0000C80A0000}"/>
    <cellStyle name="20% - Accent4 28" xfId="1609" xr:uid="{00000000-0005-0000-0000-0000C90A0000}"/>
    <cellStyle name="20% - Accent4 28 2" xfId="1610" xr:uid="{00000000-0005-0000-0000-0000CA0A0000}"/>
    <cellStyle name="20% - Accent4 28 2 2" xfId="4163" xr:uid="{00000000-0005-0000-0000-0000CB0A0000}"/>
    <cellStyle name="20% - Accent4 28 2 3" xfId="6280" xr:uid="{00000000-0005-0000-0000-0000CC0A0000}"/>
    <cellStyle name="20% - Accent4 28 2 4" xfId="8328" xr:uid="{00000000-0005-0000-0000-0000CD0A0000}"/>
    <cellStyle name="20% - Accent4 28 3" xfId="4162" xr:uid="{00000000-0005-0000-0000-0000CE0A0000}"/>
    <cellStyle name="20% - Accent4 28 4" xfId="6279" xr:uid="{00000000-0005-0000-0000-0000CF0A0000}"/>
    <cellStyle name="20% - Accent4 28 5" xfId="8327" xr:uid="{00000000-0005-0000-0000-0000D00A0000}"/>
    <cellStyle name="20% - Accent4 29" xfId="1611" xr:uid="{00000000-0005-0000-0000-0000D10A0000}"/>
    <cellStyle name="20% - Accent4 29 2" xfId="1612" xr:uid="{00000000-0005-0000-0000-0000D20A0000}"/>
    <cellStyle name="20% - Accent4 29 2 2" xfId="4165" xr:uid="{00000000-0005-0000-0000-0000D30A0000}"/>
    <cellStyle name="20% - Accent4 29 2 3" xfId="6282" xr:uid="{00000000-0005-0000-0000-0000D40A0000}"/>
    <cellStyle name="20% - Accent4 29 2 4" xfId="8330" xr:uid="{00000000-0005-0000-0000-0000D50A0000}"/>
    <cellStyle name="20% - Accent4 29 3" xfId="4164" xr:uid="{00000000-0005-0000-0000-0000D60A0000}"/>
    <cellStyle name="20% - Accent4 29 4" xfId="6281" xr:uid="{00000000-0005-0000-0000-0000D70A0000}"/>
    <cellStyle name="20% - Accent4 29 5" xfId="8329" xr:uid="{00000000-0005-0000-0000-0000D80A0000}"/>
    <cellStyle name="20% - Accent4 3" xfId="1613" xr:uid="{00000000-0005-0000-0000-0000D90A0000}"/>
    <cellStyle name="20% - Accent4 3 2" xfId="1614" xr:uid="{00000000-0005-0000-0000-0000DA0A0000}"/>
    <cellStyle name="20% - Accent4 3 2 2" xfId="4166" xr:uid="{00000000-0005-0000-0000-0000DB0A0000}"/>
    <cellStyle name="20% - Accent4 3 2 3" xfId="6283" xr:uid="{00000000-0005-0000-0000-0000DC0A0000}"/>
    <cellStyle name="20% - Accent4 3 2 4" xfId="8331" xr:uid="{00000000-0005-0000-0000-0000DD0A0000}"/>
    <cellStyle name="20% - Accent4 3 3" xfId="1615" xr:uid="{00000000-0005-0000-0000-0000DE0A0000}"/>
    <cellStyle name="20% - Accent4 3 3 2" xfId="4167" xr:uid="{00000000-0005-0000-0000-0000DF0A0000}"/>
    <cellStyle name="20% - Accent4 3 3 3" xfId="6284" xr:uid="{00000000-0005-0000-0000-0000E00A0000}"/>
    <cellStyle name="20% - Accent4 3 3 4" xfId="8332" xr:uid="{00000000-0005-0000-0000-0000E10A0000}"/>
    <cellStyle name="20% - Accent4 3 4" xfId="1616" xr:uid="{00000000-0005-0000-0000-0000E20A0000}"/>
    <cellStyle name="20% - Accent4 3 4 2" xfId="4168" xr:uid="{00000000-0005-0000-0000-0000E30A0000}"/>
    <cellStyle name="20% - Accent4 3 4 3" xfId="6285" xr:uid="{00000000-0005-0000-0000-0000E40A0000}"/>
    <cellStyle name="20% - Accent4 3 4 4" xfId="8333" xr:uid="{00000000-0005-0000-0000-0000E50A0000}"/>
    <cellStyle name="20% - Accent4 3 5" xfId="1617" xr:uid="{00000000-0005-0000-0000-0000E60A0000}"/>
    <cellStyle name="20% - Accent4 3 5 2" xfId="4169" xr:uid="{00000000-0005-0000-0000-0000E70A0000}"/>
    <cellStyle name="20% - Accent4 3 5 3" xfId="6286" xr:uid="{00000000-0005-0000-0000-0000E80A0000}"/>
    <cellStyle name="20% - Accent4 3 5 4" xfId="8334" xr:uid="{00000000-0005-0000-0000-0000E90A0000}"/>
    <cellStyle name="20% - Accent4 3 6" xfId="1618" xr:uid="{00000000-0005-0000-0000-0000EA0A0000}"/>
    <cellStyle name="20% - Accent4 3 6 2" xfId="4170" xr:uid="{00000000-0005-0000-0000-0000EB0A0000}"/>
    <cellStyle name="20% - Accent4 3 6 3" xfId="6287" xr:uid="{00000000-0005-0000-0000-0000EC0A0000}"/>
    <cellStyle name="20% - Accent4 3 6 4" xfId="8335" xr:uid="{00000000-0005-0000-0000-0000ED0A0000}"/>
    <cellStyle name="20% - Accent4 3 7" xfId="1619" xr:uid="{00000000-0005-0000-0000-0000EE0A0000}"/>
    <cellStyle name="20% - Accent4 3 7 2" xfId="4171" xr:uid="{00000000-0005-0000-0000-0000EF0A0000}"/>
    <cellStyle name="20% - Accent4 3 7 3" xfId="6288" xr:uid="{00000000-0005-0000-0000-0000F00A0000}"/>
    <cellStyle name="20% - Accent4 3 7 4" xfId="8336" xr:uid="{00000000-0005-0000-0000-0000F10A0000}"/>
    <cellStyle name="20% - Accent4 30" xfId="1620" xr:uid="{00000000-0005-0000-0000-0000F20A0000}"/>
    <cellStyle name="20% - Accent4 30 2" xfId="1621" xr:uid="{00000000-0005-0000-0000-0000F30A0000}"/>
    <cellStyle name="20% - Accent4 30 2 2" xfId="4173" xr:uid="{00000000-0005-0000-0000-0000F40A0000}"/>
    <cellStyle name="20% - Accent4 30 2 3" xfId="6290" xr:uid="{00000000-0005-0000-0000-0000F50A0000}"/>
    <cellStyle name="20% - Accent4 30 2 4" xfId="8338" xr:uid="{00000000-0005-0000-0000-0000F60A0000}"/>
    <cellStyle name="20% - Accent4 30 3" xfId="4172" xr:uid="{00000000-0005-0000-0000-0000F70A0000}"/>
    <cellStyle name="20% - Accent4 30 4" xfId="6289" xr:uid="{00000000-0005-0000-0000-0000F80A0000}"/>
    <cellStyle name="20% - Accent4 30 5" xfId="8337" xr:uid="{00000000-0005-0000-0000-0000F90A0000}"/>
    <cellStyle name="20% - Accent4 31" xfId="1622" xr:uid="{00000000-0005-0000-0000-0000FA0A0000}"/>
    <cellStyle name="20% - Accent4 31 2" xfId="1623" xr:uid="{00000000-0005-0000-0000-0000FB0A0000}"/>
    <cellStyle name="20% - Accent4 31 2 2" xfId="4175" xr:uid="{00000000-0005-0000-0000-0000FC0A0000}"/>
    <cellStyle name="20% - Accent4 31 2 3" xfId="6292" xr:uid="{00000000-0005-0000-0000-0000FD0A0000}"/>
    <cellStyle name="20% - Accent4 31 2 4" xfId="8340" xr:uid="{00000000-0005-0000-0000-0000FE0A0000}"/>
    <cellStyle name="20% - Accent4 31 3" xfId="4174" xr:uid="{00000000-0005-0000-0000-0000FF0A0000}"/>
    <cellStyle name="20% - Accent4 31 4" xfId="6291" xr:uid="{00000000-0005-0000-0000-0000000B0000}"/>
    <cellStyle name="20% - Accent4 31 5" xfId="8339" xr:uid="{00000000-0005-0000-0000-0000010B0000}"/>
    <cellStyle name="20% - Accent4 32" xfId="1624" xr:uid="{00000000-0005-0000-0000-0000020B0000}"/>
    <cellStyle name="20% - Accent4 32 2" xfId="1625" xr:uid="{00000000-0005-0000-0000-0000030B0000}"/>
    <cellStyle name="20% - Accent4 32 2 2" xfId="4177" xr:uid="{00000000-0005-0000-0000-0000040B0000}"/>
    <cellStyle name="20% - Accent4 32 2 3" xfId="6294" xr:uid="{00000000-0005-0000-0000-0000050B0000}"/>
    <cellStyle name="20% - Accent4 32 2 4" xfId="8342" xr:uid="{00000000-0005-0000-0000-0000060B0000}"/>
    <cellStyle name="20% - Accent4 32 3" xfId="4176" xr:uid="{00000000-0005-0000-0000-0000070B0000}"/>
    <cellStyle name="20% - Accent4 32 4" xfId="6293" xr:uid="{00000000-0005-0000-0000-0000080B0000}"/>
    <cellStyle name="20% - Accent4 32 5" xfId="8341" xr:uid="{00000000-0005-0000-0000-0000090B0000}"/>
    <cellStyle name="20% - Accent4 33" xfId="1626" xr:uid="{00000000-0005-0000-0000-00000A0B0000}"/>
    <cellStyle name="20% - Accent4 33 2" xfId="4178" xr:uid="{00000000-0005-0000-0000-00000B0B0000}"/>
    <cellStyle name="20% - Accent4 33 3" xfId="6295" xr:uid="{00000000-0005-0000-0000-00000C0B0000}"/>
    <cellStyle name="20% - Accent4 33 4" xfId="8343" xr:uid="{00000000-0005-0000-0000-00000D0B0000}"/>
    <cellStyle name="20% - Accent4 34" xfId="1627" xr:uid="{00000000-0005-0000-0000-00000E0B0000}"/>
    <cellStyle name="20% - Accent4 34 2" xfId="4179" xr:uid="{00000000-0005-0000-0000-00000F0B0000}"/>
    <cellStyle name="20% - Accent4 34 3" xfId="6296" xr:uid="{00000000-0005-0000-0000-0000100B0000}"/>
    <cellStyle name="20% - Accent4 34 4" xfId="8344" xr:uid="{00000000-0005-0000-0000-0000110B0000}"/>
    <cellStyle name="20% - Accent4 35" xfId="1628" xr:uid="{00000000-0005-0000-0000-0000120B0000}"/>
    <cellStyle name="20% - Accent4 35 2" xfId="4180" xr:uid="{00000000-0005-0000-0000-0000130B0000}"/>
    <cellStyle name="20% - Accent4 35 3" xfId="6297" xr:uid="{00000000-0005-0000-0000-0000140B0000}"/>
    <cellStyle name="20% - Accent4 35 4" xfId="8345" xr:uid="{00000000-0005-0000-0000-0000150B0000}"/>
    <cellStyle name="20% - Accent4 36" xfId="1629" xr:uid="{00000000-0005-0000-0000-0000160B0000}"/>
    <cellStyle name="20% - Accent4 36 2" xfId="4181" xr:uid="{00000000-0005-0000-0000-0000170B0000}"/>
    <cellStyle name="20% - Accent4 36 3" xfId="6298" xr:uid="{00000000-0005-0000-0000-0000180B0000}"/>
    <cellStyle name="20% - Accent4 36 4" xfId="8346" xr:uid="{00000000-0005-0000-0000-0000190B0000}"/>
    <cellStyle name="20% - Accent4 37" xfId="1630" xr:uid="{00000000-0005-0000-0000-00001A0B0000}"/>
    <cellStyle name="20% - Accent4 37 2" xfId="4182" xr:uid="{00000000-0005-0000-0000-00001B0B0000}"/>
    <cellStyle name="20% - Accent4 37 3" xfId="6299" xr:uid="{00000000-0005-0000-0000-00001C0B0000}"/>
    <cellStyle name="20% - Accent4 37 4" xfId="8347" xr:uid="{00000000-0005-0000-0000-00001D0B0000}"/>
    <cellStyle name="20% - Accent4 38" xfId="1631" xr:uid="{00000000-0005-0000-0000-00001E0B0000}"/>
    <cellStyle name="20% - Accent4 38 2" xfId="4183" xr:uid="{00000000-0005-0000-0000-00001F0B0000}"/>
    <cellStyle name="20% - Accent4 38 3" xfId="6300" xr:uid="{00000000-0005-0000-0000-0000200B0000}"/>
    <cellStyle name="20% - Accent4 38 4" xfId="8348" xr:uid="{00000000-0005-0000-0000-0000210B0000}"/>
    <cellStyle name="20% - Accent4 39" xfId="1632" xr:uid="{00000000-0005-0000-0000-0000220B0000}"/>
    <cellStyle name="20% - Accent4 39 2" xfId="4184" xr:uid="{00000000-0005-0000-0000-0000230B0000}"/>
    <cellStyle name="20% - Accent4 39 3" xfId="6301" xr:uid="{00000000-0005-0000-0000-0000240B0000}"/>
    <cellStyle name="20% - Accent4 39 4" xfId="8349" xr:uid="{00000000-0005-0000-0000-0000250B0000}"/>
    <cellStyle name="20% - Accent4 4" xfId="1633" xr:uid="{00000000-0005-0000-0000-0000260B0000}"/>
    <cellStyle name="20% - Accent4 4 2" xfId="1634" xr:uid="{00000000-0005-0000-0000-0000270B0000}"/>
    <cellStyle name="20% - Accent4 4 2 2" xfId="4185" xr:uid="{00000000-0005-0000-0000-0000280B0000}"/>
    <cellStyle name="20% - Accent4 4 2 3" xfId="6302" xr:uid="{00000000-0005-0000-0000-0000290B0000}"/>
    <cellStyle name="20% - Accent4 4 2 4" xfId="8350" xr:uid="{00000000-0005-0000-0000-00002A0B0000}"/>
    <cellStyle name="20% - Accent4 4 3" xfId="1635" xr:uid="{00000000-0005-0000-0000-00002B0B0000}"/>
    <cellStyle name="20% - Accent4 4 3 2" xfId="4186" xr:uid="{00000000-0005-0000-0000-00002C0B0000}"/>
    <cellStyle name="20% - Accent4 4 3 3" xfId="6303" xr:uid="{00000000-0005-0000-0000-00002D0B0000}"/>
    <cellStyle name="20% - Accent4 4 3 4" xfId="8351" xr:uid="{00000000-0005-0000-0000-00002E0B0000}"/>
    <cellStyle name="20% - Accent4 4 4" xfId="1636" xr:uid="{00000000-0005-0000-0000-00002F0B0000}"/>
    <cellStyle name="20% - Accent4 4 4 2" xfId="4187" xr:uid="{00000000-0005-0000-0000-0000300B0000}"/>
    <cellStyle name="20% - Accent4 4 4 3" xfId="6304" xr:uid="{00000000-0005-0000-0000-0000310B0000}"/>
    <cellStyle name="20% - Accent4 4 4 4" xfId="8352" xr:uid="{00000000-0005-0000-0000-0000320B0000}"/>
    <cellStyle name="20% - Accent4 4 5" xfId="1637" xr:uid="{00000000-0005-0000-0000-0000330B0000}"/>
    <cellStyle name="20% - Accent4 4 5 2" xfId="4188" xr:uid="{00000000-0005-0000-0000-0000340B0000}"/>
    <cellStyle name="20% - Accent4 4 5 3" xfId="6305" xr:uid="{00000000-0005-0000-0000-0000350B0000}"/>
    <cellStyle name="20% - Accent4 4 5 4" xfId="8353" xr:uid="{00000000-0005-0000-0000-0000360B0000}"/>
    <cellStyle name="20% - Accent4 4 6" xfId="1638" xr:uid="{00000000-0005-0000-0000-0000370B0000}"/>
    <cellStyle name="20% - Accent4 4 6 2" xfId="4189" xr:uid="{00000000-0005-0000-0000-0000380B0000}"/>
    <cellStyle name="20% - Accent4 4 6 3" xfId="6306" xr:uid="{00000000-0005-0000-0000-0000390B0000}"/>
    <cellStyle name="20% - Accent4 4 6 4" xfId="8354" xr:uid="{00000000-0005-0000-0000-00003A0B0000}"/>
    <cellStyle name="20% - Accent4 4 7" xfId="1639" xr:uid="{00000000-0005-0000-0000-00003B0B0000}"/>
    <cellStyle name="20% - Accent4 4 7 2" xfId="4190" xr:uid="{00000000-0005-0000-0000-00003C0B0000}"/>
    <cellStyle name="20% - Accent4 4 7 3" xfId="6307" xr:uid="{00000000-0005-0000-0000-00003D0B0000}"/>
    <cellStyle name="20% - Accent4 4 7 4" xfId="8355" xr:uid="{00000000-0005-0000-0000-00003E0B0000}"/>
    <cellStyle name="20% - Accent4 40" xfId="1640" xr:uid="{00000000-0005-0000-0000-00003F0B0000}"/>
    <cellStyle name="20% - Accent4 40 2" xfId="4191" xr:uid="{00000000-0005-0000-0000-0000400B0000}"/>
    <cellStyle name="20% - Accent4 40 3" xfId="6308" xr:uid="{00000000-0005-0000-0000-0000410B0000}"/>
    <cellStyle name="20% - Accent4 40 4" xfId="8356" xr:uid="{00000000-0005-0000-0000-0000420B0000}"/>
    <cellStyle name="20% - Accent4 41" xfId="1641" xr:uid="{00000000-0005-0000-0000-0000430B0000}"/>
    <cellStyle name="20% - Accent4 41 2" xfId="4192" xr:uid="{00000000-0005-0000-0000-0000440B0000}"/>
    <cellStyle name="20% - Accent4 41 3" xfId="6309" xr:uid="{00000000-0005-0000-0000-0000450B0000}"/>
    <cellStyle name="20% - Accent4 41 4" xfId="8357" xr:uid="{00000000-0005-0000-0000-0000460B0000}"/>
    <cellStyle name="20% - Accent4 42" xfId="1642" xr:uid="{00000000-0005-0000-0000-0000470B0000}"/>
    <cellStyle name="20% - Accent4 42 2" xfId="4193" xr:uid="{00000000-0005-0000-0000-0000480B0000}"/>
    <cellStyle name="20% - Accent4 42 3" xfId="6310" xr:uid="{00000000-0005-0000-0000-0000490B0000}"/>
    <cellStyle name="20% - Accent4 42 4" xfId="8358" xr:uid="{00000000-0005-0000-0000-00004A0B0000}"/>
    <cellStyle name="20% - Accent4 43" xfId="1643" xr:uid="{00000000-0005-0000-0000-00004B0B0000}"/>
    <cellStyle name="20% - Accent4 43 2" xfId="4194" xr:uid="{00000000-0005-0000-0000-00004C0B0000}"/>
    <cellStyle name="20% - Accent4 43 3" xfId="6311" xr:uid="{00000000-0005-0000-0000-00004D0B0000}"/>
    <cellStyle name="20% - Accent4 43 4" xfId="8359" xr:uid="{00000000-0005-0000-0000-00004E0B0000}"/>
    <cellStyle name="20% - Accent4 44" xfId="1644" xr:uid="{00000000-0005-0000-0000-00004F0B0000}"/>
    <cellStyle name="20% - Accent4 44 2" xfId="4195" xr:uid="{00000000-0005-0000-0000-0000500B0000}"/>
    <cellStyle name="20% - Accent4 44 3" xfId="6312" xr:uid="{00000000-0005-0000-0000-0000510B0000}"/>
    <cellStyle name="20% - Accent4 44 4" xfId="8360" xr:uid="{00000000-0005-0000-0000-0000520B0000}"/>
    <cellStyle name="20% - Accent4 45" xfId="1645" xr:uid="{00000000-0005-0000-0000-0000530B0000}"/>
    <cellStyle name="20% - Accent4 45 2" xfId="4196" xr:uid="{00000000-0005-0000-0000-0000540B0000}"/>
    <cellStyle name="20% - Accent4 45 3" xfId="6313" xr:uid="{00000000-0005-0000-0000-0000550B0000}"/>
    <cellStyle name="20% - Accent4 45 4" xfId="8361" xr:uid="{00000000-0005-0000-0000-0000560B0000}"/>
    <cellStyle name="20% - Accent4 46" xfId="1646" xr:uid="{00000000-0005-0000-0000-0000570B0000}"/>
    <cellStyle name="20% - Accent4 46 2" xfId="4197" xr:uid="{00000000-0005-0000-0000-0000580B0000}"/>
    <cellStyle name="20% - Accent4 46 3" xfId="6314" xr:uid="{00000000-0005-0000-0000-0000590B0000}"/>
    <cellStyle name="20% - Accent4 46 4" xfId="8362" xr:uid="{00000000-0005-0000-0000-00005A0B0000}"/>
    <cellStyle name="20% - Accent4 47" xfId="1647" xr:uid="{00000000-0005-0000-0000-00005B0B0000}"/>
    <cellStyle name="20% - Accent4 47 2" xfId="4198" xr:uid="{00000000-0005-0000-0000-00005C0B0000}"/>
    <cellStyle name="20% - Accent4 47 3" xfId="6315" xr:uid="{00000000-0005-0000-0000-00005D0B0000}"/>
    <cellStyle name="20% - Accent4 47 4" xfId="8363" xr:uid="{00000000-0005-0000-0000-00005E0B0000}"/>
    <cellStyle name="20% - Accent4 48" xfId="1648" xr:uid="{00000000-0005-0000-0000-00005F0B0000}"/>
    <cellStyle name="20% - Accent4 48 2" xfId="4199" xr:uid="{00000000-0005-0000-0000-0000600B0000}"/>
    <cellStyle name="20% - Accent4 48 3" xfId="6316" xr:uid="{00000000-0005-0000-0000-0000610B0000}"/>
    <cellStyle name="20% - Accent4 48 4" xfId="8364" xr:uid="{00000000-0005-0000-0000-0000620B0000}"/>
    <cellStyle name="20% - Accent4 49" xfId="1649" xr:uid="{00000000-0005-0000-0000-0000630B0000}"/>
    <cellStyle name="20% - Accent4 49 2" xfId="4200" xr:uid="{00000000-0005-0000-0000-0000640B0000}"/>
    <cellStyle name="20% - Accent4 49 3" xfId="6317" xr:uid="{00000000-0005-0000-0000-0000650B0000}"/>
    <cellStyle name="20% - Accent4 49 4" xfId="8365" xr:uid="{00000000-0005-0000-0000-0000660B0000}"/>
    <cellStyle name="20% - Accent4 5" xfId="1650" xr:uid="{00000000-0005-0000-0000-0000670B0000}"/>
    <cellStyle name="20% - Accent4 5 2" xfId="1651" xr:uid="{00000000-0005-0000-0000-0000680B0000}"/>
    <cellStyle name="20% - Accent4 5 2 2" xfId="4201" xr:uid="{00000000-0005-0000-0000-0000690B0000}"/>
    <cellStyle name="20% - Accent4 5 2 3" xfId="6318" xr:uid="{00000000-0005-0000-0000-00006A0B0000}"/>
    <cellStyle name="20% - Accent4 5 2 4" xfId="8366" xr:uid="{00000000-0005-0000-0000-00006B0B0000}"/>
    <cellStyle name="20% - Accent4 5 3" xfId="1652" xr:uid="{00000000-0005-0000-0000-00006C0B0000}"/>
    <cellStyle name="20% - Accent4 5 3 2" xfId="4202" xr:uid="{00000000-0005-0000-0000-00006D0B0000}"/>
    <cellStyle name="20% - Accent4 5 3 3" xfId="6319" xr:uid="{00000000-0005-0000-0000-00006E0B0000}"/>
    <cellStyle name="20% - Accent4 5 3 4" xfId="8367" xr:uid="{00000000-0005-0000-0000-00006F0B0000}"/>
    <cellStyle name="20% - Accent4 5 4" xfId="1653" xr:uid="{00000000-0005-0000-0000-0000700B0000}"/>
    <cellStyle name="20% - Accent4 5 4 2" xfId="4203" xr:uid="{00000000-0005-0000-0000-0000710B0000}"/>
    <cellStyle name="20% - Accent4 5 4 3" xfId="6320" xr:uid="{00000000-0005-0000-0000-0000720B0000}"/>
    <cellStyle name="20% - Accent4 5 4 4" xfId="8368" xr:uid="{00000000-0005-0000-0000-0000730B0000}"/>
    <cellStyle name="20% - Accent4 5 5" xfId="1654" xr:uid="{00000000-0005-0000-0000-0000740B0000}"/>
    <cellStyle name="20% - Accent4 5 5 2" xfId="4204" xr:uid="{00000000-0005-0000-0000-0000750B0000}"/>
    <cellStyle name="20% - Accent4 5 5 3" xfId="6321" xr:uid="{00000000-0005-0000-0000-0000760B0000}"/>
    <cellStyle name="20% - Accent4 5 5 4" xfId="8369" xr:uid="{00000000-0005-0000-0000-0000770B0000}"/>
    <cellStyle name="20% - Accent4 5 6" xfId="1655" xr:uid="{00000000-0005-0000-0000-0000780B0000}"/>
    <cellStyle name="20% - Accent4 5 6 2" xfId="4205" xr:uid="{00000000-0005-0000-0000-0000790B0000}"/>
    <cellStyle name="20% - Accent4 5 6 3" xfId="6322" xr:uid="{00000000-0005-0000-0000-00007A0B0000}"/>
    <cellStyle name="20% - Accent4 5 6 4" xfId="8370" xr:uid="{00000000-0005-0000-0000-00007B0B0000}"/>
    <cellStyle name="20% - Accent4 5 7" xfId="1656" xr:uid="{00000000-0005-0000-0000-00007C0B0000}"/>
    <cellStyle name="20% - Accent4 5 7 2" xfId="4206" xr:uid="{00000000-0005-0000-0000-00007D0B0000}"/>
    <cellStyle name="20% - Accent4 5 7 3" xfId="6323" xr:uid="{00000000-0005-0000-0000-00007E0B0000}"/>
    <cellStyle name="20% - Accent4 5 7 4" xfId="8371" xr:uid="{00000000-0005-0000-0000-00007F0B0000}"/>
    <cellStyle name="20% - Accent4 50" xfId="1657" xr:uid="{00000000-0005-0000-0000-0000800B0000}"/>
    <cellStyle name="20% - Accent4 50 2" xfId="4207" xr:uid="{00000000-0005-0000-0000-0000810B0000}"/>
    <cellStyle name="20% - Accent4 50 3" xfId="6324" xr:uid="{00000000-0005-0000-0000-0000820B0000}"/>
    <cellStyle name="20% - Accent4 50 4" xfId="8372" xr:uid="{00000000-0005-0000-0000-0000830B0000}"/>
    <cellStyle name="20% - Accent4 6" xfId="1658" xr:uid="{00000000-0005-0000-0000-0000840B0000}"/>
    <cellStyle name="20% - Accent4 6 2" xfId="1659" xr:uid="{00000000-0005-0000-0000-0000850B0000}"/>
    <cellStyle name="20% - Accent4 6 2 2" xfId="4208" xr:uid="{00000000-0005-0000-0000-0000860B0000}"/>
    <cellStyle name="20% - Accent4 6 2 3" xfId="6325" xr:uid="{00000000-0005-0000-0000-0000870B0000}"/>
    <cellStyle name="20% - Accent4 6 2 4" xfId="8373" xr:uid="{00000000-0005-0000-0000-0000880B0000}"/>
    <cellStyle name="20% - Accent4 6 3" xfId="1660" xr:uid="{00000000-0005-0000-0000-0000890B0000}"/>
    <cellStyle name="20% - Accent4 6 3 2" xfId="4209" xr:uid="{00000000-0005-0000-0000-00008A0B0000}"/>
    <cellStyle name="20% - Accent4 6 3 3" xfId="6326" xr:uid="{00000000-0005-0000-0000-00008B0B0000}"/>
    <cellStyle name="20% - Accent4 6 3 4" xfId="8374" xr:uid="{00000000-0005-0000-0000-00008C0B0000}"/>
    <cellStyle name="20% - Accent4 6 4" xfId="1661" xr:uid="{00000000-0005-0000-0000-00008D0B0000}"/>
    <cellStyle name="20% - Accent4 6 4 2" xfId="4210" xr:uid="{00000000-0005-0000-0000-00008E0B0000}"/>
    <cellStyle name="20% - Accent4 6 4 3" xfId="6327" xr:uid="{00000000-0005-0000-0000-00008F0B0000}"/>
    <cellStyle name="20% - Accent4 6 4 4" xfId="8375" xr:uid="{00000000-0005-0000-0000-0000900B0000}"/>
    <cellStyle name="20% - Accent4 6 5" xfId="1662" xr:uid="{00000000-0005-0000-0000-0000910B0000}"/>
    <cellStyle name="20% - Accent4 6 5 2" xfId="4211" xr:uid="{00000000-0005-0000-0000-0000920B0000}"/>
    <cellStyle name="20% - Accent4 6 5 3" xfId="6328" xr:uid="{00000000-0005-0000-0000-0000930B0000}"/>
    <cellStyle name="20% - Accent4 6 5 4" xfId="8376" xr:uid="{00000000-0005-0000-0000-0000940B0000}"/>
    <cellStyle name="20% - Accent4 6 6" xfId="1663" xr:uid="{00000000-0005-0000-0000-0000950B0000}"/>
    <cellStyle name="20% - Accent4 6 6 2" xfId="4212" xr:uid="{00000000-0005-0000-0000-0000960B0000}"/>
    <cellStyle name="20% - Accent4 6 6 3" xfId="6329" xr:uid="{00000000-0005-0000-0000-0000970B0000}"/>
    <cellStyle name="20% - Accent4 6 6 4" xfId="8377" xr:uid="{00000000-0005-0000-0000-0000980B0000}"/>
    <cellStyle name="20% - Accent4 6 7" xfId="1664" xr:uid="{00000000-0005-0000-0000-0000990B0000}"/>
    <cellStyle name="20% - Accent4 6 7 2" xfId="4213" xr:uid="{00000000-0005-0000-0000-00009A0B0000}"/>
    <cellStyle name="20% - Accent4 6 7 3" xfId="6330" xr:uid="{00000000-0005-0000-0000-00009B0B0000}"/>
    <cellStyle name="20% - Accent4 6 7 4" xfId="8378" xr:uid="{00000000-0005-0000-0000-00009C0B0000}"/>
    <cellStyle name="20% - Accent4 7" xfId="1665" xr:uid="{00000000-0005-0000-0000-00009D0B0000}"/>
    <cellStyle name="20% - Accent4 7 10" xfId="8379" xr:uid="{00000000-0005-0000-0000-00009E0B0000}"/>
    <cellStyle name="20% - Accent4 7 2" xfId="1666" xr:uid="{00000000-0005-0000-0000-00009F0B0000}"/>
    <cellStyle name="20% - Accent4 7 2 2" xfId="4215" xr:uid="{00000000-0005-0000-0000-0000A00B0000}"/>
    <cellStyle name="20% - Accent4 7 2 3" xfId="6332" xr:uid="{00000000-0005-0000-0000-0000A10B0000}"/>
    <cellStyle name="20% - Accent4 7 2 4" xfId="8380" xr:uid="{00000000-0005-0000-0000-0000A20B0000}"/>
    <cellStyle name="20% - Accent4 7 3" xfId="1667" xr:uid="{00000000-0005-0000-0000-0000A30B0000}"/>
    <cellStyle name="20% - Accent4 7 3 2" xfId="4216" xr:uid="{00000000-0005-0000-0000-0000A40B0000}"/>
    <cellStyle name="20% - Accent4 7 3 3" xfId="6333" xr:uid="{00000000-0005-0000-0000-0000A50B0000}"/>
    <cellStyle name="20% - Accent4 7 3 4" xfId="8381" xr:uid="{00000000-0005-0000-0000-0000A60B0000}"/>
    <cellStyle name="20% - Accent4 7 4" xfId="1668" xr:uid="{00000000-0005-0000-0000-0000A70B0000}"/>
    <cellStyle name="20% - Accent4 7 4 2" xfId="4217" xr:uid="{00000000-0005-0000-0000-0000A80B0000}"/>
    <cellStyle name="20% - Accent4 7 4 3" xfId="6334" xr:uid="{00000000-0005-0000-0000-0000A90B0000}"/>
    <cellStyle name="20% - Accent4 7 4 4" xfId="8382" xr:uid="{00000000-0005-0000-0000-0000AA0B0000}"/>
    <cellStyle name="20% - Accent4 7 5" xfId="1669" xr:uid="{00000000-0005-0000-0000-0000AB0B0000}"/>
    <cellStyle name="20% - Accent4 7 5 2" xfId="4218" xr:uid="{00000000-0005-0000-0000-0000AC0B0000}"/>
    <cellStyle name="20% - Accent4 7 5 3" xfId="6335" xr:uid="{00000000-0005-0000-0000-0000AD0B0000}"/>
    <cellStyle name="20% - Accent4 7 5 4" xfId="8383" xr:uid="{00000000-0005-0000-0000-0000AE0B0000}"/>
    <cellStyle name="20% - Accent4 7 6" xfId="1670" xr:uid="{00000000-0005-0000-0000-0000AF0B0000}"/>
    <cellStyle name="20% - Accent4 7 6 2" xfId="4219" xr:uid="{00000000-0005-0000-0000-0000B00B0000}"/>
    <cellStyle name="20% - Accent4 7 6 3" xfId="6336" xr:uid="{00000000-0005-0000-0000-0000B10B0000}"/>
    <cellStyle name="20% - Accent4 7 6 4" xfId="8384" xr:uid="{00000000-0005-0000-0000-0000B20B0000}"/>
    <cellStyle name="20% - Accent4 7 7" xfId="1671" xr:uid="{00000000-0005-0000-0000-0000B30B0000}"/>
    <cellStyle name="20% - Accent4 7 7 2" xfId="4220" xr:uid="{00000000-0005-0000-0000-0000B40B0000}"/>
    <cellStyle name="20% - Accent4 7 7 3" xfId="6337" xr:uid="{00000000-0005-0000-0000-0000B50B0000}"/>
    <cellStyle name="20% - Accent4 7 7 4" xfId="8385" xr:uid="{00000000-0005-0000-0000-0000B60B0000}"/>
    <cellStyle name="20% - Accent4 7 8" xfId="4214" xr:uid="{00000000-0005-0000-0000-0000B70B0000}"/>
    <cellStyle name="20% - Accent4 7 9" xfId="6331" xr:uid="{00000000-0005-0000-0000-0000B80B0000}"/>
    <cellStyle name="20% - Accent4 8" xfId="1672" xr:uid="{00000000-0005-0000-0000-0000B90B0000}"/>
    <cellStyle name="20% - Accent4 8 10" xfId="8386" xr:uid="{00000000-0005-0000-0000-0000BA0B0000}"/>
    <cellStyle name="20% - Accent4 8 2" xfId="1673" xr:uid="{00000000-0005-0000-0000-0000BB0B0000}"/>
    <cellStyle name="20% - Accent4 8 2 2" xfId="4222" xr:uid="{00000000-0005-0000-0000-0000BC0B0000}"/>
    <cellStyle name="20% - Accent4 8 2 3" xfId="6339" xr:uid="{00000000-0005-0000-0000-0000BD0B0000}"/>
    <cellStyle name="20% - Accent4 8 2 4" xfId="8387" xr:uid="{00000000-0005-0000-0000-0000BE0B0000}"/>
    <cellStyle name="20% - Accent4 8 3" xfId="1674" xr:uid="{00000000-0005-0000-0000-0000BF0B0000}"/>
    <cellStyle name="20% - Accent4 8 3 2" xfId="4223" xr:uid="{00000000-0005-0000-0000-0000C00B0000}"/>
    <cellStyle name="20% - Accent4 8 3 3" xfId="6340" xr:uid="{00000000-0005-0000-0000-0000C10B0000}"/>
    <cellStyle name="20% - Accent4 8 3 4" xfId="8388" xr:uid="{00000000-0005-0000-0000-0000C20B0000}"/>
    <cellStyle name="20% - Accent4 8 4" xfId="1675" xr:uid="{00000000-0005-0000-0000-0000C30B0000}"/>
    <cellStyle name="20% - Accent4 8 4 2" xfId="4224" xr:uid="{00000000-0005-0000-0000-0000C40B0000}"/>
    <cellStyle name="20% - Accent4 8 4 3" xfId="6341" xr:uid="{00000000-0005-0000-0000-0000C50B0000}"/>
    <cellStyle name="20% - Accent4 8 4 4" xfId="8389" xr:uid="{00000000-0005-0000-0000-0000C60B0000}"/>
    <cellStyle name="20% - Accent4 8 5" xfId="1676" xr:uid="{00000000-0005-0000-0000-0000C70B0000}"/>
    <cellStyle name="20% - Accent4 8 5 2" xfId="4225" xr:uid="{00000000-0005-0000-0000-0000C80B0000}"/>
    <cellStyle name="20% - Accent4 8 5 3" xfId="6342" xr:uid="{00000000-0005-0000-0000-0000C90B0000}"/>
    <cellStyle name="20% - Accent4 8 5 4" xfId="8390" xr:uid="{00000000-0005-0000-0000-0000CA0B0000}"/>
    <cellStyle name="20% - Accent4 8 6" xfId="1677" xr:uid="{00000000-0005-0000-0000-0000CB0B0000}"/>
    <cellStyle name="20% - Accent4 8 6 2" xfId="4226" xr:uid="{00000000-0005-0000-0000-0000CC0B0000}"/>
    <cellStyle name="20% - Accent4 8 6 3" xfId="6343" xr:uid="{00000000-0005-0000-0000-0000CD0B0000}"/>
    <cellStyle name="20% - Accent4 8 6 4" xfId="8391" xr:uid="{00000000-0005-0000-0000-0000CE0B0000}"/>
    <cellStyle name="20% - Accent4 8 7" xfId="1678" xr:uid="{00000000-0005-0000-0000-0000CF0B0000}"/>
    <cellStyle name="20% - Accent4 8 7 2" xfId="4227" xr:uid="{00000000-0005-0000-0000-0000D00B0000}"/>
    <cellStyle name="20% - Accent4 8 7 3" xfId="6344" xr:uid="{00000000-0005-0000-0000-0000D10B0000}"/>
    <cellStyle name="20% - Accent4 8 7 4" xfId="8392" xr:uid="{00000000-0005-0000-0000-0000D20B0000}"/>
    <cellStyle name="20% - Accent4 8 8" xfId="4221" xr:uid="{00000000-0005-0000-0000-0000D30B0000}"/>
    <cellStyle name="20% - Accent4 8 9" xfId="6338" xr:uid="{00000000-0005-0000-0000-0000D40B0000}"/>
    <cellStyle name="20% - Accent4 9" xfId="1679" xr:uid="{00000000-0005-0000-0000-0000D50B0000}"/>
    <cellStyle name="20% - Accent4 9 10" xfId="8393" xr:uid="{00000000-0005-0000-0000-0000D60B0000}"/>
    <cellStyle name="20% - Accent4 9 2" xfId="1680" xr:uid="{00000000-0005-0000-0000-0000D70B0000}"/>
    <cellStyle name="20% - Accent4 9 2 2" xfId="4229" xr:uid="{00000000-0005-0000-0000-0000D80B0000}"/>
    <cellStyle name="20% - Accent4 9 2 3" xfId="6346" xr:uid="{00000000-0005-0000-0000-0000D90B0000}"/>
    <cellStyle name="20% - Accent4 9 2 4" xfId="8394" xr:uid="{00000000-0005-0000-0000-0000DA0B0000}"/>
    <cellStyle name="20% - Accent4 9 3" xfId="1681" xr:uid="{00000000-0005-0000-0000-0000DB0B0000}"/>
    <cellStyle name="20% - Accent4 9 3 2" xfId="4230" xr:uid="{00000000-0005-0000-0000-0000DC0B0000}"/>
    <cellStyle name="20% - Accent4 9 3 3" xfId="6347" xr:uid="{00000000-0005-0000-0000-0000DD0B0000}"/>
    <cellStyle name="20% - Accent4 9 3 4" xfId="8395" xr:uid="{00000000-0005-0000-0000-0000DE0B0000}"/>
    <cellStyle name="20% - Accent4 9 4" xfId="1682" xr:uid="{00000000-0005-0000-0000-0000DF0B0000}"/>
    <cellStyle name="20% - Accent4 9 4 2" xfId="4231" xr:uid="{00000000-0005-0000-0000-0000E00B0000}"/>
    <cellStyle name="20% - Accent4 9 4 3" xfId="6348" xr:uid="{00000000-0005-0000-0000-0000E10B0000}"/>
    <cellStyle name="20% - Accent4 9 4 4" xfId="8396" xr:uid="{00000000-0005-0000-0000-0000E20B0000}"/>
    <cellStyle name="20% - Accent4 9 5" xfId="1683" xr:uid="{00000000-0005-0000-0000-0000E30B0000}"/>
    <cellStyle name="20% - Accent4 9 5 2" xfId="4232" xr:uid="{00000000-0005-0000-0000-0000E40B0000}"/>
    <cellStyle name="20% - Accent4 9 5 3" xfId="6349" xr:uid="{00000000-0005-0000-0000-0000E50B0000}"/>
    <cellStyle name="20% - Accent4 9 5 4" xfId="8397" xr:uid="{00000000-0005-0000-0000-0000E60B0000}"/>
    <cellStyle name="20% - Accent4 9 6" xfId="1684" xr:uid="{00000000-0005-0000-0000-0000E70B0000}"/>
    <cellStyle name="20% - Accent4 9 6 2" xfId="4233" xr:uid="{00000000-0005-0000-0000-0000E80B0000}"/>
    <cellStyle name="20% - Accent4 9 6 3" xfId="6350" xr:uid="{00000000-0005-0000-0000-0000E90B0000}"/>
    <cellStyle name="20% - Accent4 9 6 4" xfId="8398" xr:uid="{00000000-0005-0000-0000-0000EA0B0000}"/>
    <cellStyle name="20% - Accent4 9 7" xfId="1685" xr:uid="{00000000-0005-0000-0000-0000EB0B0000}"/>
    <cellStyle name="20% - Accent4 9 7 2" xfId="4234" xr:uid="{00000000-0005-0000-0000-0000EC0B0000}"/>
    <cellStyle name="20% - Accent4 9 7 3" xfId="6351" xr:uid="{00000000-0005-0000-0000-0000ED0B0000}"/>
    <cellStyle name="20% - Accent4 9 7 4" xfId="8399" xr:uid="{00000000-0005-0000-0000-0000EE0B0000}"/>
    <cellStyle name="20% - Accent4 9 8" xfId="4228" xr:uid="{00000000-0005-0000-0000-0000EF0B0000}"/>
    <cellStyle name="20% - Accent4 9 9" xfId="6345" xr:uid="{00000000-0005-0000-0000-0000F00B0000}"/>
    <cellStyle name="20% - Accent5 10" xfId="1686" xr:uid="{00000000-0005-0000-0000-0000F10B0000}"/>
    <cellStyle name="20% - Accent5 10 10" xfId="8400" xr:uid="{00000000-0005-0000-0000-0000F20B0000}"/>
    <cellStyle name="20% - Accent5 10 2" xfId="1687" xr:uid="{00000000-0005-0000-0000-0000F30B0000}"/>
    <cellStyle name="20% - Accent5 10 2 2" xfId="4236" xr:uid="{00000000-0005-0000-0000-0000F40B0000}"/>
    <cellStyle name="20% - Accent5 10 2 3" xfId="6353" xr:uid="{00000000-0005-0000-0000-0000F50B0000}"/>
    <cellStyle name="20% - Accent5 10 2 4" xfId="8401" xr:uid="{00000000-0005-0000-0000-0000F60B0000}"/>
    <cellStyle name="20% - Accent5 10 3" xfId="1688" xr:uid="{00000000-0005-0000-0000-0000F70B0000}"/>
    <cellStyle name="20% - Accent5 10 3 2" xfId="4237" xr:uid="{00000000-0005-0000-0000-0000F80B0000}"/>
    <cellStyle name="20% - Accent5 10 3 3" xfId="6354" xr:uid="{00000000-0005-0000-0000-0000F90B0000}"/>
    <cellStyle name="20% - Accent5 10 3 4" xfId="8402" xr:uid="{00000000-0005-0000-0000-0000FA0B0000}"/>
    <cellStyle name="20% - Accent5 10 4" xfId="1689" xr:uid="{00000000-0005-0000-0000-0000FB0B0000}"/>
    <cellStyle name="20% - Accent5 10 4 2" xfId="4238" xr:uid="{00000000-0005-0000-0000-0000FC0B0000}"/>
    <cellStyle name="20% - Accent5 10 4 3" xfId="6355" xr:uid="{00000000-0005-0000-0000-0000FD0B0000}"/>
    <cellStyle name="20% - Accent5 10 4 4" xfId="8403" xr:uid="{00000000-0005-0000-0000-0000FE0B0000}"/>
    <cellStyle name="20% - Accent5 10 5" xfId="1690" xr:uid="{00000000-0005-0000-0000-0000FF0B0000}"/>
    <cellStyle name="20% - Accent5 10 5 2" xfId="4239" xr:uid="{00000000-0005-0000-0000-0000000C0000}"/>
    <cellStyle name="20% - Accent5 10 5 3" xfId="6356" xr:uid="{00000000-0005-0000-0000-0000010C0000}"/>
    <cellStyle name="20% - Accent5 10 5 4" xfId="8404" xr:uid="{00000000-0005-0000-0000-0000020C0000}"/>
    <cellStyle name="20% - Accent5 10 6" xfId="1691" xr:uid="{00000000-0005-0000-0000-0000030C0000}"/>
    <cellStyle name="20% - Accent5 10 6 2" xfId="4240" xr:uid="{00000000-0005-0000-0000-0000040C0000}"/>
    <cellStyle name="20% - Accent5 10 6 3" xfId="6357" xr:uid="{00000000-0005-0000-0000-0000050C0000}"/>
    <cellStyle name="20% - Accent5 10 6 4" xfId="8405" xr:uid="{00000000-0005-0000-0000-0000060C0000}"/>
    <cellStyle name="20% - Accent5 10 7" xfId="1692" xr:uid="{00000000-0005-0000-0000-0000070C0000}"/>
    <cellStyle name="20% - Accent5 10 7 2" xfId="4241" xr:uid="{00000000-0005-0000-0000-0000080C0000}"/>
    <cellStyle name="20% - Accent5 10 7 3" xfId="6358" xr:uid="{00000000-0005-0000-0000-0000090C0000}"/>
    <cellStyle name="20% - Accent5 10 7 4" xfId="8406" xr:uid="{00000000-0005-0000-0000-00000A0C0000}"/>
    <cellStyle name="20% - Accent5 10 8" xfId="4235" xr:uid="{00000000-0005-0000-0000-00000B0C0000}"/>
    <cellStyle name="20% - Accent5 10 9" xfId="6352" xr:uid="{00000000-0005-0000-0000-00000C0C0000}"/>
    <cellStyle name="20% - Accent5 11" xfId="1693" xr:uid="{00000000-0005-0000-0000-00000D0C0000}"/>
    <cellStyle name="20% - Accent5 11 2" xfId="1694" xr:uid="{00000000-0005-0000-0000-00000E0C0000}"/>
    <cellStyle name="20% - Accent5 11 2 2" xfId="4243" xr:uid="{00000000-0005-0000-0000-00000F0C0000}"/>
    <cellStyle name="20% - Accent5 11 2 3" xfId="6360" xr:uid="{00000000-0005-0000-0000-0000100C0000}"/>
    <cellStyle name="20% - Accent5 11 2 4" xfId="8408" xr:uid="{00000000-0005-0000-0000-0000110C0000}"/>
    <cellStyle name="20% - Accent5 11 3" xfId="1695" xr:uid="{00000000-0005-0000-0000-0000120C0000}"/>
    <cellStyle name="20% - Accent5 11 3 2" xfId="4244" xr:uid="{00000000-0005-0000-0000-0000130C0000}"/>
    <cellStyle name="20% - Accent5 11 3 3" xfId="6361" xr:uid="{00000000-0005-0000-0000-0000140C0000}"/>
    <cellStyle name="20% - Accent5 11 3 4" xfId="8409" xr:uid="{00000000-0005-0000-0000-0000150C0000}"/>
    <cellStyle name="20% - Accent5 11 4" xfId="1696" xr:uid="{00000000-0005-0000-0000-0000160C0000}"/>
    <cellStyle name="20% - Accent5 11 4 2" xfId="4245" xr:uid="{00000000-0005-0000-0000-0000170C0000}"/>
    <cellStyle name="20% - Accent5 11 4 3" xfId="6362" xr:uid="{00000000-0005-0000-0000-0000180C0000}"/>
    <cellStyle name="20% - Accent5 11 4 4" xfId="8410" xr:uid="{00000000-0005-0000-0000-0000190C0000}"/>
    <cellStyle name="20% - Accent5 11 5" xfId="1697" xr:uid="{00000000-0005-0000-0000-00001A0C0000}"/>
    <cellStyle name="20% - Accent5 11 5 2" xfId="4246" xr:uid="{00000000-0005-0000-0000-00001B0C0000}"/>
    <cellStyle name="20% - Accent5 11 5 3" xfId="6363" xr:uid="{00000000-0005-0000-0000-00001C0C0000}"/>
    <cellStyle name="20% - Accent5 11 5 4" xfId="8411" xr:uid="{00000000-0005-0000-0000-00001D0C0000}"/>
    <cellStyle name="20% - Accent5 11 6" xfId="1698" xr:uid="{00000000-0005-0000-0000-00001E0C0000}"/>
    <cellStyle name="20% - Accent5 11 6 2" xfId="4247" xr:uid="{00000000-0005-0000-0000-00001F0C0000}"/>
    <cellStyle name="20% - Accent5 11 6 3" xfId="6364" xr:uid="{00000000-0005-0000-0000-0000200C0000}"/>
    <cellStyle name="20% - Accent5 11 6 4" xfId="8412" xr:uid="{00000000-0005-0000-0000-0000210C0000}"/>
    <cellStyle name="20% - Accent5 11 7" xfId="4242" xr:uid="{00000000-0005-0000-0000-0000220C0000}"/>
    <cellStyle name="20% - Accent5 11 8" xfId="6359" xr:uid="{00000000-0005-0000-0000-0000230C0000}"/>
    <cellStyle name="20% - Accent5 11 9" xfId="8407" xr:uid="{00000000-0005-0000-0000-0000240C0000}"/>
    <cellStyle name="20% - Accent5 12" xfId="1699" xr:uid="{00000000-0005-0000-0000-0000250C0000}"/>
    <cellStyle name="20% - Accent5 12 2" xfId="1700" xr:uid="{00000000-0005-0000-0000-0000260C0000}"/>
    <cellStyle name="20% - Accent5 12 2 2" xfId="4249" xr:uid="{00000000-0005-0000-0000-0000270C0000}"/>
    <cellStyle name="20% - Accent5 12 2 3" xfId="6366" xr:uid="{00000000-0005-0000-0000-0000280C0000}"/>
    <cellStyle name="20% - Accent5 12 2 4" xfId="8414" xr:uid="{00000000-0005-0000-0000-0000290C0000}"/>
    <cellStyle name="20% - Accent5 12 3" xfId="1701" xr:uid="{00000000-0005-0000-0000-00002A0C0000}"/>
    <cellStyle name="20% - Accent5 12 3 2" xfId="4250" xr:uid="{00000000-0005-0000-0000-00002B0C0000}"/>
    <cellStyle name="20% - Accent5 12 3 3" xfId="6367" xr:uid="{00000000-0005-0000-0000-00002C0C0000}"/>
    <cellStyle name="20% - Accent5 12 3 4" xfId="8415" xr:uid="{00000000-0005-0000-0000-00002D0C0000}"/>
    <cellStyle name="20% - Accent5 12 4" xfId="1702" xr:uid="{00000000-0005-0000-0000-00002E0C0000}"/>
    <cellStyle name="20% - Accent5 12 4 2" xfId="4251" xr:uid="{00000000-0005-0000-0000-00002F0C0000}"/>
    <cellStyle name="20% - Accent5 12 4 3" xfId="6368" xr:uid="{00000000-0005-0000-0000-0000300C0000}"/>
    <cellStyle name="20% - Accent5 12 4 4" xfId="8416" xr:uid="{00000000-0005-0000-0000-0000310C0000}"/>
    <cellStyle name="20% - Accent5 12 5" xfId="1703" xr:uid="{00000000-0005-0000-0000-0000320C0000}"/>
    <cellStyle name="20% - Accent5 12 5 2" xfId="4252" xr:uid="{00000000-0005-0000-0000-0000330C0000}"/>
    <cellStyle name="20% - Accent5 12 5 3" xfId="6369" xr:uid="{00000000-0005-0000-0000-0000340C0000}"/>
    <cellStyle name="20% - Accent5 12 5 4" xfId="8417" xr:uid="{00000000-0005-0000-0000-0000350C0000}"/>
    <cellStyle name="20% - Accent5 12 6" xfId="4248" xr:uid="{00000000-0005-0000-0000-0000360C0000}"/>
    <cellStyle name="20% - Accent5 12 7" xfId="6365" xr:uid="{00000000-0005-0000-0000-0000370C0000}"/>
    <cellStyle name="20% - Accent5 12 8" xfId="8413" xr:uid="{00000000-0005-0000-0000-0000380C0000}"/>
    <cellStyle name="20% - Accent5 13" xfId="1704" xr:uid="{00000000-0005-0000-0000-0000390C0000}"/>
    <cellStyle name="20% - Accent5 13 2" xfId="1705" xr:uid="{00000000-0005-0000-0000-00003A0C0000}"/>
    <cellStyle name="20% - Accent5 13 2 2" xfId="4254" xr:uid="{00000000-0005-0000-0000-00003B0C0000}"/>
    <cellStyle name="20% - Accent5 13 2 3" xfId="6371" xr:uid="{00000000-0005-0000-0000-00003C0C0000}"/>
    <cellStyle name="20% - Accent5 13 2 4" xfId="8419" xr:uid="{00000000-0005-0000-0000-00003D0C0000}"/>
    <cellStyle name="20% - Accent5 13 3" xfId="1706" xr:uid="{00000000-0005-0000-0000-00003E0C0000}"/>
    <cellStyle name="20% - Accent5 13 3 2" xfId="4255" xr:uid="{00000000-0005-0000-0000-00003F0C0000}"/>
    <cellStyle name="20% - Accent5 13 3 3" xfId="6372" xr:uid="{00000000-0005-0000-0000-0000400C0000}"/>
    <cellStyle name="20% - Accent5 13 3 4" xfId="8420" xr:uid="{00000000-0005-0000-0000-0000410C0000}"/>
    <cellStyle name="20% - Accent5 13 4" xfId="1707" xr:uid="{00000000-0005-0000-0000-0000420C0000}"/>
    <cellStyle name="20% - Accent5 13 4 2" xfId="4256" xr:uid="{00000000-0005-0000-0000-0000430C0000}"/>
    <cellStyle name="20% - Accent5 13 4 3" xfId="6373" xr:uid="{00000000-0005-0000-0000-0000440C0000}"/>
    <cellStyle name="20% - Accent5 13 4 4" xfId="8421" xr:uid="{00000000-0005-0000-0000-0000450C0000}"/>
    <cellStyle name="20% - Accent5 13 5" xfId="1708" xr:uid="{00000000-0005-0000-0000-0000460C0000}"/>
    <cellStyle name="20% - Accent5 13 5 2" xfId="4257" xr:uid="{00000000-0005-0000-0000-0000470C0000}"/>
    <cellStyle name="20% - Accent5 13 5 3" xfId="6374" xr:uid="{00000000-0005-0000-0000-0000480C0000}"/>
    <cellStyle name="20% - Accent5 13 5 4" xfId="8422" xr:uid="{00000000-0005-0000-0000-0000490C0000}"/>
    <cellStyle name="20% - Accent5 13 6" xfId="4253" xr:uid="{00000000-0005-0000-0000-00004A0C0000}"/>
    <cellStyle name="20% - Accent5 13 7" xfId="6370" xr:uid="{00000000-0005-0000-0000-00004B0C0000}"/>
    <cellStyle name="20% - Accent5 13 8" xfId="8418" xr:uid="{00000000-0005-0000-0000-00004C0C0000}"/>
    <cellStyle name="20% - Accent5 14" xfId="1709" xr:uid="{00000000-0005-0000-0000-00004D0C0000}"/>
    <cellStyle name="20% - Accent5 14 2" xfId="1710" xr:uid="{00000000-0005-0000-0000-00004E0C0000}"/>
    <cellStyle name="20% - Accent5 14 2 2" xfId="4259" xr:uid="{00000000-0005-0000-0000-00004F0C0000}"/>
    <cellStyle name="20% - Accent5 14 2 3" xfId="6376" xr:uid="{00000000-0005-0000-0000-0000500C0000}"/>
    <cellStyle name="20% - Accent5 14 2 4" xfId="8424" xr:uid="{00000000-0005-0000-0000-0000510C0000}"/>
    <cellStyle name="20% - Accent5 14 3" xfId="1711" xr:uid="{00000000-0005-0000-0000-0000520C0000}"/>
    <cellStyle name="20% - Accent5 14 3 2" xfId="4260" xr:uid="{00000000-0005-0000-0000-0000530C0000}"/>
    <cellStyle name="20% - Accent5 14 3 3" xfId="6377" xr:uid="{00000000-0005-0000-0000-0000540C0000}"/>
    <cellStyle name="20% - Accent5 14 3 4" xfId="8425" xr:uid="{00000000-0005-0000-0000-0000550C0000}"/>
    <cellStyle name="20% - Accent5 14 4" xfId="1712" xr:uid="{00000000-0005-0000-0000-0000560C0000}"/>
    <cellStyle name="20% - Accent5 14 4 2" xfId="4261" xr:uid="{00000000-0005-0000-0000-0000570C0000}"/>
    <cellStyle name="20% - Accent5 14 4 3" xfId="6378" xr:uid="{00000000-0005-0000-0000-0000580C0000}"/>
    <cellStyle name="20% - Accent5 14 4 4" xfId="8426" xr:uid="{00000000-0005-0000-0000-0000590C0000}"/>
    <cellStyle name="20% - Accent5 14 5" xfId="4258" xr:uid="{00000000-0005-0000-0000-00005A0C0000}"/>
    <cellStyle name="20% - Accent5 14 6" xfId="6375" xr:uid="{00000000-0005-0000-0000-00005B0C0000}"/>
    <cellStyle name="20% - Accent5 14 7" xfId="8423" xr:uid="{00000000-0005-0000-0000-00005C0C0000}"/>
    <cellStyle name="20% - Accent5 15" xfId="1713" xr:uid="{00000000-0005-0000-0000-00005D0C0000}"/>
    <cellStyle name="20% - Accent5 15 2" xfId="1714" xr:uid="{00000000-0005-0000-0000-00005E0C0000}"/>
    <cellStyle name="20% - Accent5 15 2 2" xfId="4263" xr:uid="{00000000-0005-0000-0000-00005F0C0000}"/>
    <cellStyle name="20% - Accent5 15 2 3" xfId="6380" xr:uid="{00000000-0005-0000-0000-0000600C0000}"/>
    <cellStyle name="20% - Accent5 15 2 4" xfId="8428" xr:uid="{00000000-0005-0000-0000-0000610C0000}"/>
    <cellStyle name="20% - Accent5 15 3" xfId="1715" xr:uid="{00000000-0005-0000-0000-0000620C0000}"/>
    <cellStyle name="20% - Accent5 15 3 2" xfId="4264" xr:uid="{00000000-0005-0000-0000-0000630C0000}"/>
    <cellStyle name="20% - Accent5 15 3 3" xfId="6381" xr:uid="{00000000-0005-0000-0000-0000640C0000}"/>
    <cellStyle name="20% - Accent5 15 3 4" xfId="8429" xr:uid="{00000000-0005-0000-0000-0000650C0000}"/>
    <cellStyle name="20% - Accent5 15 4" xfId="1716" xr:uid="{00000000-0005-0000-0000-0000660C0000}"/>
    <cellStyle name="20% - Accent5 15 4 2" xfId="4265" xr:uid="{00000000-0005-0000-0000-0000670C0000}"/>
    <cellStyle name="20% - Accent5 15 4 3" xfId="6382" xr:uid="{00000000-0005-0000-0000-0000680C0000}"/>
    <cellStyle name="20% - Accent5 15 4 4" xfId="8430" xr:uid="{00000000-0005-0000-0000-0000690C0000}"/>
    <cellStyle name="20% - Accent5 15 5" xfId="4262" xr:uid="{00000000-0005-0000-0000-00006A0C0000}"/>
    <cellStyle name="20% - Accent5 15 6" xfId="6379" xr:uid="{00000000-0005-0000-0000-00006B0C0000}"/>
    <cellStyle name="20% - Accent5 15 7" xfId="8427" xr:uid="{00000000-0005-0000-0000-00006C0C0000}"/>
    <cellStyle name="20% - Accent5 16" xfId="1717" xr:uid="{00000000-0005-0000-0000-00006D0C0000}"/>
    <cellStyle name="20% - Accent5 16 2" xfId="1718" xr:uid="{00000000-0005-0000-0000-00006E0C0000}"/>
    <cellStyle name="20% - Accent5 16 2 2" xfId="4267" xr:uid="{00000000-0005-0000-0000-00006F0C0000}"/>
    <cellStyle name="20% - Accent5 16 2 3" xfId="6384" xr:uid="{00000000-0005-0000-0000-0000700C0000}"/>
    <cellStyle name="20% - Accent5 16 2 4" xfId="8432" xr:uid="{00000000-0005-0000-0000-0000710C0000}"/>
    <cellStyle name="20% - Accent5 16 3" xfId="1719" xr:uid="{00000000-0005-0000-0000-0000720C0000}"/>
    <cellStyle name="20% - Accent5 16 3 2" xfId="4268" xr:uid="{00000000-0005-0000-0000-0000730C0000}"/>
    <cellStyle name="20% - Accent5 16 3 3" xfId="6385" xr:uid="{00000000-0005-0000-0000-0000740C0000}"/>
    <cellStyle name="20% - Accent5 16 3 4" xfId="8433" xr:uid="{00000000-0005-0000-0000-0000750C0000}"/>
    <cellStyle name="20% - Accent5 16 4" xfId="4266" xr:uid="{00000000-0005-0000-0000-0000760C0000}"/>
    <cellStyle name="20% - Accent5 16 5" xfId="6383" xr:uid="{00000000-0005-0000-0000-0000770C0000}"/>
    <cellStyle name="20% - Accent5 16 6" xfId="8431" xr:uid="{00000000-0005-0000-0000-0000780C0000}"/>
    <cellStyle name="20% - Accent5 17" xfId="1720" xr:uid="{00000000-0005-0000-0000-0000790C0000}"/>
    <cellStyle name="20% - Accent5 17 2" xfId="1721" xr:uid="{00000000-0005-0000-0000-00007A0C0000}"/>
    <cellStyle name="20% - Accent5 17 2 2" xfId="4270" xr:uid="{00000000-0005-0000-0000-00007B0C0000}"/>
    <cellStyle name="20% - Accent5 17 2 3" xfId="6387" xr:uid="{00000000-0005-0000-0000-00007C0C0000}"/>
    <cellStyle name="20% - Accent5 17 2 4" xfId="8435" xr:uid="{00000000-0005-0000-0000-00007D0C0000}"/>
    <cellStyle name="20% - Accent5 17 3" xfId="1722" xr:uid="{00000000-0005-0000-0000-00007E0C0000}"/>
    <cellStyle name="20% - Accent5 17 3 2" xfId="4271" xr:uid="{00000000-0005-0000-0000-00007F0C0000}"/>
    <cellStyle name="20% - Accent5 17 3 3" xfId="6388" xr:uid="{00000000-0005-0000-0000-0000800C0000}"/>
    <cellStyle name="20% - Accent5 17 3 4" xfId="8436" xr:uid="{00000000-0005-0000-0000-0000810C0000}"/>
    <cellStyle name="20% - Accent5 17 4" xfId="4269" xr:uid="{00000000-0005-0000-0000-0000820C0000}"/>
    <cellStyle name="20% - Accent5 17 5" xfId="6386" xr:uid="{00000000-0005-0000-0000-0000830C0000}"/>
    <cellStyle name="20% - Accent5 17 6" xfId="8434" xr:uid="{00000000-0005-0000-0000-0000840C0000}"/>
    <cellStyle name="20% - Accent5 18" xfId="1723" xr:uid="{00000000-0005-0000-0000-0000850C0000}"/>
    <cellStyle name="20% - Accent5 18 2" xfId="1724" xr:uid="{00000000-0005-0000-0000-0000860C0000}"/>
    <cellStyle name="20% - Accent5 18 2 2" xfId="4273" xr:uid="{00000000-0005-0000-0000-0000870C0000}"/>
    <cellStyle name="20% - Accent5 18 2 3" xfId="6390" xr:uid="{00000000-0005-0000-0000-0000880C0000}"/>
    <cellStyle name="20% - Accent5 18 2 4" xfId="8438" xr:uid="{00000000-0005-0000-0000-0000890C0000}"/>
    <cellStyle name="20% - Accent5 18 3" xfId="1725" xr:uid="{00000000-0005-0000-0000-00008A0C0000}"/>
    <cellStyle name="20% - Accent5 18 3 2" xfId="4274" xr:uid="{00000000-0005-0000-0000-00008B0C0000}"/>
    <cellStyle name="20% - Accent5 18 3 3" xfId="6391" xr:uid="{00000000-0005-0000-0000-00008C0C0000}"/>
    <cellStyle name="20% - Accent5 18 3 4" xfId="8439" xr:uid="{00000000-0005-0000-0000-00008D0C0000}"/>
    <cellStyle name="20% - Accent5 18 4" xfId="4272" xr:uid="{00000000-0005-0000-0000-00008E0C0000}"/>
    <cellStyle name="20% - Accent5 18 5" xfId="6389" xr:uid="{00000000-0005-0000-0000-00008F0C0000}"/>
    <cellStyle name="20% - Accent5 18 6" xfId="8437" xr:uid="{00000000-0005-0000-0000-0000900C0000}"/>
    <cellStyle name="20% - Accent5 19" xfId="1726" xr:uid="{00000000-0005-0000-0000-0000910C0000}"/>
    <cellStyle name="20% - Accent5 19 2" xfId="1727" xr:uid="{00000000-0005-0000-0000-0000920C0000}"/>
    <cellStyle name="20% - Accent5 19 2 2" xfId="4276" xr:uid="{00000000-0005-0000-0000-0000930C0000}"/>
    <cellStyle name="20% - Accent5 19 2 3" xfId="6393" xr:uid="{00000000-0005-0000-0000-0000940C0000}"/>
    <cellStyle name="20% - Accent5 19 2 4" xfId="8441" xr:uid="{00000000-0005-0000-0000-0000950C0000}"/>
    <cellStyle name="20% - Accent5 19 3" xfId="1728" xr:uid="{00000000-0005-0000-0000-0000960C0000}"/>
    <cellStyle name="20% - Accent5 19 3 2" xfId="4277" xr:uid="{00000000-0005-0000-0000-0000970C0000}"/>
    <cellStyle name="20% - Accent5 19 3 3" xfId="6394" xr:uid="{00000000-0005-0000-0000-0000980C0000}"/>
    <cellStyle name="20% - Accent5 19 3 4" xfId="8442" xr:uid="{00000000-0005-0000-0000-0000990C0000}"/>
    <cellStyle name="20% - Accent5 19 4" xfId="4275" xr:uid="{00000000-0005-0000-0000-00009A0C0000}"/>
    <cellStyle name="20% - Accent5 19 5" xfId="6392" xr:uid="{00000000-0005-0000-0000-00009B0C0000}"/>
    <cellStyle name="20% - Accent5 19 6" xfId="8440" xr:uid="{00000000-0005-0000-0000-00009C0C0000}"/>
    <cellStyle name="20% - Accent5 2" xfId="1729" xr:uid="{00000000-0005-0000-0000-00009D0C0000}"/>
    <cellStyle name="20% - Accent5 2 2" xfId="1730" xr:uid="{00000000-0005-0000-0000-00009E0C0000}"/>
    <cellStyle name="20% - Accent5 2 2 2" xfId="1731" xr:uid="{00000000-0005-0000-0000-00009F0C0000}"/>
    <cellStyle name="20% - Accent5 2 2 2 2" xfId="4278" xr:uid="{00000000-0005-0000-0000-0000A00C0000}"/>
    <cellStyle name="20% - Accent5 2 2 2 3" xfId="6395" xr:uid="{00000000-0005-0000-0000-0000A10C0000}"/>
    <cellStyle name="20% - Accent5 2 2 2 4" xfId="8443" xr:uid="{00000000-0005-0000-0000-0000A20C0000}"/>
    <cellStyle name="20% - Accent5 2 3" xfId="1732" xr:uid="{00000000-0005-0000-0000-0000A30C0000}"/>
    <cellStyle name="20% - Accent5 2 3 2" xfId="4279" xr:uid="{00000000-0005-0000-0000-0000A40C0000}"/>
    <cellStyle name="20% - Accent5 2 3 3" xfId="6396" xr:uid="{00000000-0005-0000-0000-0000A50C0000}"/>
    <cellStyle name="20% - Accent5 2 3 4" xfId="8444" xr:uid="{00000000-0005-0000-0000-0000A60C0000}"/>
    <cellStyle name="20% - Accent5 2 4" xfId="1733" xr:uid="{00000000-0005-0000-0000-0000A70C0000}"/>
    <cellStyle name="20% - Accent5 2 4 2" xfId="4280" xr:uid="{00000000-0005-0000-0000-0000A80C0000}"/>
    <cellStyle name="20% - Accent5 2 4 3" xfId="6397" xr:uid="{00000000-0005-0000-0000-0000A90C0000}"/>
    <cellStyle name="20% - Accent5 2 4 4" xfId="8445" xr:uid="{00000000-0005-0000-0000-0000AA0C0000}"/>
    <cellStyle name="20% - Accent5 2 5" xfId="1734" xr:uid="{00000000-0005-0000-0000-0000AB0C0000}"/>
    <cellStyle name="20% - Accent5 2 5 2" xfId="4281" xr:uid="{00000000-0005-0000-0000-0000AC0C0000}"/>
    <cellStyle name="20% - Accent5 2 5 3" xfId="6398" xr:uid="{00000000-0005-0000-0000-0000AD0C0000}"/>
    <cellStyle name="20% - Accent5 2 5 4" xfId="8446" xr:uid="{00000000-0005-0000-0000-0000AE0C0000}"/>
    <cellStyle name="20% - Accent5 2 6" xfId="1735" xr:uid="{00000000-0005-0000-0000-0000AF0C0000}"/>
    <cellStyle name="20% - Accent5 2 6 2" xfId="4282" xr:uid="{00000000-0005-0000-0000-0000B00C0000}"/>
    <cellStyle name="20% - Accent5 2 6 3" xfId="6399" xr:uid="{00000000-0005-0000-0000-0000B10C0000}"/>
    <cellStyle name="20% - Accent5 2 6 4" xfId="8447" xr:uid="{00000000-0005-0000-0000-0000B20C0000}"/>
    <cellStyle name="20% - Accent5 2 7" xfId="1736" xr:uid="{00000000-0005-0000-0000-0000B30C0000}"/>
    <cellStyle name="20% - Accent5 2 7 2" xfId="4283" xr:uid="{00000000-0005-0000-0000-0000B40C0000}"/>
    <cellStyle name="20% - Accent5 2 7 3" xfId="6400" xr:uid="{00000000-0005-0000-0000-0000B50C0000}"/>
    <cellStyle name="20% - Accent5 2 7 4" xfId="8448" xr:uid="{00000000-0005-0000-0000-0000B60C0000}"/>
    <cellStyle name="20% - Accent5 2 8" xfId="1737" xr:uid="{00000000-0005-0000-0000-0000B70C0000}"/>
    <cellStyle name="20% - Accent5 2 8 2" xfId="4284" xr:uid="{00000000-0005-0000-0000-0000B80C0000}"/>
    <cellStyle name="20% - Accent5 2 8 3" xfId="6401" xr:uid="{00000000-0005-0000-0000-0000B90C0000}"/>
    <cellStyle name="20% - Accent5 2 8 4" xfId="8449" xr:uid="{00000000-0005-0000-0000-0000BA0C0000}"/>
    <cellStyle name="20% - Accent5 2 9" xfId="1738" xr:uid="{00000000-0005-0000-0000-0000BB0C0000}"/>
    <cellStyle name="20% - Accent5 20" xfId="1739" xr:uid="{00000000-0005-0000-0000-0000BC0C0000}"/>
    <cellStyle name="20% - Accent5 20 2" xfId="1740" xr:uid="{00000000-0005-0000-0000-0000BD0C0000}"/>
    <cellStyle name="20% - Accent5 20 2 2" xfId="4286" xr:uid="{00000000-0005-0000-0000-0000BE0C0000}"/>
    <cellStyle name="20% - Accent5 20 2 3" xfId="6403" xr:uid="{00000000-0005-0000-0000-0000BF0C0000}"/>
    <cellStyle name="20% - Accent5 20 2 4" xfId="8451" xr:uid="{00000000-0005-0000-0000-0000C00C0000}"/>
    <cellStyle name="20% - Accent5 20 3" xfId="1741" xr:uid="{00000000-0005-0000-0000-0000C10C0000}"/>
    <cellStyle name="20% - Accent5 20 3 2" xfId="4287" xr:uid="{00000000-0005-0000-0000-0000C20C0000}"/>
    <cellStyle name="20% - Accent5 20 3 3" xfId="6404" xr:uid="{00000000-0005-0000-0000-0000C30C0000}"/>
    <cellStyle name="20% - Accent5 20 3 4" xfId="8452" xr:uid="{00000000-0005-0000-0000-0000C40C0000}"/>
    <cellStyle name="20% - Accent5 20 4" xfId="4285" xr:uid="{00000000-0005-0000-0000-0000C50C0000}"/>
    <cellStyle name="20% - Accent5 20 5" xfId="6402" xr:uid="{00000000-0005-0000-0000-0000C60C0000}"/>
    <cellStyle name="20% - Accent5 20 6" xfId="8450" xr:uid="{00000000-0005-0000-0000-0000C70C0000}"/>
    <cellStyle name="20% - Accent5 21" xfId="1742" xr:uid="{00000000-0005-0000-0000-0000C80C0000}"/>
    <cellStyle name="20% - Accent5 21 2" xfId="1743" xr:uid="{00000000-0005-0000-0000-0000C90C0000}"/>
    <cellStyle name="20% - Accent5 21 2 2" xfId="4289" xr:uid="{00000000-0005-0000-0000-0000CA0C0000}"/>
    <cellStyle name="20% - Accent5 21 2 3" xfId="6406" xr:uid="{00000000-0005-0000-0000-0000CB0C0000}"/>
    <cellStyle name="20% - Accent5 21 2 4" xfId="8454" xr:uid="{00000000-0005-0000-0000-0000CC0C0000}"/>
    <cellStyle name="20% - Accent5 21 3" xfId="1744" xr:uid="{00000000-0005-0000-0000-0000CD0C0000}"/>
    <cellStyle name="20% - Accent5 21 3 2" xfId="4290" xr:uid="{00000000-0005-0000-0000-0000CE0C0000}"/>
    <cellStyle name="20% - Accent5 21 3 3" xfId="6407" xr:uid="{00000000-0005-0000-0000-0000CF0C0000}"/>
    <cellStyle name="20% - Accent5 21 3 4" xfId="8455" xr:uid="{00000000-0005-0000-0000-0000D00C0000}"/>
    <cellStyle name="20% - Accent5 21 4" xfId="4288" xr:uid="{00000000-0005-0000-0000-0000D10C0000}"/>
    <cellStyle name="20% - Accent5 21 5" xfId="6405" xr:uid="{00000000-0005-0000-0000-0000D20C0000}"/>
    <cellStyle name="20% - Accent5 21 6" xfId="8453" xr:uid="{00000000-0005-0000-0000-0000D30C0000}"/>
    <cellStyle name="20% - Accent5 22" xfId="1745" xr:uid="{00000000-0005-0000-0000-0000D40C0000}"/>
    <cellStyle name="20% - Accent5 22 2" xfId="1746" xr:uid="{00000000-0005-0000-0000-0000D50C0000}"/>
    <cellStyle name="20% - Accent5 22 2 2" xfId="4292" xr:uid="{00000000-0005-0000-0000-0000D60C0000}"/>
    <cellStyle name="20% - Accent5 22 2 3" xfId="6409" xr:uid="{00000000-0005-0000-0000-0000D70C0000}"/>
    <cellStyle name="20% - Accent5 22 2 4" xfId="8457" xr:uid="{00000000-0005-0000-0000-0000D80C0000}"/>
    <cellStyle name="20% - Accent5 22 3" xfId="1747" xr:uid="{00000000-0005-0000-0000-0000D90C0000}"/>
    <cellStyle name="20% - Accent5 22 3 2" xfId="4293" xr:uid="{00000000-0005-0000-0000-0000DA0C0000}"/>
    <cellStyle name="20% - Accent5 22 3 3" xfId="6410" xr:uid="{00000000-0005-0000-0000-0000DB0C0000}"/>
    <cellStyle name="20% - Accent5 22 3 4" xfId="8458" xr:uid="{00000000-0005-0000-0000-0000DC0C0000}"/>
    <cellStyle name="20% - Accent5 22 4" xfId="4291" xr:uid="{00000000-0005-0000-0000-0000DD0C0000}"/>
    <cellStyle name="20% - Accent5 22 5" xfId="6408" xr:uid="{00000000-0005-0000-0000-0000DE0C0000}"/>
    <cellStyle name="20% - Accent5 22 6" xfId="8456" xr:uid="{00000000-0005-0000-0000-0000DF0C0000}"/>
    <cellStyle name="20% - Accent5 23" xfId="1748" xr:uid="{00000000-0005-0000-0000-0000E00C0000}"/>
    <cellStyle name="20% - Accent5 23 2" xfId="1749" xr:uid="{00000000-0005-0000-0000-0000E10C0000}"/>
    <cellStyle name="20% - Accent5 23 2 2" xfId="4295" xr:uid="{00000000-0005-0000-0000-0000E20C0000}"/>
    <cellStyle name="20% - Accent5 23 2 3" xfId="6412" xr:uid="{00000000-0005-0000-0000-0000E30C0000}"/>
    <cellStyle name="20% - Accent5 23 2 4" xfId="8460" xr:uid="{00000000-0005-0000-0000-0000E40C0000}"/>
    <cellStyle name="20% - Accent5 23 3" xfId="4294" xr:uid="{00000000-0005-0000-0000-0000E50C0000}"/>
    <cellStyle name="20% - Accent5 23 4" xfId="6411" xr:uid="{00000000-0005-0000-0000-0000E60C0000}"/>
    <cellStyle name="20% - Accent5 23 5" xfId="8459" xr:uid="{00000000-0005-0000-0000-0000E70C0000}"/>
    <cellStyle name="20% - Accent5 24" xfId="1750" xr:uid="{00000000-0005-0000-0000-0000E80C0000}"/>
    <cellStyle name="20% - Accent5 24 2" xfId="1751" xr:uid="{00000000-0005-0000-0000-0000E90C0000}"/>
    <cellStyle name="20% - Accent5 24 2 2" xfId="4297" xr:uid="{00000000-0005-0000-0000-0000EA0C0000}"/>
    <cellStyle name="20% - Accent5 24 2 3" xfId="6414" xr:uid="{00000000-0005-0000-0000-0000EB0C0000}"/>
    <cellStyle name="20% - Accent5 24 2 4" xfId="8462" xr:uid="{00000000-0005-0000-0000-0000EC0C0000}"/>
    <cellStyle name="20% - Accent5 24 3" xfId="4296" xr:uid="{00000000-0005-0000-0000-0000ED0C0000}"/>
    <cellStyle name="20% - Accent5 24 4" xfId="6413" xr:uid="{00000000-0005-0000-0000-0000EE0C0000}"/>
    <cellStyle name="20% - Accent5 24 5" xfId="8461" xr:uid="{00000000-0005-0000-0000-0000EF0C0000}"/>
    <cellStyle name="20% - Accent5 25" xfId="1752" xr:uid="{00000000-0005-0000-0000-0000F00C0000}"/>
    <cellStyle name="20% - Accent5 25 2" xfId="1753" xr:uid="{00000000-0005-0000-0000-0000F10C0000}"/>
    <cellStyle name="20% - Accent5 25 2 2" xfId="4299" xr:uid="{00000000-0005-0000-0000-0000F20C0000}"/>
    <cellStyle name="20% - Accent5 25 2 3" xfId="6416" xr:uid="{00000000-0005-0000-0000-0000F30C0000}"/>
    <cellStyle name="20% - Accent5 25 2 4" xfId="8464" xr:uid="{00000000-0005-0000-0000-0000F40C0000}"/>
    <cellStyle name="20% - Accent5 25 3" xfId="4298" xr:uid="{00000000-0005-0000-0000-0000F50C0000}"/>
    <cellStyle name="20% - Accent5 25 4" xfId="6415" xr:uid="{00000000-0005-0000-0000-0000F60C0000}"/>
    <cellStyle name="20% - Accent5 25 5" xfId="8463" xr:uid="{00000000-0005-0000-0000-0000F70C0000}"/>
    <cellStyle name="20% - Accent5 26" xfId="1754" xr:uid="{00000000-0005-0000-0000-0000F80C0000}"/>
    <cellStyle name="20% - Accent5 26 2" xfId="1755" xr:uid="{00000000-0005-0000-0000-0000F90C0000}"/>
    <cellStyle name="20% - Accent5 26 2 2" xfId="4301" xr:uid="{00000000-0005-0000-0000-0000FA0C0000}"/>
    <cellStyle name="20% - Accent5 26 2 3" xfId="6418" xr:uid="{00000000-0005-0000-0000-0000FB0C0000}"/>
    <cellStyle name="20% - Accent5 26 2 4" xfId="8466" xr:uid="{00000000-0005-0000-0000-0000FC0C0000}"/>
    <cellStyle name="20% - Accent5 26 3" xfId="4300" xr:uid="{00000000-0005-0000-0000-0000FD0C0000}"/>
    <cellStyle name="20% - Accent5 26 4" xfId="6417" xr:uid="{00000000-0005-0000-0000-0000FE0C0000}"/>
    <cellStyle name="20% - Accent5 26 5" xfId="8465" xr:uid="{00000000-0005-0000-0000-0000FF0C0000}"/>
    <cellStyle name="20% - Accent5 27" xfId="1756" xr:uid="{00000000-0005-0000-0000-0000000D0000}"/>
    <cellStyle name="20% - Accent5 27 2" xfId="1757" xr:uid="{00000000-0005-0000-0000-0000010D0000}"/>
    <cellStyle name="20% - Accent5 27 2 2" xfId="4303" xr:uid="{00000000-0005-0000-0000-0000020D0000}"/>
    <cellStyle name="20% - Accent5 27 2 3" xfId="6420" xr:uid="{00000000-0005-0000-0000-0000030D0000}"/>
    <cellStyle name="20% - Accent5 27 2 4" xfId="8468" xr:uid="{00000000-0005-0000-0000-0000040D0000}"/>
    <cellStyle name="20% - Accent5 27 3" xfId="4302" xr:uid="{00000000-0005-0000-0000-0000050D0000}"/>
    <cellStyle name="20% - Accent5 27 4" xfId="6419" xr:uid="{00000000-0005-0000-0000-0000060D0000}"/>
    <cellStyle name="20% - Accent5 27 5" xfId="8467" xr:uid="{00000000-0005-0000-0000-0000070D0000}"/>
    <cellStyle name="20% - Accent5 28" xfId="1758" xr:uid="{00000000-0005-0000-0000-0000080D0000}"/>
    <cellStyle name="20% - Accent5 28 2" xfId="1759" xr:uid="{00000000-0005-0000-0000-0000090D0000}"/>
    <cellStyle name="20% - Accent5 28 2 2" xfId="4305" xr:uid="{00000000-0005-0000-0000-00000A0D0000}"/>
    <cellStyle name="20% - Accent5 28 2 3" xfId="6422" xr:uid="{00000000-0005-0000-0000-00000B0D0000}"/>
    <cellStyle name="20% - Accent5 28 2 4" xfId="8470" xr:uid="{00000000-0005-0000-0000-00000C0D0000}"/>
    <cellStyle name="20% - Accent5 28 3" xfId="4304" xr:uid="{00000000-0005-0000-0000-00000D0D0000}"/>
    <cellStyle name="20% - Accent5 28 4" xfId="6421" xr:uid="{00000000-0005-0000-0000-00000E0D0000}"/>
    <cellStyle name="20% - Accent5 28 5" xfId="8469" xr:uid="{00000000-0005-0000-0000-00000F0D0000}"/>
    <cellStyle name="20% - Accent5 29" xfId="1760" xr:uid="{00000000-0005-0000-0000-0000100D0000}"/>
    <cellStyle name="20% - Accent5 29 2" xfId="1761" xr:uid="{00000000-0005-0000-0000-0000110D0000}"/>
    <cellStyle name="20% - Accent5 29 2 2" xfId="4307" xr:uid="{00000000-0005-0000-0000-0000120D0000}"/>
    <cellStyle name="20% - Accent5 29 2 3" xfId="6424" xr:uid="{00000000-0005-0000-0000-0000130D0000}"/>
    <cellStyle name="20% - Accent5 29 2 4" xfId="8472" xr:uid="{00000000-0005-0000-0000-0000140D0000}"/>
    <cellStyle name="20% - Accent5 29 3" xfId="4306" xr:uid="{00000000-0005-0000-0000-0000150D0000}"/>
    <cellStyle name="20% - Accent5 29 4" xfId="6423" xr:uid="{00000000-0005-0000-0000-0000160D0000}"/>
    <cellStyle name="20% - Accent5 29 5" xfId="8471" xr:uid="{00000000-0005-0000-0000-0000170D0000}"/>
    <cellStyle name="20% - Accent5 3" xfId="1762" xr:uid="{00000000-0005-0000-0000-0000180D0000}"/>
    <cellStyle name="20% - Accent5 3 2" xfId="1763" xr:uid="{00000000-0005-0000-0000-0000190D0000}"/>
    <cellStyle name="20% - Accent5 3 2 2" xfId="4308" xr:uid="{00000000-0005-0000-0000-00001A0D0000}"/>
    <cellStyle name="20% - Accent5 3 2 3" xfId="6425" xr:uid="{00000000-0005-0000-0000-00001B0D0000}"/>
    <cellStyle name="20% - Accent5 3 2 4" xfId="8473" xr:uid="{00000000-0005-0000-0000-00001C0D0000}"/>
    <cellStyle name="20% - Accent5 3 3" xfId="1764" xr:uid="{00000000-0005-0000-0000-00001D0D0000}"/>
    <cellStyle name="20% - Accent5 3 3 2" xfId="4309" xr:uid="{00000000-0005-0000-0000-00001E0D0000}"/>
    <cellStyle name="20% - Accent5 3 3 3" xfId="6426" xr:uid="{00000000-0005-0000-0000-00001F0D0000}"/>
    <cellStyle name="20% - Accent5 3 3 4" xfId="8474" xr:uid="{00000000-0005-0000-0000-0000200D0000}"/>
    <cellStyle name="20% - Accent5 3 4" xfId="1765" xr:uid="{00000000-0005-0000-0000-0000210D0000}"/>
    <cellStyle name="20% - Accent5 3 4 2" xfId="4310" xr:uid="{00000000-0005-0000-0000-0000220D0000}"/>
    <cellStyle name="20% - Accent5 3 4 3" xfId="6427" xr:uid="{00000000-0005-0000-0000-0000230D0000}"/>
    <cellStyle name="20% - Accent5 3 4 4" xfId="8475" xr:uid="{00000000-0005-0000-0000-0000240D0000}"/>
    <cellStyle name="20% - Accent5 3 5" xfId="1766" xr:uid="{00000000-0005-0000-0000-0000250D0000}"/>
    <cellStyle name="20% - Accent5 3 5 2" xfId="4311" xr:uid="{00000000-0005-0000-0000-0000260D0000}"/>
    <cellStyle name="20% - Accent5 3 5 3" xfId="6428" xr:uid="{00000000-0005-0000-0000-0000270D0000}"/>
    <cellStyle name="20% - Accent5 3 5 4" xfId="8476" xr:uid="{00000000-0005-0000-0000-0000280D0000}"/>
    <cellStyle name="20% - Accent5 3 6" xfId="1767" xr:uid="{00000000-0005-0000-0000-0000290D0000}"/>
    <cellStyle name="20% - Accent5 3 6 2" xfId="4312" xr:uid="{00000000-0005-0000-0000-00002A0D0000}"/>
    <cellStyle name="20% - Accent5 3 6 3" xfId="6429" xr:uid="{00000000-0005-0000-0000-00002B0D0000}"/>
    <cellStyle name="20% - Accent5 3 6 4" xfId="8477" xr:uid="{00000000-0005-0000-0000-00002C0D0000}"/>
    <cellStyle name="20% - Accent5 3 7" xfId="1768" xr:uid="{00000000-0005-0000-0000-00002D0D0000}"/>
    <cellStyle name="20% - Accent5 3 7 2" xfId="4313" xr:uid="{00000000-0005-0000-0000-00002E0D0000}"/>
    <cellStyle name="20% - Accent5 3 7 3" xfId="6430" xr:uid="{00000000-0005-0000-0000-00002F0D0000}"/>
    <cellStyle name="20% - Accent5 3 7 4" xfId="8478" xr:uid="{00000000-0005-0000-0000-0000300D0000}"/>
    <cellStyle name="20% - Accent5 30" xfId="1769" xr:uid="{00000000-0005-0000-0000-0000310D0000}"/>
    <cellStyle name="20% - Accent5 30 2" xfId="1770" xr:uid="{00000000-0005-0000-0000-0000320D0000}"/>
    <cellStyle name="20% - Accent5 30 2 2" xfId="4315" xr:uid="{00000000-0005-0000-0000-0000330D0000}"/>
    <cellStyle name="20% - Accent5 30 2 3" xfId="6432" xr:uid="{00000000-0005-0000-0000-0000340D0000}"/>
    <cellStyle name="20% - Accent5 30 2 4" xfId="8480" xr:uid="{00000000-0005-0000-0000-0000350D0000}"/>
    <cellStyle name="20% - Accent5 30 3" xfId="4314" xr:uid="{00000000-0005-0000-0000-0000360D0000}"/>
    <cellStyle name="20% - Accent5 30 4" xfId="6431" xr:uid="{00000000-0005-0000-0000-0000370D0000}"/>
    <cellStyle name="20% - Accent5 30 5" xfId="8479" xr:uid="{00000000-0005-0000-0000-0000380D0000}"/>
    <cellStyle name="20% - Accent5 31" xfId="1771" xr:uid="{00000000-0005-0000-0000-0000390D0000}"/>
    <cellStyle name="20% - Accent5 31 2" xfId="1772" xr:uid="{00000000-0005-0000-0000-00003A0D0000}"/>
    <cellStyle name="20% - Accent5 31 2 2" xfId="4317" xr:uid="{00000000-0005-0000-0000-00003B0D0000}"/>
    <cellStyle name="20% - Accent5 31 2 3" xfId="6434" xr:uid="{00000000-0005-0000-0000-00003C0D0000}"/>
    <cellStyle name="20% - Accent5 31 2 4" xfId="8482" xr:uid="{00000000-0005-0000-0000-00003D0D0000}"/>
    <cellStyle name="20% - Accent5 31 3" xfId="4316" xr:uid="{00000000-0005-0000-0000-00003E0D0000}"/>
    <cellStyle name="20% - Accent5 31 4" xfId="6433" xr:uid="{00000000-0005-0000-0000-00003F0D0000}"/>
    <cellStyle name="20% - Accent5 31 5" xfId="8481" xr:uid="{00000000-0005-0000-0000-0000400D0000}"/>
    <cellStyle name="20% - Accent5 32" xfId="1773" xr:uid="{00000000-0005-0000-0000-0000410D0000}"/>
    <cellStyle name="20% - Accent5 32 2" xfId="1774" xr:uid="{00000000-0005-0000-0000-0000420D0000}"/>
    <cellStyle name="20% - Accent5 32 2 2" xfId="4319" xr:uid="{00000000-0005-0000-0000-0000430D0000}"/>
    <cellStyle name="20% - Accent5 32 2 3" xfId="6436" xr:uid="{00000000-0005-0000-0000-0000440D0000}"/>
    <cellStyle name="20% - Accent5 32 2 4" xfId="8484" xr:uid="{00000000-0005-0000-0000-0000450D0000}"/>
    <cellStyle name="20% - Accent5 32 3" xfId="4318" xr:uid="{00000000-0005-0000-0000-0000460D0000}"/>
    <cellStyle name="20% - Accent5 32 4" xfId="6435" xr:uid="{00000000-0005-0000-0000-0000470D0000}"/>
    <cellStyle name="20% - Accent5 32 5" xfId="8483" xr:uid="{00000000-0005-0000-0000-0000480D0000}"/>
    <cellStyle name="20% - Accent5 33" xfId="1775" xr:uid="{00000000-0005-0000-0000-0000490D0000}"/>
    <cellStyle name="20% - Accent5 33 2" xfId="4320" xr:uid="{00000000-0005-0000-0000-00004A0D0000}"/>
    <cellStyle name="20% - Accent5 33 3" xfId="6437" xr:uid="{00000000-0005-0000-0000-00004B0D0000}"/>
    <cellStyle name="20% - Accent5 33 4" xfId="8485" xr:uid="{00000000-0005-0000-0000-00004C0D0000}"/>
    <cellStyle name="20% - Accent5 34" xfId="1776" xr:uid="{00000000-0005-0000-0000-00004D0D0000}"/>
    <cellStyle name="20% - Accent5 34 2" xfId="4321" xr:uid="{00000000-0005-0000-0000-00004E0D0000}"/>
    <cellStyle name="20% - Accent5 34 3" xfId="6438" xr:uid="{00000000-0005-0000-0000-00004F0D0000}"/>
    <cellStyle name="20% - Accent5 34 4" xfId="8486" xr:uid="{00000000-0005-0000-0000-0000500D0000}"/>
    <cellStyle name="20% - Accent5 35" xfId="1777" xr:uid="{00000000-0005-0000-0000-0000510D0000}"/>
    <cellStyle name="20% - Accent5 35 2" xfId="4322" xr:uid="{00000000-0005-0000-0000-0000520D0000}"/>
    <cellStyle name="20% - Accent5 35 3" xfId="6439" xr:uid="{00000000-0005-0000-0000-0000530D0000}"/>
    <cellStyle name="20% - Accent5 35 4" xfId="8487" xr:uid="{00000000-0005-0000-0000-0000540D0000}"/>
    <cellStyle name="20% - Accent5 36" xfId="1778" xr:uid="{00000000-0005-0000-0000-0000550D0000}"/>
    <cellStyle name="20% - Accent5 36 2" xfId="4323" xr:uid="{00000000-0005-0000-0000-0000560D0000}"/>
    <cellStyle name="20% - Accent5 36 3" xfId="6440" xr:uid="{00000000-0005-0000-0000-0000570D0000}"/>
    <cellStyle name="20% - Accent5 36 4" xfId="8488" xr:uid="{00000000-0005-0000-0000-0000580D0000}"/>
    <cellStyle name="20% - Accent5 37" xfId="1779" xr:uid="{00000000-0005-0000-0000-0000590D0000}"/>
    <cellStyle name="20% - Accent5 37 2" xfId="4324" xr:uid="{00000000-0005-0000-0000-00005A0D0000}"/>
    <cellStyle name="20% - Accent5 37 3" xfId="6441" xr:uid="{00000000-0005-0000-0000-00005B0D0000}"/>
    <cellStyle name="20% - Accent5 37 4" xfId="8489" xr:uid="{00000000-0005-0000-0000-00005C0D0000}"/>
    <cellStyle name="20% - Accent5 38" xfId="1780" xr:uid="{00000000-0005-0000-0000-00005D0D0000}"/>
    <cellStyle name="20% - Accent5 38 2" xfId="4325" xr:uid="{00000000-0005-0000-0000-00005E0D0000}"/>
    <cellStyle name="20% - Accent5 38 3" xfId="6442" xr:uid="{00000000-0005-0000-0000-00005F0D0000}"/>
    <cellStyle name="20% - Accent5 38 4" xfId="8490" xr:uid="{00000000-0005-0000-0000-0000600D0000}"/>
    <cellStyle name="20% - Accent5 39" xfId="1781" xr:uid="{00000000-0005-0000-0000-0000610D0000}"/>
    <cellStyle name="20% - Accent5 39 2" xfId="4326" xr:uid="{00000000-0005-0000-0000-0000620D0000}"/>
    <cellStyle name="20% - Accent5 39 3" xfId="6443" xr:uid="{00000000-0005-0000-0000-0000630D0000}"/>
    <cellStyle name="20% - Accent5 39 4" xfId="8491" xr:uid="{00000000-0005-0000-0000-0000640D0000}"/>
    <cellStyle name="20% - Accent5 4" xfId="1782" xr:uid="{00000000-0005-0000-0000-0000650D0000}"/>
    <cellStyle name="20% - Accent5 4 2" xfId="1783" xr:uid="{00000000-0005-0000-0000-0000660D0000}"/>
    <cellStyle name="20% - Accent5 4 2 2" xfId="4327" xr:uid="{00000000-0005-0000-0000-0000670D0000}"/>
    <cellStyle name="20% - Accent5 4 2 3" xfId="6444" xr:uid="{00000000-0005-0000-0000-0000680D0000}"/>
    <cellStyle name="20% - Accent5 4 2 4" xfId="8492" xr:uid="{00000000-0005-0000-0000-0000690D0000}"/>
    <cellStyle name="20% - Accent5 4 3" xfId="1784" xr:uid="{00000000-0005-0000-0000-00006A0D0000}"/>
    <cellStyle name="20% - Accent5 4 3 2" xfId="4328" xr:uid="{00000000-0005-0000-0000-00006B0D0000}"/>
    <cellStyle name="20% - Accent5 4 3 3" xfId="6445" xr:uid="{00000000-0005-0000-0000-00006C0D0000}"/>
    <cellStyle name="20% - Accent5 4 3 4" xfId="8493" xr:uid="{00000000-0005-0000-0000-00006D0D0000}"/>
    <cellStyle name="20% - Accent5 4 4" xfId="1785" xr:uid="{00000000-0005-0000-0000-00006E0D0000}"/>
    <cellStyle name="20% - Accent5 4 4 2" xfId="4329" xr:uid="{00000000-0005-0000-0000-00006F0D0000}"/>
    <cellStyle name="20% - Accent5 4 4 3" xfId="6446" xr:uid="{00000000-0005-0000-0000-0000700D0000}"/>
    <cellStyle name="20% - Accent5 4 4 4" xfId="8494" xr:uid="{00000000-0005-0000-0000-0000710D0000}"/>
    <cellStyle name="20% - Accent5 4 5" xfId="1786" xr:uid="{00000000-0005-0000-0000-0000720D0000}"/>
    <cellStyle name="20% - Accent5 4 5 2" xfId="4330" xr:uid="{00000000-0005-0000-0000-0000730D0000}"/>
    <cellStyle name="20% - Accent5 4 5 3" xfId="6447" xr:uid="{00000000-0005-0000-0000-0000740D0000}"/>
    <cellStyle name="20% - Accent5 4 5 4" xfId="8495" xr:uid="{00000000-0005-0000-0000-0000750D0000}"/>
    <cellStyle name="20% - Accent5 4 6" xfId="1787" xr:uid="{00000000-0005-0000-0000-0000760D0000}"/>
    <cellStyle name="20% - Accent5 4 6 2" xfId="4331" xr:uid="{00000000-0005-0000-0000-0000770D0000}"/>
    <cellStyle name="20% - Accent5 4 6 3" xfId="6448" xr:uid="{00000000-0005-0000-0000-0000780D0000}"/>
    <cellStyle name="20% - Accent5 4 6 4" xfId="8496" xr:uid="{00000000-0005-0000-0000-0000790D0000}"/>
    <cellStyle name="20% - Accent5 4 7" xfId="1788" xr:uid="{00000000-0005-0000-0000-00007A0D0000}"/>
    <cellStyle name="20% - Accent5 4 7 2" xfId="4332" xr:uid="{00000000-0005-0000-0000-00007B0D0000}"/>
    <cellStyle name="20% - Accent5 4 7 3" xfId="6449" xr:uid="{00000000-0005-0000-0000-00007C0D0000}"/>
    <cellStyle name="20% - Accent5 4 7 4" xfId="8497" xr:uid="{00000000-0005-0000-0000-00007D0D0000}"/>
    <cellStyle name="20% - Accent5 40" xfId="1789" xr:uid="{00000000-0005-0000-0000-00007E0D0000}"/>
    <cellStyle name="20% - Accent5 40 2" xfId="4333" xr:uid="{00000000-0005-0000-0000-00007F0D0000}"/>
    <cellStyle name="20% - Accent5 40 3" xfId="6450" xr:uid="{00000000-0005-0000-0000-0000800D0000}"/>
    <cellStyle name="20% - Accent5 40 4" xfId="8498" xr:uid="{00000000-0005-0000-0000-0000810D0000}"/>
    <cellStyle name="20% - Accent5 41" xfId="1790" xr:uid="{00000000-0005-0000-0000-0000820D0000}"/>
    <cellStyle name="20% - Accent5 41 2" xfId="4334" xr:uid="{00000000-0005-0000-0000-0000830D0000}"/>
    <cellStyle name="20% - Accent5 41 3" xfId="6451" xr:uid="{00000000-0005-0000-0000-0000840D0000}"/>
    <cellStyle name="20% - Accent5 41 4" xfId="8499" xr:uid="{00000000-0005-0000-0000-0000850D0000}"/>
    <cellStyle name="20% - Accent5 42" xfId="1791" xr:uid="{00000000-0005-0000-0000-0000860D0000}"/>
    <cellStyle name="20% - Accent5 42 2" xfId="4335" xr:uid="{00000000-0005-0000-0000-0000870D0000}"/>
    <cellStyle name="20% - Accent5 42 3" xfId="6452" xr:uid="{00000000-0005-0000-0000-0000880D0000}"/>
    <cellStyle name="20% - Accent5 42 4" xfId="8500" xr:uid="{00000000-0005-0000-0000-0000890D0000}"/>
    <cellStyle name="20% - Accent5 43" xfId="1792" xr:uid="{00000000-0005-0000-0000-00008A0D0000}"/>
    <cellStyle name="20% - Accent5 43 2" xfId="4336" xr:uid="{00000000-0005-0000-0000-00008B0D0000}"/>
    <cellStyle name="20% - Accent5 43 3" xfId="6453" xr:uid="{00000000-0005-0000-0000-00008C0D0000}"/>
    <cellStyle name="20% - Accent5 43 4" xfId="8501" xr:uid="{00000000-0005-0000-0000-00008D0D0000}"/>
    <cellStyle name="20% - Accent5 44" xfId="1793" xr:uid="{00000000-0005-0000-0000-00008E0D0000}"/>
    <cellStyle name="20% - Accent5 44 2" xfId="4337" xr:uid="{00000000-0005-0000-0000-00008F0D0000}"/>
    <cellStyle name="20% - Accent5 44 3" xfId="6454" xr:uid="{00000000-0005-0000-0000-0000900D0000}"/>
    <cellStyle name="20% - Accent5 44 4" xfId="8502" xr:uid="{00000000-0005-0000-0000-0000910D0000}"/>
    <cellStyle name="20% - Accent5 45" xfId="1794" xr:uid="{00000000-0005-0000-0000-0000920D0000}"/>
    <cellStyle name="20% - Accent5 45 2" xfId="4338" xr:uid="{00000000-0005-0000-0000-0000930D0000}"/>
    <cellStyle name="20% - Accent5 45 3" xfId="6455" xr:uid="{00000000-0005-0000-0000-0000940D0000}"/>
    <cellStyle name="20% - Accent5 45 4" xfId="8503" xr:uid="{00000000-0005-0000-0000-0000950D0000}"/>
    <cellStyle name="20% - Accent5 46" xfId="1795" xr:uid="{00000000-0005-0000-0000-0000960D0000}"/>
    <cellStyle name="20% - Accent5 46 2" xfId="4339" xr:uid="{00000000-0005-0000-0000-0000970D0000}"/>
    <cellStyle name="20% - Accent5 46 3" xfId="6456" xr:uid="{00000000-0005-0000-0000-0000980D0000}"/>
    <cellStyle name="20% - Accent5 46 4" xfId="8504" xr:uid="{00000000-0005-0000-0000-0000990D0000}"/>
    <cellStyle name="20% - Accent5 47" xfId="1796" xr:uid="{00000000-0005-0000-0000-00009A0D0000}"/>
    <cellStyle name="20% - Accent5 47 2" xfId="4340" xr:uid="{00000000-0005-0000-0000-00009B0D0000}"/>
    <cellStyle name="20% - Accent5 47 3" xfId="6457" xr:uid="{00000000-0005-0000-0000-00009C0D0000}"/>
    <cellStyle name="20% - Accent5 47 4" xfId="8505" xr:uid="{00000000-0005-0000-0000-00009D0D0000}"/>
    <cellStyle name="20% - Accent5 48" xfId="1797" xr:uid="{00000000-0005-0000-0000-00009E0D0000}"/>
    <cellStyle name="20% - Accent5 48 2" xfId="4341" xr:uid="{00000000-0005-0000-0000-00009F0D0000}"/>
    <cellStyle name="20% - Accent5 48 3" xfId="6458" xr:uid="{00000000-0005-0000-0000-0000A00D0000}"/>
    <cellStyle name="20% - Accent5 48 4" xfId="8506" xr:uid="{00000000-0005-0000-0000-0000A10D0000}"/>
    <cellStyle name="20% - Accent5 49" xfId="1798" xr:uid="{00000000-0005-0000-0000-0000A20D0000}"/>
    <cellStyle name="20% - Accent5 49 2" xfId="4342" xr:uid="{00000000-0005-0000-0000-0000A30D0000}"/>
    <cellStyle name="20% - Accent5 49 3" xfId="6459" xr:uid="{00000000-0005-0000-0000-0000A40D0000}"/>
    <cellStyle name="20% - Accent5 49 4" xfId="8507" xr:uid="{00000000-0005-0000-0000-0000A50D0000}"/>
    <cellStyle name="20% - Accent5 5" xfId="1799" xr:uid="{00000000-0005-0000-0000-0000A60D0000}"/>
    <cellStyle name="20% - Accent5 5 2" xfId="1800" xr:uid="{00000000-0005-0000-0000-0000A70D0000}"/>
    <cellStyle name="20% - Accent5 5 2 2" xfId="4343" xr:uid="{00000000-0005-0000-0000-0000A80D0000}"/>
    <cellStyle name="20% - Accent5 5 2 3" xfId="6460" xr:uid="{00000000-0005-0000-0000-0000A90D0000}"/>
    <cellStyle name="20% - Accent5 5 2 4" xfId="8508" xr:uid="{00000000-0005-0000-0000-0000AA0D0000}"/>
    <cellStyle name="20% - Accent5 5 3" xfId="1801" xr:uid="{00000000-0005-0000-0000-0000AB0D0000}"/>
    <cellStyle name="20% - Accent5 5 3 2" xfId="4344" xr:uid="{00000000-0005-0000-0000-0000AC0D0000}"/>
    <cellStyle name="20% - Accent5 5 3 3" xfId="6461" xr:uid="{00000000-0005-0000-0000-0000AD0D0000}"/>
    <cellStyle name="20% - Accent5 5 3 4" xfId="8509" xr:uid="{00000000-0005-0000-0000-0000AE0D0000}"/>
    <cellStyle name="20% - Accent5 5 4" xfId="1802" xr:uid="{00000000-0005-0000-0000-0000AF0D0000}"/>
    <cellStyle name="20% - Accent5 5 4 2" xfId="4345" xr:uid="{00000000-0005-0000-0000-0000B00D0000}"/>
    <cellStyle name="20% - Accent5 5 4 3" xfId="6462" xr:uid="{00000000-0005-0000-0000-0000B10D0000}"/>
    <cellStyle name="20% - Accent5 5 4 4" xfId="8510" xr:uid="{00000000-0005-0000-0000-0000B20D0000}"/>
    <cellStyle name="20% - Accent5 5 5" xfId="1803" xr:uid="{00000000-0005-0000-0000-0000B30D0000}"/>
    <cellStyle name="20% - Accent5 5 5 2" xfId="4346" xr:uid="{00000000-0005-0000-0000-0000B40D0000}"/>
    <cellStyle name="20% - Accent5 5 5 3" xfId="6463" xr:uid="{00000000-0005-0000-0000-0000B50D0000}"/>
    <cellStyle name="20% - Accent5 5 5 4" xfId="8511" xr:uid="{00000000-0005-0000-0000-0000B60D0000}"/>
    <cellStyle name="20% - Accent5 5 6" xfId="1804" xr:uid="{00000000-0005-0000-0000-0000B70D0000}"/>
    <cellStyle name="20% - Accent5 5 6 2" xfId="4347" xr:uid="{00000000-0005-0000-0000-0000B80D0000}"/>
    <cellStyle name="20% - Accent5 5 6 3" xfId="6464" xr:uid="{00000000-0005-0000-0000-0000B90D0000}"/>
    <cellStyle name="20% - Accent5 5 6 4" xfId="8512" xr:uid="{00000000-0005-0000-0000-0000BA0D0000}"/>
    <cellStyle name="20% - Accent5 5 7" xfId="1805" xr:uid="{00000000-0005-0000-0000-0000BB0D0000}"/>
    <cellStyle name="20% - Accent5 5 7 2" xfId="4348" xr:uid="{00000000-0005-0000-0000-0000BC0D0000}"/>
    <cellStyle name="20% - Accent5 5 7 3" xfId="6465" xr:uid="{00000000-0005-0000-0000-0000BD0D0000}"/>
    <cellStyle name="20% - Accent5 5 7 4" xfId="8513" xr:uid="{00000000-0005-0000-0000-0000BE0D0000}"/>
    <cellStyle name="20% - Accent5 50" xfId="1806" xr:uid="{00000000-0005-0000-0000-0000BF0D0000}"/>
    <cellStyle name="20% - Accent5 50 2" xfId="4349" xr:uid="{00000000-0005-0000-0000-0000C00D0000}"/>
    <cellStyle name="20% - Accent5 50 3" xfId="6466" xr:uid="{00000000-0005-0000-0000-0000C10D0000}"/>
    <cellStyle name="20% - Accent5 50 4" xfId="8514" xr:uid="{00000000-0005-0000-0000-0000C20D0000}"/>
    <cellStyle name="20% - Accent5 6" xfId="1807" xr:uid="{00000000-0005-0000-0000-0000C30D0000}"/>
    <cellStyle name="20% - Accent5 6 2" xfId="1808" xr:uid="{00000000-0005-0000-0000-0000C40D0000}"/>
    <cellStyle name="20% - Accent5 6 2 2" xfId="4350" xr:uid="{00000000-0005-0000-0000-0000C50D0000}"/>
    <cellStyle name="20% - Accent5 6 2 3" xfId="6467" xr:uid="{00000000-0005-0000-0000-0000C60D0000}"/>
    <cellStyle name="20% - Accent5 6 2 4" xfId="8515" xr:uid="{00000000-0005-0000-0000-0000C70D0000}"/>
    <cellStyle name="20% - Accent5 6 3" xfId="1809" xr:uid="{00000000-0005-0000-0000-0000C80D0000}"/>
    <cellStyle name="20% - Accent5 6 3 2" xfId="4351" xr:uid="{00000000-0005-0000-0000-0000C90D0000}"/>
    <cellStyle name="20% - Accent5 6 3 3" xfId="6468" xr:uid="{00000000-0005-0000-0000-0000CA0D0000}"/>
    <cellStyle name="20% - Accent5 6 3 4" xfId="8516" xr:uid="{00000000-0005-0000-0000-0000CB0D0000}"/>
    <cellStyle name="20% - Accent5 6 4" xfId="1810" xr:uid="{00000000-0005-0000-0000-0000CC0D0000}"/>
    <cellStyle name="20% - Accent5 6 4 2" xfId="4352" xr:uid="{00000000-0005-0000-0000-0000CD0D0000}"/>
    <cellStyle name="20% - Accent5 6 4 3" xfId="6469" xr:uid="{00000000-0005-0000-0000-0000CE0D0000}"/>
    <cellStyle name="20% - Accent5 6 4 4" xfId="8517" xr:uid="{00000000-0005-0000-0000-0000CF0D0000}"/>
    <cellStyle name="20% - Accent5 6 5" xfId="1811" xr:uid="{00000000-0005-0000-0000-0000D00D0000}"/>
    <cellStyle name="20% - Accent5 6 5 2" xfId="4353" xr:uid="{00000000-0005-0000-0000-0000D10D0000}"/>
    <cellStyle name="20% - Accent5 6 5 3" xfId="6470" xr:uid="{00000000-0005-0000-0000-0000D20D0000}"/>
    <cellStyle name="20% - Accent5 6 5 4" xfId="8518" xr:uid="{00000000-0005-0000-0000-0000D30D0000}"/>
    <cellStyle name="20% - Accent5 6 6" xfId="1812" xr:uid="{00000000-0005-0000-0000-0000D40D0000}"/>
    <cellStyle name="20% - Accent5 6 6 2" xfId="4354" xr:uid="{00000000-0005-0000-0000-0000D50D0000}"/>
    <cellStyle name="20% - Accent5 6 6 3" xfId="6471" xr:uid="{00000000-0005-0000-0000-0000D60D0000}"/>
    <cellStyle name="20% - Accent5 6 6 4" xfId="8519" xr:uid="{00000000-0005-0000-0000-0000D70D0000}"/>
    <cellStyle name="20% - Accent5 6 7" xfId="1813" xr:uid="{00000000-0005-0000-0000-0000D80D0000}"/>
    <cellStyle name="20% - Accent5 6 7 2" xfId="4355" xr:uid="{00000000-0005-0000-0000-0000D90D0000}"/>
    <cellStyle name="20% - Accent5 6 7 3" xfId="6472" xr:uid="{00000000-0005-0000-0000-0000DA0D0000}"/>
    <cellStyle name="20% - Accent5 6 7 4" xfId="8520" xr:uid="{00000000-0005-0000-0000-0000DB0D0000}"/>
    <cellStyle name="20% - Accent5 7" xfId="1814" xr:uid="{00000000-0005-0000-0000-0000DC0D0000}"/>
    <cellStyle name="20% - Accent5 7 10" xfId="8521" xr:uid="{00000000-0005-0000-0000-0000DD0D0000}"/>
    <cellStyle name="20% - Accent5 7 2" xfId="1815" xr:uid="{00000000-0005-0000-0000-0000DE0D0000}"/>
    <cellStyle name="20% - Accent5 7 2 2" xfId="4357" xr:uid="{00000000-0005-0000-0000-0000DF0D0000}"/>
    <cellStyle name="20% - Accent5 7 2 3" xfId="6474" xr:uid="{00000000-0005-0000-0000-0000E00D0000}"/>
    <cellStyle name="20% - Accent5 7 2 4" xfId="8522" xr:uid="{00000000-0005-0000-0000-0000E10D0000}"/>
    <cellStyle name="20% - Accent5 7 3" xfId="1816" xr:uid="{00000000-0005-0000-0000-0000E20D0000}"/>
    <cellStyle name="20% - Accent5 7 3 2" xfId="4358" xr:uid="{00000000-0005-0000-0000-0000E30D0000}"/>
    <cellStyle name="20% - Accent5 7 3 3" xfId="6475" xr:uid="{00000000-0005-0000-0000-0000E40D0000}"/>
    <cellStyle name="20% - Accent5 7 3 4" xfId="8523" xr:uid="{00000000-0005-0000-0000-0000E50D0000}"/>
    <cellStyle name="20% - Accent5 7 4" xfId="1817" xr:uid="{00000000-0005-0000-0000-0000E60D0000}"/>
    <cellStyle name="20% - Accent5 7 4 2" xfId="4359" xr:uid="{00000000-0005-0000-0000-0000E70D0000}"/>
    <cellStyle name="20% - Accent5 7 4 3" xfId="6476" xr:uid="{00000000-0005-0000-0000-0000E80D0000}"/>
    <cellStyle name="20% - Accent5 7 4 4" xfId="8524" xr:uid="{00000000-0005-0000-0000-0000E90D0000}"/>
    <cellStyle name="20% - Accent5 7 5" xfId="1818" xr:uid="{00000000-0005-0000-0000-0000EA0D0000}"/>
    <cellStyle name="20% - Accent5 7 5 2" xfId="4360" xr:uid="{00000000-0005-0000-0000-0000EB0D0000}"/>
    <cellStyle name="20% - Accent5 7 5 3" xfId="6477" xr:uid="{00000000-0005-0000-0000-0000EC0D0000}"/>
    <cellStyle name="20% - Accent5 7 5 4" xfId="8525" xr:uid="{00000000-0005-0000-0000-0000ED0D0000}"/>
    <cellStyle name="20% - Accent5 7 6" xfId="1819" xr:uid="{00000000-0005-0000-0000-0000EE0D0000}"/>
    <cellStyle name="20% - Accent5 7 6 2" xfId="4361" xr:uid="{00000000-0005-0000-0000-0000EF0D0000}"/>
    <cellStyle name="20% - Accent5 7 6 3" xfId="6478" xr:uid="{00000000-0005-0000-0000-0000F00D0000}"/>
    <cellStyle name="20% - Accent5 7 6 4" xfId="8526" xr:uid="{00000000-0005-0000-0000-0000F10D0000}"/>
    <cellStyle name="20% - Accent5 7 7" xfId="1820" xr:uid="{00000000-0005-0000-0000-0000F20D0000}"/>
    <cellStyle name="20% - Accent5 7 7 2" xfId="4362" xr:uid="{00000000-0005-0000-0000-0000F30D0000}"/>
    <cellStyle name="20% - Accent5 7 7 3" xfId="6479" xr:uid="{00000000-0005-0000-0000-0000F40D0000}"/>
    <cellStyle name="20% - Accent5 7 7 4" xfId="8527" xr:uid="{00000000-0005-0000-0000-0000F50D0000}"/>
    <cellStyle name="20% - Accent5 7 8" xfId="4356" xr:uid="{00000000-0005-0000-0000-0000F60D0000}"/>
    <cellStyle name="20% - Accent5 7 9" xfId="6473" xr:uid="{00000000-0005-0000-0000-0000F70D0000}"/>
    <cellStyle name="20% - Accent5 8" xfId="1821" xr:uid="{00000000-0005-0000-0000-0000F80D0000}"/>
    <cellStyle name="20% - Accent5 8 10" xfId="8528" xr:uid="{00000000-0005-0000-0000-0000F90D0000}"/>
    <cellStyle name="20% - Accent5 8 2" xfId="1822" xr:uid="{00000000-0005-0000-0000-0000FA0D0000}"/>
    <cellStyle name="20% - Accent5 8 2 2" xfId="4364" xr:uid="{00000000-0005-0000-0000-0000FB0D0000}"/>
    <cellStyle name="20% - Accent5 8 2 3" xfId="6481" xr:uid="{00000000-0005-0000-0000-0000FC0D0000}"/>
    <cellStyle name="20% - Accent5 8 2 4" xfId="8529" xr:uid="{00000000-0005-0000-0000-0000FD0D0000}"/>
    <cellStyle name="20% - Accent5 8 3" xfId="1823" xr:uid="{00000000-0005-0000-0000-0000FE0D0000}"/>
    <cellStyle name="20% - Accent5 8 3 2" xfId="4365" xr:uid="{00000000-0005-0000-0000-0000FF0D0000}"/>
    <cellStyle name="20% - Accent5 8 3 3" xfId="6482" xr:uid="{00000000-0005-0000-0000-0000000E0000}"/>
    <cellStyle name="20% - Accent5 8 3 4" xfId="8530" xr:uid="{00000000-0005-0000-0000-0000010E0000}"/>
    <cellStyle name="20% - Accent5 8 4" xfId="1824" xr:uid="{00000000-0005-0000-0000-0000020E0000}"/>
    <cellStyle name="20% - Accent5 8 4 2" xfId="4366" xr:uid="{00000000-0005-0000-0000-0000030E0000}"/>
    <cellStyle name="20% - Accent5 8 4 3" xfId="6483" xr:uid="{00000000-0005-0000-0000-0000040E0000}"/>
    <cellStyle name="20% - Accent5 8 4 4" xfId="8531" xr:uid="{00000000-0005-0000-0000-0000050E0000}"/>
    <cellStyle name="20% - Accent5 8 5" xfId="1825" xr:uid="{00000000-0005-0000-0000-0000060E0000}"/>
    <cellStyle name="20% - Accent5 8 5 2" xfId="4367" xr:uid="{00000000-0005-0000-0000-0000070E0000}"/>
    <cellStyle name="20% - Accent5 8 5 3" xfId="6484" xr:uid="{00000000-0005-0000-0000-0000080E0000}"/>
    <cellStyle name="20% - Accent5 8 5 4" xfId="8532" xr:uid="{00000000-0005-0000-0000-0000090E0000}"/>
    <cellStyle name="20% - Accent5 8 6" xfId="1826" xr:uid="{00000000-0005-0000-0000-00000A0E0000}"/>
    <cellStyle name="20% - Accent5 8 6 2" xfId="4368" xr:uid="{00000000-0005-0000-0000-00000B0E0000}"/>
    <cellStyle name="20% - Accent5 8 6 3" xfId="6485" xr:uid="{00000000-0005-0000-0000-00000C0E0000}"/>
    <cellStyle name="20% - Accent5 8 6 4" xfId="8533" xr:uid="{00000000-0005-0000-0000-00000D0E0000}"/>
    <cellStyle name="20% - Accent5 8 7" xfId="1827" xr:uid="{00000000-0005-0000-0000-00000E0E0000}"/>
    <cellStyle name="20% - Accent5 8 7 2" xfId="4369" xr:uid="{00000000-0005-0000-0000-00000F0E0000}"/>
    <cellStyle name="20% - Accent5 8 7 3" xfId="6486" xr:uid="{00000000-0005-0000-0000-0000100E0000}"/>
    <cellStyle name="20% - Accent5 8 7 4" xfId="8534" xr:uid="{00000000-0005-0000-0000-0000110E0000}"/>
    <cellStyle name="20% - Accent5 8 8" xfId="4363" xr:uid="{00000000-0005-0000-0000-0000120E0000}"/>
    <cellStyle name="20% - Accent5 8 9" xfId="6480" xr:uid="{00000000-0005-0000-0000-0000130E0000}"/>
    <cellStyle name="20% - Accent5 9" xfId="1828" xr:uid="{00000000-0005-0000-0000-0000140E0000}"/>
    <cellStyle name="20% - Accent5 9 10" xfId="8535" xr:uid="{00000000-0005-0000-0000-0000150E0000}"/>
    <cellStyle name="20% - Accent5 9 2" xfId="1829" xr:uid="{00000000-0005-0000-0000-0000160E0000}"/>
    <cellStyle name="20% - Accent5 9 2 2" xfId="4371" xr:uid="{00000000-0005-0000-0000-0000170E0000}"/>
    <cellStyle name="20% - Accent5 9 2 3" xfId="6488" xr:uid="{00000000-0005-0000-0000-0000180E0000}"/>
    <cellStyle name="20% - Accent5 9 2 4" xfId="8536" xr:uid="{00000000-0005-0000-0000-0000190E0000}"/>
    <cellStyle name="20% - Accent5 9 3" xfId="1830" xr:uid="{00000000-0005-0000-0000-00001A0E0000}"/>
    <cellStyle name="20% - Accent5 9 3 2" xfId="4372" xr:uid="{00000000-0005-0000-0000-00001B0E0000}"/>
    <cellStyle name="20% - Accent5 9 3 3" xfId="6489" xr:uid="{00000000-0005-0000-0000-00001C0E0000}"/>
    <cellStyle name="20% - Accent5 9 3 4" xfId="8537" xr:uid="{00000000-0005-0000-0000-00001D0E0000}"/>
    <cellStyle name="20% - Accent5 9 4" xfId="1831" xr:uid="{00000000-0005-0000-0000-00001E0E0000}"/>
    <cellStyle name="20% - Accent5 9 4 2" xfId="4373" xr:uid="{00000000-0005-0000-0000-00001F0E0000}"/>
    <cellStyle name="20% - Accent5 9 4 3" xfId="6490" xr:uid="{00000000-0005-0000-0000-0000200E0000}"/>
    <cellStyle name="20% - Accent5 9 4 4" xfId="8538" xr:uid="{00000000-0005-0000-0000-0000210E0000}"/>
    <cellStyle name="20% - Accent5 9 5" xfId="1832" xr:uid="{00000000-0005-0000-0000-0000220E0000}"/>
    <cellStyle name="20% - Accent5 9 5 2" xfId="4374" xr:uid="{00000000-0005-0000-0000-0000230E0000}"/>
    <cellStyle name="20% - Accent5 9 5 3" xfId="6491" xr:uid="{00000000-0005-0000-0000-0000240E0000}"/>
    <cellStyle name="20% - Accent5 9 5 4" xfId="8539" xr:uid="{00000000-0005-0000-0000-0000250E0000}"/>
    <cellStyle name="20% - Accent5 9 6" xfId="1833" xr:uid="{00000000-0005-0000-0000-0000260E0000}"/>
    <cellStyle name="20% - Accent5 9 6 2" xfId="4375" xr:uid="{00000000-0005-0000-0000-0000270E0000}"/>
    <cellStyle name="20% - Accent5 9 6 3" xfId="6492" xr:uid="{00000000-0005-0000-0000-0000280E0000}"/>
    <cellStyle name="20% - Accent5 9 6 4" xfId="8540" xr:uid="{00000000-0005-0000-0000-0000290E0000}"/>
    <cellStyle name="20% - Accent5 9 7" xfId="1834" xr:uid="{00000000-0005-0000-0000-00002A0E0000}"/>
    <cellStyle name="20% - Accent5 9 7 2" xfId="4376" xr:uid="{00000000-0005-0000-0000-00002B0E0000}"/>
    <cellStyle name="20% - Accent5 9 7 3" xfId="6493" xr:uid="{00000000-0005-0000-0000-00002C0E0000}"/>
    <cellStyle name="20% - Accent5 9 7 4" xfId="8541" xr:uid="{00000000-0005-0000-0000-00002D0E0000}"/>
    <cellStyle name="20% - Accent5 9 8" xfId="4370" xr:uid="{00000000-0005-0000-0000-00002E0E0000}"/>
    <cellStyle name="20% - Accent5 9 9" xfId="6487" xr:uid="{00000000-0005-0000-0000-00002F0E0000}"/>
    <cellStyle name="20% - Accent6 10" xfId="1835" xr:uid="{00000000-0005-0000-0000-0000300E0000}"/>
    <cellStyle name="20% - Accent6 10 10" xfId="8542" xr:uid="{00000000-0005-0000-0000-0000310E0000}"/>
    <cellStyle name="20% - Accent6 10 2" xfId="1836" xr:uid="{00000000-0005-0000-0000-0000320E0000}"/>
    <cellStyle name="20% - Accent6 10 2 2" xfId="4378" xr:uid="{00000000-0005-0000-0000-0000330E0000}"/>
    <cellStyle name="20% - Accent6 10 2 3" xfId="6495" xr:uid="{00000000-0005-0000-0000-0000340E0000}"/>
    <cellStyle name="20% - Accent6 10 2 4" xfId="8543" xr:uid="{00000000-0005-0000-0000-0000350E0000}"/>
    <cellStyle name="20% - Accent6 10 3" xfId="1837" xr:uid="{00000000-0005-0000-0000-0000360E0000}"/>
    <cellStyle name="20% - Accent6 10 3 2" xfId="4379" xr:uid="{00000000-0005-0000-0000-0000370E0000}"/>
    <cellStyle name="20% - Accent6 10 3 3" xfId="6496" xr:uid="{00000000-0005-0000-0000-0000380E0000}"/>
    <cellStyle name="20% - Accent6 10 3 4" xfId="8544" xr:uid="{00000000-0005-0000-0000-0000390E0000}"/>
    <cellStyle name="20% - Accent6 10 4" xfId="1838" xr:uid="{00000000-0005-0000-0000-00003A0E0000}"/>
    <cellStyle name="20% - Accent6 10 4 2" xfId="4380" xr:uid="{00000000-0005-0000-0000-00003B0E0000}"/>
    <cellStyle name="20% - Accent6 10 4 3" xfId="6497" xr:uid="{00000000-0005-0000-0000-00003C0E0000}"/>
    <cellStyle name="20% - Accent6 10 4 4" xfId="8545" xr:uid="{00000000-0005-0000-0000-00003D0E0000}"/>
    <cellStyle name="20% - Accent6 10 5" xfId="1839" xr:uid="{00000000-0005-0000-0000-00003E0E0000}"/>
    <cellStyle name="20% - Accent6 10 5 2" xfId="4381" xr:uid="{00000000-0005-0000-0000-00003F0E0000}"/>
    <cellStyle name="20% - Accent6 10 5 3" xfId="6498" xr:uid="{00000000-0005-0000-0000-0000400E0000}"/>
    <cellStyle name="20% - Accent6 10 5 4" xfId="8546" xr:uid="{00000000-0005-0000-0000-0000410E0000}"/>
    <cellStyle name="20% - Accent6 10 6" xfId="1840" xr:uid="{00000000-0005-0000-0000-0000420E0000}"/>
    <cellStyle name="20% - Accent6 10 6 2" xfId="4382" xr:uid="{00000000-0005-0000-0000-0000430E0000}"/>
    <cellStyle name="20% - Accent6 10 6 3" xfId="6499" xr:uid="{00000000-0005-0000-0000-0000440E0000}"/>
    <cellStyle name="20% - Accent6 10 6 4" xfId="8547" xr:uid="{00000000-0005-0000-0000-0000450E0000}"/>
    <cellStyle name="20% - Accent6 10 7" xfId="1841" xr:uid="{00000000-0005-0000-0000-0000460E0000}"/>
    <cellStyle name="20% - Accent6 10 7 2" xfId="4383" xr:uid="{00000000-0005-0000-0000-0000470E0000}"/>
    <cellStyle name="20% - Accent6 10 7 3" xfId="6500" xr:uid="{00000000-0005-0000-0000-0000480E0000}"/>
    <cellStyle name="20% - Accent6 10 7 4" xfId="8548" xr:uid="{00000000-0005-0000-0000-0000490E0000}"/>
    <cellStyle name="20% - Accent6 10 8" xfId="4377" xr:uid="{00000000-0005-0000-0000-00004A0E0000}"/>
    <cellStyle name="20% - Accent6 10 9" xfId="6494" xr:uid="{00000000-0005-0000-0000-00004B0E0000}"/>
    <cellStyle name="20% - Accent6 11" xfId="1842" xr:uid="{00000000-0005-0000-0000-00004C0E0000}"/>
    <cellStyle name="20% - Accent6 11 2" xfId="1843" xr:uid="{00000000-0005-0000-0000-00004D0E0000}"/>
    <cellStyle name="20% - Accent6 11 2 2" xfId="4385" xr:uid="{00000000-0005-0000-0000-00004E0E0000}"/>
    <cellStyle name="20% - Accent6 11 2 3" xfId="6502" xr:uid="{00000000-0005-0000-0000-00004F0E0000}"/>
    <cellStyle name="20% - Accent6 11 2 4" xfId="8550" xr:uid="{00000000-0005-0000-0000-0000500E0000}"/>
    <cellStyle name="20% - Accent6 11 3" xfId="1844" xr:uid="{00000000-0005-0000-0000-0000510E0000}"/>
    <cellStyle name="20% - Accent6 11 3 2" xfId="4386" xr:uid="{00000000-0005-0000-0000-0000520E0000}"/>
    <cellStyle name="20% - Accent6 11 3 3" xfId="6503" xr:uid="{00000000-0005-0000-0000-0000530E0000}"/>
    <cellStyle name="20% - Accent6 11 3 4" xfId="8551" xr:uid="{00000000-0005-0000-0000-0000540E0000}"/>
    <cellStyle name="20% - Accent6 11 4" xfId="1845" xr:uid="{00000000-0005-0000-0000-0000550E0000}"/>
    <cellStyle name="20% - Accent6 11 4 2" xfId="4387" xr:uid="{00000000-0005-0000-0000-0000560E0000}"/>
    <cellStyle name="20% - Accent6 11 4 3" xfId="6504" xr:uid="{00000000-0005-0000-0000-0000570E0000}"/>
    <cellStyle name="20% - Accent6 11 4 4" xfId="8552" xr:uid="{00000000-0005-0000-0000-0000580E0000}"/>
    <cellStyle name="20% - Accent6 11 5" xfId="1846" xr:uid="{00000000-0005-0000-0000-0000590E0000}"/>
    <cellStyle name="20% - Accent6 11 5 2" xfId="4388" xr:uid="{00000000-0005-0000-0000-00005A0E0000}"/>
    <cellStyle name="20% - Accent6 11 5 3" xfId="6505" xr:uid="{00000000-0005-0000-0000-00005B0E0000}"/>
    <cellStyle name="20% - Accent6 11 5 4" xfId="8553" xr:uid="{00000000-0005-0000-0000-00005C0E0000}"/>
    <cellStyle name="20% - Accent6 11 6" xfId="1847" xr:uid="{00000000-0005-0000-0000-00005D0E0000}"/>
    <cellStyle name="20% - Accent6 11 6 2" xfId="4389" xr:uid="{00000000-0005-0000-0000-00005E0E0000}"/>
    <cellStyle name="20% - Accent6 11 6 3" xfId="6506" xr:uid="{00000000-0005-0000-0000-00005F0E0000}"/>
    <cellStyle name="20% - Accent6 11 6 4" xfId="8554" xr:uid="{00000000-0005-0000-0000-0000600E0000}"/>
    <cellStyle name="20% - Accent6 11 7" xfId="4384" xr:uid="{00000000-0005-0000-0000-0000610E0000}"/>
    <cellStyle name="20% - Accent6 11 8" xfId="6501" xr:uid="{00000000-0005-0000-0000-0000620E0000}"/>
    <cellStyle name="20% - Accent6 11 9" xfId="8549" xr:uid="{00000000-0005-0000-0000-0000630E0000}"/>
    <cellStyle name="20% - Accent6 12" xfId="1848" xr:uid="{00000000-0005-0000-0000-0000640E0000}"/>
    <cellStyle name="20% - Accent6 12 2" xfId="1849" xr:uid="{00000000-0005-0000-0000-0000650E0000}"/>
    <cellStyle name="20% - Accent6 12 2 2" xfId="4391" xr:uid="{00000000-0005-0000-0000-0000660E0000}"/>
    <cellStyle name="20% - Accent6 12 2 3" xfId="6508" xr:uid="{00000000-0005-0000-0000-0000670E0000}"/>
    <cellStyle name="20% - Accent6 12 2 4" xfId="8556" xr:uid="{00000000-0005-0000-0000-0000680E0000}"/>
    <cellStyle name="20% - Accent6 12 3" xfId="1850" xr:uid="{00000000-0005-0000-0000-0000690E0000}"/>
    <cellStyle name="20% - Accent6 12 3 2" xfId="4392" xr:uid="{00000000-0005-0000-0000-00006A0E0000}"/>
    <cellStyle name="20% - Accent6 12 3 3" xfId="6509" xr:uid="{00000000-0005-0000-0000-00006B0E0000}"/>
    <cellStyle name="20% - Accent6 12 3 4" xfId="8557" xr:uid="{00000000-0005-0000-0000-00006C0E0000}"/>
    <cellStyle name="20% - Accent6 12 4" xfId="1851" xr:uid="{00000000-0005-0000-0000-00006D0E0000}"/>
    <cellStyle name="20% - Accent6 12 4 2" xfId="4393" xr:uid="{00000000-0005-0000-0000-00006E0E0000}"/>
    <cellStyle name="20% - Accent6 12 4 3" xfId="6510" xr:uid="{00000000-0005-0000-0000-00006F0E0000}"/>
    <cellStyle name="20% - Accent6 12 4 4" xfId="8558" xr:uid="{00000000-0005-0000-0000-0000700E0000}"/>
    <cellStyle name="20% - Accent6 12 5" xfId="1852" xr:uid="{00000000-0005-0000-0000-0000710E0000}"/>
    <cellStyle name="20% - Accent6 12 5 2" xfId="4394" xr:uid="{00000000-0005-0000-0000-0000720E0000}"/>
    <cellStyle name="20% - Accent6 12 5 3" xfId="6511" xr:uid="{00000000-0005-0000-0000-0000730E0000}"/>
    <cellStyle name="20% - Accent6 12 5 4" xfId="8559" xr:uid="{00000000-0005-0000-0000-0000740E0000}"/>
    <cellStyle name="20% - Accent6 12 6" xfId="4390" xr:uid="{00000000-0005-0000-0000-0000750E0000}"/>
    <cellStyle name="20% - Accent6 12 7" xfId="6507" xr:uid="{00000000-0005-0000-0000-0000760E0000}"/>
    <cellStyle name="20% - Accent6 12 8" xfId="8555" xr:uid="{00000000-0005-0000-0000-0000770E0000}"/>
    <cellStyle name="20% - Accent6 13" xfId="1853" xr:uid="{00000000-0005-0000-0000-0000780E0000}"/>
    <cellStyle name="20% - Accent6 13 2" xfId="1854" xr:uid="{00000000-0005-0000-0000-0000790E0000}"/>
    <cellStyle name="20% - Accent6 13 2 2" xfId="4396" xr:uid="{00000000-0005-0000-0000-00007A0E0000}"/>
    <cellStyle name="20% - Accent6 13 2 3" xfId="6513" xr:uid="{00000000-0005-0000-0000-00007B0E0000}"/>
    <cellStyle name="20% - Accent6 13 2 4" xfId="8561" xr:uid="{00000000-0005-0000-0000-00007C0E0000}"/>
    <cellStyle name="20% - Accent6 13 3" xfId="1855" xr:uid="{00000000-0005-0000-0000-00007D0E0000}"/>
    <cellStyle name="20% - Accent6 13 3 2" xfId="4397" xr:uid="{00000000-0005-0000-0000-00007E0E0000}"/>
    <cellStyle name="20% - Accent6 13 3 3" xfId="6514" xr:uid="{00000000-0005-0000-0000-00007F0E0000}"/>
    <cellStyle name="20% - Accent6 13 3 4" xfId="8562" xr:uid="{00000000-0005-0000-0000-0000800E0000}"/>
    <cellStyle name="20% - Accent6 13 4" xfId="1856" xr:uid="{00000000-0005-0000-0000-0000810E0000}"/>
    <cellStyle name="20% - Accent6 13 4 2" xfId="4398" xr:uid="{00000000-0005-0000-0000-0000820E0000}"/>
    <cellStyle name="20% - Accent6 13 4 3" xfId="6515" xr:uid="{00000000-0005-0000-0000-0000830E0000}"/>
    <cellStyle name="20% - Accent6 13 4 4" xfId="8563" xr:uid="{00000000-0005-0000-0000-0000840E0000}"/>
    <cellStyle name="20% - Accent6 13 5" xfId="1857" xr:uid="{00000000-0005-0000-0000-0000850E0000}"/>
    <cellStyle name="20% - Accent6 13 5 2" xfId="4399" xr:uid="{00000000-0005-0000-0000-0000860E0000}"/>
    <cellStyle name="20% - Accent6 13 5 3" xfId="6516" xr:uid="{00000000-0005-0000-0000-0000870E0000}"/>
    <cellStyle name="20% - Accent6 13 5 4" xfId="8564" xr:uid="{00000000-0005-0000-0000-0000880E0000}"/>
    <cellStyle name="20% - Accent6 13 6" xfId="4395" xr:uid="{00000000-0005-0000-0000-0000890E0000}"/>
    <cellStyle name="20% - Accent6 13 7" xfId="6512" xr:uid="{00000000-0005-0000-0000-00008A0E0000}"/>
    <cellStyle name="20% - Accent6 13 8" xfId="8560" xr:uid="{00000000-0005-0000-0000-00008B0E0000}"/>
    <cellStyle name="20% - Accent6 14" xfId="1858" xr:uid="{00000000-0005-0000-0000-00008C0E0000}"/>
    <cellStyle name="20% - Accent6 14 2" xfId="1859" xr:uid="{00000000-0005-0000-0000-00008D0E0000}"/>
    <cellStyle name="20% - Accent6 14 2 2" xfId="4401" xr:uid="{00000000-0005-0000-0000-00008E0E0000}"/>
    <cellStyle name="20% - Accent6 14 2 3" xfId="6518" xr:uid="{00000000-0005-0000-0000-00008F0E0000}"/>
    <cellStyle name="20% - Accent6 14 2 4" xfId="8566" xr:uid="{00000000-0005-0000-0000-0000900E0000}"/>
    <cellStyle name="20% - Accent6 14 3" xfId="1860" xr:uid="{00000000-0005-0000-0000-0000910E0000}"/>
    <cellStyle name="20% - Accent6 14 3 2" xfId="4402" xr:uid="{00000000-0005-0000-0000-0000920E0000}"/>
    <cellStyle name="20% - Accent6 14 3 3" xfId="6519" xr:uid="{00000000-0005-0000-0000-0000930E0000}"/>
    <cellStyle name="20% - Accent6 14 3 4" xfId="8567" xr:uid="{00000000-0005-0000-0000-0000940E0000}"/>
    <cellStyle name="20% - Accent6 14 4" xfId="1861" xr:uid="{00000000-0005-0000-0000-0000950E0000}"/>
    <cellStyle name="20% - Accent6 14 4 2" xfId="4403" xr:uid="{00000000-0005-0000-0000-0000960E0000}"/>
    <cellStyle name="20% - Accent6 14 4 3" xfId="6520" xr:uid="{00000000-0005-0000-0000-0000970E0000}"/>
    <cellStyle name="20% - Accent6 14 4 4" xfId="8568" xr:uid="{00000000-0005-0000-0000-0000980E0000}"/>
    <cellStyle name="20% - Accent6 14 5" xfId="4400" xr:uid="{00000000-0005-0000-0000-0000990E0000}"/>
    <cellStyle name="20% - Accent6 14 6" xfId="6517" xr:uid="{00000000-0005-0000-0000-00009A0E0000}"/>
    <cellStyle name="20% - Accent6 14 7" xfId="8565" xr:uid="{00000000-0005-0000-0000-00009B0E0000}"/>
    <cellStyle name="20% - Accent6 15" xfId="1862" xr:uid="{00000000-0005-0000-0000-00009C0E0000}"/>
    <cellStyle name="20% - Accent6 15 2" xfId="1863" xr:uid="{00000000-0005-0000-0000-00009D0E0000}"/>
    <cellStyle name="20% - Accent6 15 2 2" xfId="4405" xr:uid="{00000000-0005-0000-0000-00009E0E0000}"/>
    <cellStyle name="20% - Accent6 15 2 3" xfId="6522" xr:uid="{00000000-0005-0000-0000-00009F0E0000}"/>
    <cellStyle name="20% - Accent6 15 2 4" xfId="8570" xr:uid="{00000000-0005-0000-0000-0000A00E0000}"/>
    <cellStyle name="20% - Accent6 15 3" xfId="1864" xr:uid="{00000000-0005-0000-0000-0000A10E0000}"/>
    <cellStyle name="20% - Accent6 15 3 2" xfId="4406" xr:uid="{00000000-0005-0000-0000-0000A20E0000}"/>
    <cellStyle name="20% - Accent6 15 3 3" xfId="6523" xr:uid="{00000000-0005-0000-0000-0000A30E0000}"/>
    <cellStyle name="20% - Accent6 15 3 4" xfId="8571" xr:uid="{00000000-0005-0000-0000-0000A40E0000}"/>
    <cellStyle name="20% - Accent6 15 4" xfId="1865" xr:uid="{00000000-0005-0000-0000-0000A50E0000}"/>
    <cellStyle name="20% - Accent6 15 4 2" xfId="4407" xr:uid="{00000000-0005-0000-0000-0000A60E0000}"/>
    <cellStyle name="20% - Accent6 15 4 3" xfId="6524" xr:uid="{00000000-0005-0000-0000-0000A70E0000}"/>
    <cellStyle name="20% - Accent6 15 4 4" xfId="8572" xr:uid="{00000000-0005-0000-0000-0000A80E0000}"/>
    <cellStyle name="20% - Accent6 15 5" xfId="4404" xr:uid="{00000000-0005-0000-0000-0000A90E0000}"/>
    <cellStyle name="20% - Accent6 15 6" xfId="6521" xr:uid="{00000000-0005-0000-0000-0000AA0E0000}"/>
    <cellStyle name="20% - Accent6 15 7" xfId="8569" xr:uid="{00000000-0005-0000-0000-0000AB0E0000}"/>
    <cellStyle name="20% - Accent6 16" xfId="1866" xr:uid="{00000000-0005-0000-0000-0000AC0E0000}"/>
    <cellStyle name="20% - Accent6 16 2" xfId="1867" xr:uid="{00000000-0005-0000-0000-0000AD0E0000}"/>
    <cellStyle name="20% - Accent6 16 2 2" xfId="4409" xr:uid="{00000000-0005-0000-0000-0000AE0E0000}"/>
    <cellStyle name="20% - Accent6 16 2 3" xfId="6526" xr:uid="{00000000-0005-0000-0000-0000AF0E0000}"/>
    <cellStyle name="20% - Accent6 16 2 4" xfId="8574" xr:uid="{00000000-0005-0000-0000-0000B00E0000}"/>
    <cellStyle name="20% - Accent6 16 3" xfId="1868" xr:uid="{00000000-0005-0000-0000-0000B10E0000}"/>
    <cellStyle name="20% - Accent6 16 3 2" xfId="4410" xr:uid="{00000000-0005-0000-0000-0000B20E0000}"/>
    <cellStyle name="20% - Accent6 16 3 3" xfId="6527" xr:uid="{00000000-0005-0000-0000-0000B30E0000}"/>
    <cellStyle name="20% - Accent6 16 3 4" xfId="8575" xr:uid="{00000000-0005-0000-0000-0000B40E0000}"/>
    <cellStyle name="20% - Accent6 16 4" xfId="4408" xr:uid="{00000000-0005-0000-0000-0000B50E0000}"/>
    <cellStyle name="20% - Accent6 16 5" xfId="6525" xr:uid="{00000000-0005-0000-0000-0000B60E0000}"/>
    <cellStyle name="20% - Accent6 16 6" xfId="8573" xr:uid="{00000000-0005-0000-0000-0000B70E0000}"/>
    <cellStyle name="20% - Accent6 17" xfId="1869" xr:uid="{00000000-0005-0000-0000-0000B80E0000}"/>
    <cellStyle name="20% - Accent6 17 2" xfId="1870" xr:uid="{00000000-0005-0000-0000-0000B90E0000}"/>
    <cellStyle name="20% - Accent6 17 2 2" xfId="4412" xr:uid="{00000000-0005-0000-0000-0000BA0E0000}"/>
    <cellStyle name="20% - Accent6 17 2 3" xfId="6529" xr:uid="{00000000-0005-0000-0000-0000BB0E0000}"/>
    <cellStyle name="20% - Accent6 17 2 4" xfId="8577" xr:uid="{00000000-0005-0000-0000-0000BC0E0000}"/>
    <cellStyle name="20% - Accent6 17 3" xfId="1871" xr:uid="{00000000-0005-0000-0000-0000BD0E0000}"/>
    <cellStyle name="20% - Accent6 17 3 2" xfId="4413" xr:uid="{00000000-0005-0000-0000-0000BE0E0000}"/>
    <cellStyle name="20% - Accent6 17 3 3" xfId="6530" xr:uid="{00000000-0005-0000-0000-0000BF0E0000}"/>
    <cellStyle name="20% - Accent6 17 3 4" xfId="8578" xr:uid="{00000000-0005-0000-0000-0000C00E0000}"/>
    <cellStyle name="20% - Accent6 17 4" xfId="4411" xr:uid="{00000000-0005-0000-0000-0000C10E0000}"/>
    <cellStyle name="20% - Accent6 17 5" xfId="6528" xr:uid="{00000000-0005-0000-0000-0000C20E0000}"/>
    <cellStyle name="20% - Accent6 17 6" xfId="8576" xr:uid="{00000000-0005-0000-0000-0000C30E0000}"/>
    <cellStyle name="20% - Accent6 18" xfId="1872" xr:uid="{00000000-0005-0000-0000-0000C40E0000}"/>
    <cellStyle name="20% - Accent6 18 2" xfId="1873" xr:uid="{00000000-0005-0000-0000-0000C50E0000}"/>
    <cellStyle name="20% - Accent6 18 2 2" xfId="4415" xr:uid="{00000000-0005-0000-0000-0000C60E0000}"/>
    <cellStyle name="20% - Accent6 18 2 3" xfId="6532" xr:uid="{00000000-0005-0000-0000-0000C70E0000}"/>
    <cellStyle name="20% - Accent6 18 2 4" xfId="8580" xr:uid="{00000000-0005-0000-0000-0000C80E0000}"/>
    <cellStyle name="20% - Accent6 18 3" xfId="1874" xr:uid="{00000000-0005-0000-0000-0000C90E0000}"/>
    <cellStyle name="20% - Accent6 18 3 2" xfId="4416" xr:uid="{00000000-0005-0000-0000-0000CA0E0000}"/>
    <cellStyle name="20% - Accent6 18 3 3" xfId="6533" xr:uid="{00000000-0005-0000-0000-0000CB0E0000}"/>
    <cellStyle name="20% - Accent6 18 3 4" xfId="8581" xr:uid="{00000000-0005-0000-0000-0000CC0E0000}"/>
    <cellStyle name="20% - Accent6 18 4" xfId="4414" xr:uid="{00000000-0005-0000-0000-0000CD0E0000}"/>
    <cellStyle name="20% - Accent6 18 5" xfId="6531" xr:uid="{00000000-0005-0000-0000-0000CE0E0000}"/>
    <cellStyle name="20% - Accent6 18 6" xfId="8579" xr:uid="{00000000-0005-0000-0000-0000CF0E0000}"/>
    <cellStyle name="20% - Accent6 19" xfId="1875" xr:uid="{00000000-0005-0000-0000-0000D00E0000}"/>
    <cellStyle name="20% - Accent6 19 2" xfId="1876" xr:uid="{00000000-0005-0000-0000-0000D10E0000}"/>
    <cellStyle name="20% - Accent6 19 2 2" xfId="4418" xr:uid="{00000000-0005-0000-0000-0000D20E0000}"/>
    <cellStyle name="20% - Accent6 19 2 3" xfId="6535" xr:uid="{00000000-0005-0000-0000-0000D30E0000}"/>
    <cellStyle name="20% - Accent6 19 2 4" xfId="8583" xr:uid="{00000000-0005-0000-0000-0000D40E0000}"/>
    <cellStyle name="20% - Accent6 19 3" xfId="1877" xr:uid="{00000000-0005-0000-0000-0000D50E0000}"/>
    <cellStyle name="20% - Accent6 19 3 2" xfId="4419" xr:uid="{00000000-0005-0000-0000-0000D60E0000}"/>
    <cellStyle name="20% - Accent6 19 3 3" xfId="6536" xr:uid="{00000000-0005-0000-0000-0000D70E0000}"/>
    <cellStyle name="20% - Accent6 19 3 4" xfId="8584" xr:uid="{00000000-0005-0000-0000-0000D80E0000}"/>
    <cellStyle name="20% - Accent6 19 4" xfId="4417" xr:uid="{00000000-0005-0000-0000-0000D90E0000}"/>
    <cellStyle name="20% - Accent6 19 5" xfId="6534" xr:uid="{00000000-0005-0000-0000-0000DA0E0000}"/>
    <cellStyle name="20% - Accent6 19 6" xfId="8582" xr:uid="{00000000-0005-0000-0000-0000DB0E0000}"/>
    <cellStyle name="20% - Accent6 2" xfId="1878" xr:uid="{00000000-0005-0000-0000-0000DC0E0000}"/>
    <cellStyle name="20% - Accent6 2 2" xfId="1879" xr:uid="{00000000-0005-0000-0000-0000DD0E0000}"/>
    <cellStyle name="20% - Accent6 2 2 2" xfId="1880" xr:uid="{00000000-0005-0000-0000-0000DE0E0000}"/>
    <cellStyle name="20% - Accent6 2 2 2 2" xfId="4420" xr:uid="{00000000-0005-0000-0000-0000DF0E0000}"/>
    <cellStyle name="20% - Accent6 2 2 2 3" xfId="6537" xr:uid="{00000000-0005-0000-0000-0000E00E0000}"/>
    <cellStyle name="20% - Accent6 2 2 2 4" xfId="8585" xr:uid="{00000000-0005-0000-0000-0000E10E0000}"/>
    <cellStyle name="20% - Accent6 2 3" xfId="1881" xr:uid="{00000000-0005-0000-0000-0000E20E0000}"/>
    <cellStyle name="20% - Accent6 2 3 2" xfId="4421" xr:uid="{00000000-0005-0000-0000-0000E30E0000}"/>
    <cellStyle name="20% - Accent6 2 3 3" xfId="6538" xr:uid="{00000000-0005-0000-0000-0000E40E0000}"/>
    <cellStyle name="20% - Accent6 2 3 4" xfId="8586" xr:uid="{00000000-0005-0000-0000-0000E50E0000}"/>
    <cellStyle name="20% - Accent6 2 4" xfId="1882" xr:uid="{00000000-0005-0000-0000-0000E60E0000}"/>
    <cellStyle name="20% - Accent6 2 4 2" xfId="4422" xr:uid="{00000000-0005-0000-0000-0000E70E0000}"/>
    <cellStyle name="20% - Accent6 2 4 3" xfId="6539" xr:uid="{00000000-0005-0000-0000-0000E80E0000}"/>
    <cellStyle name="20% - Accent6 2 4 4" xfId="8587" xr:uid="{00000000-0005-0000-0000-0000E90E0000}"/>
    <cellStyle name="20% - Accent6 2 5" xfId="1883" xr:uid="{00000000-0005-0000-0000-0000EA0E0000}"/>
    <cellStyle name="20% - Accent6 2 5 2" xfId="4423" xr:uid="{00000000-0005-0000-0000-0000EB0E0000}"/>
    <cellStyle name="20% - Accent6 2 5 3" xfId="6540" xr:uid="{00000000-0005-0000-0000-0000EC0E0000}"/>
    <cellStyle name="20% - Accent6 2 5 4" xfId="8588" xr:uid="{00000000-0005-0000-0000-0000ED0E0000}"/>
    <cellStyle name="20% - Accent6 2 6" xfId="1884" xr:uid="{00000000-0005-0000-0000-0000EE0E0000}"/>
    <cellStyle name="20% - Accent6 2 6 2" xfId="4424" xr:uid="{00000000-0005-0000-0000-0000EF0E0000}"/>
    <cellStyle name="20% - Accent6 2 6 3" xfId="6541" xr:uid="{00000000-0005-0000-0000-0000F00E0000}"/>
    <cellStyle name="20% - Accent6 2 6 4" xfId="8589" xr:uid="{00000000-0005-0000-0000-0000F10E0000}"/>
    <cellStyle name="20% - Accent6 2 7" xfId="1885" xr:uid="{00000000-0005-0000-0000-0000F20E0000}"/>
    <cellStyle name="20% - Accent6 2 7 2" xfId="4425" xr:uid="{00000000-0005-0000-0000-0000F30E0000}"/>
    <cellStyle name="20% - Accent6 2 7 3" xfId="6542" xr:uid="{00000000-0005-0000-0000-0000F40E0000}"/>
    <cellStyle name="20% - Accent6 2 7 4" xfId="8590" xr:uid="{00000000-0005-0000-0000-0000F50E0000}"/>
    <cellStyle name="20% - Accent6 2 8" xfId="1886" xr:uid="{00000000-0005-0000-0000-0000F60E0000}"/>
    <cellStyle name="20% - Accent6 2 8 2" xfId="4426" xr:uid="{00000000-0005-0000-0000-0000F70E0000}"/>
    <cellStyle name="20% - Accent6 2 8 3" xfId="6543" xr:uid="{00000000-0005-0000-0000-0000F80E0000}"/>
    <cellStyle name="20% - Accent6 2 8 4" xfId="8591" xr:uid="{00000000-0005-0000-0000-0000F90E0000}"/>
    <cellStyle name="20% - Accent6 2 9" xfId="1887" xr:uid="{00000000-0005-0000-0000-0000FA0E0000}"/>
    <cellStyle name="20% - Accent6 20" xfId="1888" xr:uid="{00000000-0005-0000-0000-0000FB0E0000}"/>
    <cellStyle name="20% - Accent6 20 2" xfId="1889" xr:uid="{00000000-0005-0000-0000-0000FC0E0000}"/>
    <cellStyle name="20% - Accent6 20 2 2" xfId="4428" xr:uid="{00000000-0005-0000-0000-0000FD0E0000}"/>
    <cellStyle name="20% - Accent6 20 2 3" xfId="6545" xr:uid="{00000000-0005-0000-0000-0000FE0E0000}"/>
    <cellStyle name="20% - Accent6 20 2 4" xfId="8593" xr:uid="{00000000-0005-0000-0000-0000FF0E0000}"/>
    <cellStyle name="20% - Accent6 20 3" xfId="1890" xr:uid="{00000000-0005-0000-0000-0000000F0000}"/>
    <cellStyle name="20% - Accent6 20 3 2" xfId="4429" xr:uid="{00000000-0005-0000-0000-0000010F0000}"/>
    <cellStyle name="20% - Accent6 20 3 3" xfId="6546" xr:uid="{00000000-0005-0000-0000-0000020F0000}"/>
    <cellStyle name="20% - Accent6 20 3 4" xfId="8594" xr:uid="{00000000-0005-0000-0000-0000030F0000}"/>
    <cellStyle name="20% - Accent6 20 4" xfId="4427" xr:uid="{00000000-0005-0000-0000-0000040F0000}"/>
    <cellStyle name="20% - Accent6 20 5" xfId="6544" xr:uid="{00000000-0005-0000-0000-0000050F0000}"/>
    <cellStyle name="20% - Accent6 20 6" xfId="8592" xr:uid="{00000000-0005-0000-0000-0000060F0000}"/>
    <cellStyle name="20% - Accent6 21" xfId="1891" xr:uid="{00000000-0005-0000-0000-0000070F0000}"/>
    <cellStyle name="20% - Accent6 21 2" xfId="1892" xr:uid="{00000000-0005-0000-0000-0000080F0000}"/>
    <cellStyle name="20% - Accent6 21 2 2" xfId="4431" xr:uid="{00000000-0005-0000-0000-0000090F0000}"/>
    <cellStyle name="20% - Accent6 21 2 3" xfId="6548" xr:uid="{00000000-0005-0000-0000-00000A0F0000}"/>
    <cellStyle name="20% - Accent6 21 2 4" xfId="8596" xr:uid="{00000000-0005-0000-0000-00000B0F0000}"/>
    <cellStyle name="20% - Accent6 21 3" xfId="1893" xr:uid="{00000000-0005-0000-0000-00000C0F0000}"/>
    <cellStyle name="20% - Accent6 21 3 2" xfId="4432" xr:uid="{00000000-0005-0000-0000-00000D0F0000}"/>
    <cellStyle name="20% - Accent6 21 3 3" xfId="6549" xr:uid="{00000000-0005-0000-0000-00000E0F0000}"/>
    <cellStyle name="20% - Accent6 21 3 4" xfId="8597" xr:uid="{00000000-0005-0000-0000-00000F0F0000}"/>
    <cellStyle name="20% - Accent6 21 4" xfId="4430" xr:uid="{00000000-0005-0000-0000-0000100F0000}"/>
    <cellStyle name="20% - Accent6 21 5" xfId="6547" xr:uid="{00000000-0005-0000-0000-0000110F0000}"/>
    <cellStyle name="20% - Accent6 21 6" xfId="8595" xr:uid="{00000000-0005-0000-0000-0000120F0000}"/>
    <cellStyle name="20% - Accent6 22" xfId="1894" xr:uid="{00000000-0005-0000-0000-0000130F0000}"/>
    <cellStyle name="20% - Accent6 22 2" xfId="1895" xr:uid="{00000000-0005-0000-0000-0000140F0000}"/>
    <cellStyle name="20% - Accent6 22 2 2" xfId="4434" xr:uid="{00000000-0005-0000-0000-0000150F0000}"/>
    <cellStyle name="20% - Accent6 22 2 3" xfId="6551" xr:uid="{00000000-0005-0000-0000-0000160F0000}"/>
    <cellStyle name="20% - Accent6 22 2 4" xfId="8599" xr:uid="{00000000-0005-0000-0000-0000170F0000}"/>
    <cellStyle name="20% - Accent6 22 3" xfId="1896" xr:uid="{00000000-0005-0000-0000-0000180F0000}"/>
    <cellStyle name="20% - Accent6 22 3 2" xfId="4435" xr:uid="{00000000-0005-0000-0000-0000190F0000}"/>
    <cellStyle name="20% - Accent6 22 3 3" xfId="6552" xr:uid="{00000000-0005-0000-0000-00001A0F0000}"/>
    <cellStyle name="20% - Accent6 22 3 4" xfId="8600" xr:uid="{00000000-0005-0000-0000-00001B0F0000}"/>
    <cellStyle name="20% - Accent6 22 4" xfId="4433" xr:uid="{00000000-0005-0000-0000-00001C0F0000}"/>
    <cellStyle name="20% - Accent6 22 5" xfId="6550" xr:uid="{00000000-0005-0000-0000-00001D0F0000}"/>
    <cellStyle name="20% - Accent6 22 6" xfId="8598" xr:uid="{00000000-0005-0000-0000-00001E0F0000}"/>
    <cellStyle name="20% - Accent6 23" xfId="1897" xr:uid="{00000000-0005-0000-0000-00001F0F0000}"/>
    <cellStyle name="20% - Accent6 23 2" xfId="1898" xr:uid="{00000000-0005-0000-0000-0000200F0000}"/>
    <cellStyle name="20% - Accent6 23 2 2" xfId="4437" xr:uid="{00000000-0005-0000-0000-0000210F0000}"/>
    <cellStyle name="20% - Accent6 23 2 3" xfId="6554" xr:uid="{00000000-0005-0000-0000-0000220F0000}"/>
    <cellStyle name="20% - Accent6 23 2 4" xfId="8602" xr:uid="{00000000-0005-0000-0000-0000230F0000}"/>
    <cellStyle name="20% - Accent6 23 3" xfId="4436" xr:uid="{00000000-0005-0000-0000-0000240F0000}"/>
    <cellStyle name="20% - Accent6 23 4" xfId="6553" xr:uid="{00000000-0005-0000-0000-0000250F0000}"/>
    <cellStyle name="20% - Accent6 23 5" xfId="8601" xr:uid="{00000000-0005-0000-0000-0000260F0000}"/>
    <cellStyle name="20% - Accent6 24" xfId="1899" xr:uid="{00000000-0005-0000-0000-0000270F0000}"/>
    <cellStyle name="20% - Accent6 24 2" xfId="1900" xr:uid="{00000000-0005-0000-0000-0000280F0000}"/>
    <cellStyle name="20% - Accent6 24 2 2" xfId="4439" xr:uid="{00000000-0005-0000-0000-0000290F0000}"/>
    <cellStyle name="20% - Accent6 24 2 3" xfId="6556" xr:uid="{00000000-0005-0000-0000-00002A0F0000}"/>
    <cellStyle name="20% - Accent6 24 2 4" xfId="8604" xr:uid="{00000000-0005-0000-0000-00002B0F0000}"/>
    <cellStyle name="20% - Accent6 24 3" xfId="4438" xr:uid="{00000000-0005-0000-0000-00002C0F0000}"/>
    <cellStyle name="20% - Accent6 24 4" xfId="6555" xr:uid="{00000000-0005-0000-0000-00002D0F0000}"/>
    <cellStyle name="20% - Accent6 24 5" xfId="8603" xr:uid="{00000000-0005-0000-0000-00002E0F0000}"/>
    <cellStyle name="20% - Accent6 25" xfId="1901" xr:uid="{00000000-0005-0000-0000-00002F0F0000}"/>
    <cellStyle name="20% - Accent6 25 2" xfId="1902" xr:uid="{00000000-0005-0000-0000-0000300F0000}"/>
    <cellStyle name="20% - Accent6 25 2 2" xfId="4441" xr:uid="{00000000-0005-0000-0000-0000310F0000}"/>
    <cellStyle name="20% - Accent6 25 2 3" xfId="6558" xr:uid="{00000000-0005-0000-0000-0000320F0000}"/>
    <cellStyle name="20% - Accent6 25 2 4" xfId="8606" xr:uid="{00000000-0005-0000-0000-0000330F0000}"/>
    <cellStyle name="20% - Accent6 25 3" xfId="4440" xr:uid="{00000000-0005-0000-0000-0000340F0000}"/>
    <cellStyle name="20% - Accent6 25 4" xfId="6557" xr:uid="{00000000-0005-0000-0000-0000350F0000}"/>
    <cellStyle name="20% - Accent6 25 5" xfId="8605" xr:uid="{00000000-0005-0000-0000-0000360F0000}"/>
    <cellStyle name="20% - Accent6 26" xfId="1903" xr:uid="{00000000-0005-0000-0000-0000370F0000}"/>
    <cellStyle name="20% - Accent6 26 2" xfId="1904" xr:uid="{00000000-0005-0000-0000-0000380F0000}"/>
    <cellStyle name="20% - Accent6 26 2 2" xfId="4443" xr:uid="{00000000-0005-0000-0000-0000390F0000}"/>
    <cellStyle name="20% - Accent6 26 2 3" xfId="6560" xr:uid="{00000000-0005-0000-0000-00003A0F0000}"/>
    <cellStyle name="20% - Accent6 26 2 4" xfId="8608" xr:uid="{00000000-0005-0000-0000-00003B0F0000}"/>
    <cellStyle name="20% - Accent6 26 3" xfId="4442" xr:uid="{00000000-0005-0000-0000-00003C0F0000}"/>
    <cellStyle name="20% - Accent6 26 4" xfId="6559" xr:uid="{00000000-0005-0000-0000-00003D0F0000}"/>
    <cellStyle name="20% - Accent6 26 5" xfId="8607" xr:uid="{00000000-0005-0000-0000-00003E0F0000}"/>
    <cellStyle name="20% - Accent6 27" xfId="1905" xr:uid="{00000000-0005-0000-0000-00003F0F0000}"/>
    <cellStyle name="20% - Accent6 27 2" xfId="1906" xr:uid="{00000000-0005-0000-0000-0000400F0000}"/>
    <cellStyle name="20% - Accent6 27 2 2" xfId="4445" xr:uid="{00000000-0005-0000-0000-0000410F0000}"/>
    <cellStyle name="20% - Accent6 27 2 3" xfId="6562" xr:uid="{00000000-0005-0000-0000-0000420F0000}"/>
    <cellStyle name="20% - Accent6 27 2 4" xfId="8610" xr:uid="{00000000-0005-0000-0000-0000430F0000}"/>
    <cellStyle name="20% - Accent6 27 3" xfId="4444" xr:uid="{00000000-0005-0000-0000-0000440F0000}"/>
    <cellStyle name="20% - Accent6 27 4" xfId="6561" xr:uid="{00000000-0005-0000-0000-0000450F0000}"/>
    <cellStyle name="20% - Accent6 27 5" xfId="8609" xr:uid="{00000000-0005-0000-0000-0000460F0000}"/>
    <cellStyle name="20% - Accent6 28" xfId="1907" xr:uid="{00000000-0005-0000-0000-0000470F0000}"/>
    <cellStyle name="20% - Accent6 28 2" xfId="1908" xr:uid="{00000000-0005-0000-0000-0000480F0000}"/>
    <cellStyle name="20% - Accent6 28 2 2" xfId="4447" xr:uid="{00000000-0005-0000-0000-0000490F0000}"/>
    <cellStyle name="20% - Accent6 28 2 3" xfId="6564" xr:uid="{00000000-0005-0000-0000-00004A0F0000}"/>
    <cellStyle name="20% - Accent6 28 2 4" xfId="8612" xr:uid="{00000000-0005-0000-0000-00004B0F0000}"/>
    <cellStyle name="20% - Accent6 28 3" xfId="4446" xr:uid="{00000000-0005-0000-0000-00004C0F0000}"/>
    <cellStyle name="20% - Accent6 28 4" xfId="6563" xr:uid="{00000000-0005-0000-0000-00004D0F0000}"/>
    <cellStyle name="20% - Accent6 28 5" xfId="8611" xr:uid="{00000000-0005-0000-0000-00004E0F0000}"/>
    <cellStyle name="20% - Accent6 29" xfId="1909" xr:uid="{00000000-0005-0000-0000-00004F0F0000}"/>
    <cellStyle name="20% - Accent6 29 2" xfId="1910" xr:uid="{00000000-0005-0000-0000-0000500F0000}"/>
    <cellStyle name="20% - Accent6 29 2 2" xfId="4449" xr:uid="{00000000-0005-0000-0000-0000510F0000}"/>
    <cellStyle name="20% - Accent6 29 2 3" xfId="6566" xr:uid="{00000000-0005-0000-0000-0000520F0000}"/>
    <cellStyle name="20% - Accent6 29 2 4" xfId="8614" xr:uid="{00000000-0005-0000-0000-0000530F0000}"/>
    <cellStyle name="20% - Accent6 29 3" xfId="4448" xr:uid="{00000000-0005-0000-0000-0000540F0000}"/>
    <cellStyle name="20% - Accent6 29 4" xfId="6565" xr:uid="{00000000-0005-0000-0000-0000550F0000}"/>
    <cellStyle name="20% - Accent6 29 5" xfId="8613" xr:uid="{00000000-0005-0000-0000-0000560F0000}"/>
    <cellStyle name="20% - Accent6 3" xfId="1911" xr:uid="{00000000-0005-0000-0000-0000570F0000}"/>
    <cellStyle name="20% - Accent6 3 2" xfId="1912" xr:uid="{00000000-0005-0000-0000-0000580F0000}"/>
    <cellStyle name="20% - Accent6 3 2 2" xfId="4450" xr:uid="{00000000-0005-0000-0000-0000590F0000}"/>
    <cellStyle name="20% - Accent6 3 2 3" xfId="6567" xr:uid="{00000000-0005-0000-0000-00005A0F0000}"/>
    <cellStyle name="20% - Accent6 3 2 4" xfId="8615" xr:uid="{00000000-0005-0000-0000-00005B0F0000}"/>
    <cellStyle name="20% - Accent6 3 3" xfId="1913" xr:uid="{00000000-0005-0000-0000-00005C0F0000}"/>
    <cellStyle name="20% - Accent6 3 3 2" xfId="4451" xr:uid="{00000000-0005-0000-0000-00005D0F0000}"/>
    <cellStyle name="20% - Accent6 3 3 3" xfId="6568" xr:uid="{00000000-0005-0000-0000-00005E0F0000}"/>
    <cellStyle name="20% - Accent6 3 3 4" xfId="8616" xr:uid="{00000000-0005-0000-0000-00005F0F0000}"/>
    <cellStyle name="20% - Accent6 3 4" xfId="1914" xr:uid="{00000000-0005-0000-0000-0000600F0000}"/>
    <cellStyle name="20% - Accent6 3 4 2" xfId="4452" xr:uid="{00000000-0005-0000-0000-0000610F0000}"/>
    <cellStyle name="20% - Accent6 3 4 3" xfId="6569" xr:uid="{00000000-0005-0000-0000-0000620F0000}"/>
    <cellStyle name="20% - Accent6 3 4 4" xfId="8617" xr:uid="{00000000-0005-0000-0000-0000630F0000}"/>
    <cellStyle name="20% - Accent6 3 5" xfId="1915" xr:uid="{00000000-0005-0000-0000-0000640F0000}"/>
    <cellStyle name="20% - Accent6 3 5 2" xfId="4453" xr:uid="{00000000-0005-0000-0000-0000650F0000}"/>
    <cellStyle name="20% - Accent6 3 5 3" xfId="6570" xr:uid="{00000000-0005-0000-0000-0000660F0000}"/>
    <cellStyle name="20% - Accent6 3 5 4" xfId="8618" xr:uid="{00000000-0005-0000-0000-0000670F0000}"/>
    <cellStyle name="20% - Accent6 3 6" xfId="1916" xr:uid="{00000000-0005-0000-0000-0000680F0000}"/>
    <cellStyle name="20% - Accent6 3 6 2" xfId="4454" xr:uid="{00000000-0005-0000-0000-0000690F0000}"/>
    <cellStyle name="20% - Accent6 3 6 3" xfId="6571" xr:uid="{00000000-0005-0000-0000-00006A0F0000}"/>
    <cellStyle name="20% - Accent6 3 6 4" xfId="8619" xr:uid="{00000000-0005-0000-0000-00006B0F0000}"/>
    <cellStyle name="20% - Accent6 3 7" xfId="1917" xr:uid="{00000000-0005-0000-0000-00006C0F0000}"/>
    <cellStyle name="20% - Accent6 3 7 2" xfId="4455" xr:uid="{00000000-0005-0000-0000-00006D0F0000}"/>
    <cellStyle name="20% - Accent6 3 7 3" xfId="6572" xr:uid="{00000000-0005-0000-0000-00006E0F0000}"/>
    <cellStyle name="20% - Accent6 3 7 4" xfId="8620" xr:uid="{00000000-0005-0000-0000-00006F0F0000}"/>
    <cellStyle name="20% - Accent6 30" xfId="1918" xr:uid="{00000000-0005-0000-0000-0000700F0000}"/>
    <cellStyle name="20% - Accent6 30 2" xfId="1919" xr:uid="{00000000-0005-0000-0000-0000710F0000}"/>
    <cellStyle name="20% - Accent6 30 2 2" xfId="4457" xr:uid="{00000000-0005-0000-0000-0000720F0000}"/>
    <cellStyle name="20% - Accent6 30 2 3" xfId="6574" xr:uid="{00000000-0005-0000-0000-0000730F0000}"/>
    <cellStyle name="20% - Accent6 30 2 4" xfId="8622" xr:uid="{00000000-0005-0000-0000-0000740F0000}"/>
    <cellStyle name="20% - Accent6 30 3" xfId="4456" xr:uid="{00000000-0005-0000-0000-0000750F0000}"/>
    <cellStyle name="20% - Accent6 30 4" xfId="6573" xr:uid="{00000000-0005-0000-0000-0000760F0000}"/>
    <cellStyle name="20% - Accent6 30 5" xfId="8621" xr:uid="{00000000-0005-0000-0000-0000770F0000}"/>
    <cellStyle name="20% - Accent6 31" xfId="1920" xr:uid="{00000000-0005-0000-0000-0000780F0000}"/>
    <cellStyle name="20% - Accent6 31 2" xfId="1921" xr:uid="{00000000-0005-0000-0000-0000790F0000}"/>
    <cellStyle name="20% - Accent6 31 2 2" xfId="4459" xr:uid="{00000000-0005-0000-0000-00007A0F0000}"/>
    <cellStyle name="20% - Accent6 31 2 3" xfId="6576" xr:uid="{00000000-0005-0000-0000-00007B0F0000}"/>
    <cellStyle name="20% - Accent6 31 2 4" xfId="8624" xr:uid="{00000000-0005-0000-0000-00007C0F0000}"/>
    <cellStyle name="20% - Accent6 31 3" xfId="4458" xr:uid="{00000000-0005-0000-0000-00007D0F0000}"/>
    <cellStyle name="20% - Accent6 31 4" xfId="6575" xr:uid="{00000000-0005-0000-0000-00007E0F0000}"/>
    <cellStyle name="20% - Accent6 31 5" xfId="8623" xr:uid="{00000000-0005-0000-0000-00007F0F0000}"/>
    <cellStyle name="20% - Accent6 32" xfId="1922" xr:uid="{00000000-0005-0000-0000-0000800F0000}"/>
    <cellStyle name="20% - Accent6 32 2" xfId="1923" xr:uid="{00000000-0005-0000-0000-0000810F0000}"/>
    <cellStyle name="20% - Accent6 32 2 2" xfId="4461" xr:uid="{00000000-0005-0000-0000-0000820F0000}"/>
    <cellStyle name="20% - Accent6 32 2 3" xfId="6578" xr:uid="{00000000-0005-0000-0000-0000830F0000}"/>
    <cellStyle name="20% - Accent6 32 2 4" xfId="8626" xr:uid="{00000000-0005-0000-0000-0000840F0000}"/>
    <cellStyle name="20% - Accent6 32 3" xfId="4460" xr:uid="{00000000-0005-0000-0000-0000850F0000}"/>
    <cellStyle name="20% - Accent6 32 4" xfId="6577" xr:uid="{00000000-0005-0000-0000-0000860F0000}"/>
    <cellStyle name="20% - Accent6 32 5" xfId="8625" xr:uid="{00000000-0005-0000-0000-0000870F0000}"/>
    <cellStyle name="20% - Accent6 33" xfId="1924" xr:uid="{00000000-0005-0000-0000-0000880F0000}"/>
    <cellStyle name="20% - Accent6 33 2" xfId="4462" xr:uid="{00000000-0005-0000-0000-0000890F0000}"/>
    <cellStyle name="20% - Accent6 33 3" xfId="6579" xr:uid="{00000000-0005-0000-0000-00008A0F0000}"/>
    <cellStyle name="20% - Accent6 33 4" xfId="8627" xr:uid="{00000000-0005-0000-0000-00008B0F0000}"/>
    <cellStyle name="20% - Accent6 34" xfId="1925" xr:uid="{00000000-0005-0000-0000-00008C0F0000}"/>
    <cellStyle name="20% - Accent6 34 2" xfId="4463" xr:uid="{00000000-0005-0000-0000-00008D0F0000}"/>
    <cellStyle name="20% - Accent6 34 3" xfId="6580" xr:uid="{00000000-0005-0000-0000-00008E0F0000}"/>
    <cellStyle name="20% - Accent6 34 4" xfId="8628" xr:uid="{00000000-0005-0000-0000-00008F0F0000}"/>
    <cellStyle name="20% - Accent6 35" xfId="1926" xr:uid="{00000000-0005-0000-0000-0000900F0000}"/>
    <cellStyle name="20% - Accent6 35 2" xfId="4464" xr:uid="{00000000-0005-0000-0000-0000910F0000}"/>
    <cellStyle name="20% - Accent6 35 3" xfId="6581" xr:uid="{00000000-0005-0000-0000-0000920F0000}"/>
    <cellStyle name="20% - Accent6 35 4" xfId="8629" xr:uid="{00000000-0005-0000-0000-0000930F0000}"/>
    <cellStyle name="20% - Accent6 36" xfId="1927" xr:uid="{00000000-0005-0000-0000-0000940F0000}"/>
    <cellStyle name="20% - Accent6 36 2" xfId="4465" xr:uid="{00000000-0005-0000-0000-0000950F0000}"/>
    <cellStyle name="20% - Accent6 36 3" xfId="6582" xr:uid="{00000000-0005-0000-0000-0000960F0000}"/>
    <cellStyle name="20% - Accent6 36 4" xfId="8630" xr:uid="{00000000-0005-0000-0000-0000970F0000}"/>
    <cellStyle name="20% - Accent6 37" xfId="1928" xr:uid="{00000000-0005-0000-0000-0000980F0000}"/>
    <cellStyle name="20% - Accent6 37 2" xfId="4466" xr:uid="{00000000-0005-0000-0000-0000990F0000}"/>
    <cellStyle name="20% - Accent6 37 3" xfId="6583" xr:uid="{00000000-0005-0000-0000-00009A0F0000}"/>
    <cellStyle name="20% - Accent6 37 4" xfId="8631" xr:uid="{00000000-0005-0000-0000-00009B0F0000}"/>
    <cellStyle name="20% - Accent6 38" xfId="1929" xr:uid="{00000000-0005-0000-0000-00009C0F0000}"/>
    <cellStyle name="20% - Accent6 38 2" xfId="4467" xr:uid="{00000000-0005-0000-0000-00009D0F0000}"/>
    <cellStyle name="20% - Accent6 38 3" xfId="6584" xr:uid="{00000000-0005-0000-0000-00009E0F0000}"/>
    <cellStyle name="20% - Accent6 38 4" xfId="8632" xr:uid="{00000000-0005-0000-0000-00009F0F0000}"/>
    <cellStyle name="20% - Accent6 39" xfId="1930" xr:uid="{00000000-0005-0000-0000-0000A00F0000}"/>
    <cellStyle name="20% - Accent6 39 2" xfId="4468" xr:uid="{00000000-0005-0000-0000-0000A10F0000}"/>
    <cellStyle name="20% - Accent6 39 3" xfId="6585" xr:uid="{00000000-0005-0000-0000-0000A20F0000}"/>
    <cellStyle name="20% - Accent6 39 4" xfId="8633" xr:uid="{00000000-0005-0000-0000-0000A30F0000}"/>
    <cellStyle name="20% - Accent6 4" xfId="1931" xr:uid="{00000000-0005-0000-0000-0000A40F0000}"/>
    <cellStyle name="20% - Accent6 4 2" xfId="1932" xr:uid="{00000000-0005-0000-0000-0000A50F0000}"/>
    <cellStyle name="20% - Accent6 4 2 2" xfId="4469" xr:uid="{00000000-0005-0000-0000-0000A60F0000}"/>
    <cellStyle name="20% - Accent6 4 2 3" xfId="6586" xr:uid="{00000000-0005-0000-0000-0000A70F0000}"/>
    <cellStyle name="20% - Accent6 4 2 4" xfId="8634" xr:uid="{00000000-0005-0000-0000-0000A80F0000}"/>
    <cellStyle name="20% - Accent6 4 3" xfId="1933" xr:uid="{00000000-0005-0000-0000-0000A90F0000}"/>
    <cellStyle name="20% - Accent6 4 3 2" xfId="4470" xr:uid="{00000000-0005-0000-0000-0000AA0F0000}"/>
    <cellStyle name="20% - Accent6 4 3 3" xfId="6587" xr:uid="{00000000-0005-0000-0000-0000AB0F0000}"/>
    <cellStyle name="20% - Accent6 4 3 4" xfId="8635" xr:uid="{00000000-0005-0000-0000-0000AC0F0000}"/>
    <cellStyle name="20% - Accent6 4 4" xfId="1934" xr:uid="{00000000-0005-0000-0000-0000AD0F0000}"/>
    <cellStyle name="20% - Accent6 4 4 2" xfId="4471" xr:uid="{00000000-0005-0000-0000-0000AE0F0000}"/>
    <cellStyle name="20% - Accent6 4 4 3" xfId="6588" xr:uid="{00000000-0005-0000-0000-0000AF0F0000}"/>
    <cellStyle name="20% - Accent6 4 4 4" xfId="8636" xr:uid="{00000000-0005-0000-0000-0000B00F0000}"/>
    <cellStyle name="20% - Accent6 4 5" xfId="1935" xr:uid="{00000000-0005-0000-0000-0000B10F0000}"/>
    <cellStyle name="20% - Accent6 4 5 2" xfId="4472" xr:uid="{00000000-0005-0000-0000-0000B20F0000}"/>
    <cellStyle name="20% - Accent6 4 5 3" xfId="6589" xr:uid="{00000000-0005-0000-0000-0000B30F0000}"/>
    <cellStyle name="20% - Accent6 4 5 4" xfId="8637" xr:uid="{00000000-0005-0000-0000-0000B40F0000}"/>
    <cellStyle name="20% - Accent6 4 6" xfId="1936" xr:uid="{00000000-0005-0000-0000-0000B50F0000}"/>
    <cellStyle name="20% - Accent6 4 6 2" xfId="4473" xr:uid="{00000000-0005-0000-0000-0000B60F0000}"/>
    <cellStyle name="20% - Accent6 4 6 3" xfId="6590" xr:uid="{00000000-0005-0000-0000-0000B70F0000}"/>
    <cellStyle name="20% - Accent6 4 6 4" xfId="8638" xr:uid="{00000000-0005-0000-0000-0000B80F0000}"/>
    <cellStyle name="20% - Accent6 4 7" xfId="1937" xr:uid="{00000000-0005-0000-0000-0000B90F0000}"/>
    <cellStyle name="20% - Accent6 4 7 2" xfId="4474" xr:uid="{00000000-0005-0000-0000-0000BA0F0000}"/>
    <cellStyle name="20% - Accent6 4 7 3" xfId="6591" xr:uid="{00000000-0005-0000-0000-0000BB0F0000}"/>
    <cellStyle name="20% - Accent6 4 7 4" xfId="8639" xr:uid="{00000000-0005-0000-0000-0000BC0F0000}"/>
    <cellStyle name="20% - Accent6 40" xfId="1938" xr:uid="{00000000-0005-0000-0000-0000BD0F0000}"/>
    <cellStyle name="20% - Accent6 40 2" xfId="4475" xr:uid="{00000000-0005-0000-0000-0000BE0F0000}"/>
    <cellStyle name="20% - Accent6 40 3" xfId="6592" xr:uid="{00000000-0005-0000-0000-0000BF0F0000}"/>
    <cellStyle name="20% - Accent6 40 4" xfId="8640" xr:uid="{00000000-0005-0000-0000-0000C00F0000}"/>
    <cellStyle name="20% - Accent6 41" xfId="1939" xr:uid="{00000000-0005-0000-0000-0000C10F0000}"/>
    <cellStyle name="20% - Accent6 41 2" xfId="4476" xr:uid="{00000000-0005-0000-0000-0000C20F0000}"/>
    <cellStyle name="20% - Accent6 41 3" xfId="6593" xr:uid="{00000000-0005-0000-0000-0000C30F0000}"/>
    <cellStyle name="20% - Accent6 41 4" xfId="8641" xr:uid="{00000000-0005-0000-0000-0000C40F0000}"/>
    <cellStyle name="20% - Accent6 42" xfId="1940" xr:uid="{00000000-0005-0000-0000-0000C50F0000}"/>
    <cellStyle name="20% - Accent6 42 2" xfId="4477" xr:uid="{00000000-0005-0000-0000-0000C60F0000}"/>
    <cellStyle name="20% - Accent6 42 3" xfId="6594" xr:uid="{00000000-0005-0000-0000-0000C70F0000}"/>
    <cellStyle name="20% - Accent6 42 4" xfId="8642" xr:uid="{00000000-0005-0000-0000-0000C80F0000}"/>
    <cellStyle name="20% - Accent6 43" xfId="1941" xr:uid="{00000000-0005-0000-0000-0000C90F0000}"/>
    <cellStyle name="20% - Accent6 43 2" xfId="4478" xr:uid="{00000000-0005-0000-0000-0000CA0F0000}"/>
    <cellStyle name="20% - Accent6 43 3" xfId="6595" xr:uid="{00000000-0005-0000-0000-0000CB0F0000}"/>
    <cellStyle name="20% - Accent6 43 4" xfId="8643" xr:uid="{00000000-0005-0000-0000-0000CC0F0000}"/>
    <cellStyle name="20% - Accent6 44" xfId="1942" xr:uid="{00000000-0005-0000-0000-0000CD0F0000}"/>
    <cellStyle name="20% - Accent6 44 2" xfId="4479" xr:uid="{00000000-0005-0000-0000-0000CE0F0000}"/>
    <cellStyle name="20% - Accent6 44 3" xfId="6596" xr:uid="{00000000-0005-0000-0000-0000CF0F0000}"/>
    <cellStyle name="20% - Accent6 44 4" xfId="8644" xr:uid="{00000000-0005-0000-0000-0000D00F0000}"/>
    <cellStyle name="20% - Accent6 45" xfId="1943" xr:uid="{00000000-0005-0000-0000-0000D10F0000}"/>
    <cellStyle name="20% - Accent6 45 2" xfId="4480" xr:uid="{00000000-0005-0000-0000-0000D20F0000}"/>
    <cellStyle name="20% - Accent6 45 3" xfId="6597" xr:uid="{00000000-0005-0000-0000-0000D30F0000}"/>
    <cellStyle name="20% - Accent6 45 4" xfId="8645" xr:uid="{00000000-0005-0000-0000-0000D40F0000}"/>
    <cellStyle name="20% - Accent6 46" xfId="1944" xr:uid="{00000000-0005-0000-0000-0000D50F0000}"/>
    <cellStyle name="20% - Accent6 46 2" xfId="4481" xr:uid="{00000000-0005-0000-0000-0000D60F0000}"/>
    <cellStyle name="20% - Accent6 46 3" xfId="6598" xr:uid="{00000000-0005-0000-0000-0000D70F0000}"/>
    <cellStyle name="20% - Accent6 46 4" xfId="8646" xr:uid="{00000000-0005-0000-0000-0000D80F0000}"/>
    <cellStyle name="20% - Accent6 47" xfId="1945" xr:uid="{00000000-0005-0000-0000-0000D90F0000}"/>
    <cellStyle name="20% - Accent6 47 2" xfId="4482" xr:uid="{00000000-0005-0000-0000-0000DA0F0000}"/>
    <cellStyle name="20% - Accent6 47 3" xfId="6599" xr:uid="{00000000-0005-0000-0000-0000DB0F0000}"/>
    <cellStyle name="20% - Accent6 47 4" xfId="8647" xr:uid="{00000000-0005-0000-0000-0000DC0F0000}"/>
    <cellStyle name="20% - Accent6 48" xfId="1946" xr:uid="{00000000-0005-0000-0000-0000DD0F0000}"/>
    <cellStyle name="20% - Accent6 48 2" xfId="4483" xr:uid="{00000000-0005-0000-0000-0000DE0F0000}"/>
    <cellStyle name="20% - Accent6 48 3" xfId="6600" xr:uid="{00000000-0005-0000-0000-0000DF0F0000}"/>
    <cellStyle name="20% - Accent6 48 4" xfId="8648" xr:uid="{00000000-0005-0000-0000-0000E00F0000}"/>
    <cellStyle name="20% - Accent6 49" xfId="1947" xr:uid="{00000000-0005-0000-0000-0000E10F0000}"/>
    <cellStyle name="20% - Accent6 49 2" xfId="4484" xr:uid="{00000000-0005-0000-0000-0000E20F0000}"/>
    <cellStyle name="20% - Accent6 49 3" xfId="6601" xr:uid="{00000000-0005-0000-0000-0000E30F0000}"/>
    <cellStyle name="20% - Accent6 49 4" xfId="8649" xr:uid="{00000000-0005-0000-0000-0000E40F0000}"/>
    <cellStyle name="20% - Accent6 5" xfId="1948" xr:uid="{00000000-0005-0000-0000-0000E50F0000}"/>
    <cellStyle name="20% - Accent6 5 2" xfId="1949" xr:uid="{00000000-0005-0000-0000-0000E60F0000}"/>
    <cellStyle name="20% - Accent6 5 2 2" xfId="4485" xr:uid="{00000000-0005-0000-0000-0000E70F0000}"/>
    <cellStyle name="20% - Accent6 5 2 3" xfId="6602" xr:uid="{00000000-0005-0000-0000-0000E80F0000}"/>
    <cellStyle name="20% - Accent6 5 2 4" xfId="8650" xr:uid="{00000000-0005-0000-0000-0000E90F0000}"/>
    <cellStyle name="20% - Accent6 5 3" xfId="1950" xr:uid="{00000000-0005-0000-0000-0000EA0F0000}"/>
    <cellStyle name="20% - Accent6 5 3 2" xfId="4486" xr:uid="{00000000-0005-0000-0000-0000EB0F0000}"/>
    <cellStyle name="20% - Accent6 5 3 3" xfId="6603" xr:uid="{00000000-0005-0000-0000-0000EC0F0000}"/>
    <cellStyle name="20% - Accent6 5 3 4" xfId="8651" xr:uid="{00000000-0005-0000-0000-0000ED0F0000}"/>
    <cellStyle name="20% - Accent6 5 4" xfId="1951" xr:uid="{00000000-0005-0000-0000-0000EE0F0000}"/>
    <cellStyle name="20% - Accent6 5 4 2" xfId="4487" xr:uid="{00000000-0005-0000-0000-0000EF0F0000}"/>
    <cellStyle name="20% - Accent6 5 4 3" xfId="6604" xr:uid="{00000000-0005-0000-0000-0000F00F0000}"/>
    <cellStyle name="20% - Accent6 5 4 4" xfId="8652" xr:uid="{00000000-0005-0000-0000-0000F10F0000}"/>
    <cellStyle name="20% - Accent6 5 5" xfId="1952" xr:uid="{00000000-0005-0000-0000-0000F20F0000}"/>
    <cellStyle name="20% - Accent6 5 5 2" xfId="4488" xr:uid="{00000000-0005-0000-0000-0000F30F0000}"/>
    <cellStyle name="20% - Accent6 5 5 3" xfId="6605" xr:uid="{00000000-0005-0000-0000-0000F40F0000}"/>
    <cellStyle name="20% - Accent6 5 5 4" xfId="8653" xr:uid="{00000000-0005-0000-0000-0000F50F0000}"/>
    <cellStyle name="20% - Accent6 5 6" xfId="1953" xr:uid="{00000000-0005-0000-0000-0000F60F0000}"/>
    <cellStyle name="20% - Accent6 5 6 2" xfId="4489" xr:uid="{00000000-0005-0000-0000-0000F70F0000}"/>
    <cellStyle name="20% - Accent6 5 6 3" xfId="6606" xr:uid="{00000000-0005-0000-0000-0000F80F0000}"/>
    <cellStyle name="20% - Accent6 5 6 4" xfId="8654" xr:uid="{00000000-0005-0000-0000-0000F90F0000}"/>
    <cellStyle name="20% - Accent6 5 7" xfId="1954" xr:uid="{00000000-0005-0000-0000-0000FA0F0000}"/>
    <cellStyle name="20% - Accent6 5 7 2" xfId="4490" xr:uid="{00000000-0005-0000-0000-0000FB0F0000}"/>
    <cellStyle name="20% - Accent6 5 7 3" xfId="6607" xr:uid="{00000000-0005-0000-0000-0000FC0F0000}"/>
    <cellStyle name="20% - Accent6 5 7 4" xfId="8655" xr:uid="{00000000-0005-0000-0000-0000FD0F0000}"/>
    <cellStyle name="20% - Accent6 50" xfId="1955" xr:uid="{00000000-0005-0000-0000-0000FE0F0000}"/>
    <cellStyle name="20% - Accent6 50 2" xfId="4491" xr:uid="{00000000-0005-0000-0000-0000FF0F0000}"/>
    <cellStyle name="20% - Accent6 50 3" xfId="6608" xr:uid="{00000000-0005-0000-0000-000000100000}"/>
    <cellStyle name="20% - Accent6 50 4" xfId="8656" xr:uid="{00000000-0005-0000-0000-000001100000}"/>
    <cellStyle name="20% - Accent6 6" xfId="1956" xr:uid="{00000000-0005-0000-0000-000002100000}"/>
    <cellStyle name="20% - Accent6 6 2" xfId="1957" xr:uid="{00000000-0005-0000-0000-000003100000}"/>
    <cellStyle name="20% - Accent6 6 2 2" xfId="4492" xr:uid="{00000000-0005-0000-0000-000004100000}"/>
    <cellStyle name="20% - Accent6 6 2 3" xfId="6609" xr:uid="{00000000-0005-0000-0000-000005100000}"/>
    <cellStyle name="20% - Accent6 6 2 4" xfId="8657" xr:uid="{00000000-0005-0000-0000-000006100000}"/>
    <cellStyle name="20% - Accent6 6 3" xfId="1958" xr:uid="{00000000-0005-0000-0000-000007100000}"/>
    <cellStyle name="20% - Accent6 6 3 2" xfId="4493" xr:uid="{00000000-0005-0000-0000-000008100000}"/>
    <cellStyle name="20% - Accent6 6 3 3" xfId="6610" xr:uid="{00000000-0005-0000-0000-000009100000}"/>
    <cellStyle name="20% - Accent6 6 3 4" xfId="8658" xr:uid="{00000000-0005-0000-0000-00000A100000}"/>
    <cellStyle name="20% - Accent6 6 4" xfId="1959" xr:uid="{00000000-0005-0000-0000-00000B100000}"/>
    <cellStyle name="20% - Accent6 6 4 2" xfId="4494" xr:uid="{00000000-0005-0000-0000-00000C100000}"/>
    <cellStyle name="20% - Accent6 6 4 3" xfId="6611" xr:uid="{00000000-0005-0000-0000-00000D100000}"/>
    <cellStyle name="20% - Accent6 6 4 4" xfId="8659" xr:uid="{00000000-0005-0000-0000-00000E100000}"/>
    <cellStyle name="20% - Accent6 6 5" xfId="1960" xr:uid="{00000000-0005-0000-0000-00000F100000}"/>
    <cellStyle name="20% - Accent6 6 5 2" xfId="4495" xr:uid="{00000000-0005-0000-0000-000010100000}"/>
    <cellStyle name="20% - Accent6 6 5 3" xfId="6612" xr:uid="{00000000-0005-0000-0000-000011100000}"/>
    <cellStyle name="20% - Accent6 6 5 4" xfId="8660" xr:uid="{00000000-0005-0000-0000-000012100000}"/>
    <cellStyle name="20% - Accent6 6 6" xfId="1961" xr:uid="{00000000-0005-0000-0000-000013100000}"/>
    <cellStyle name="20% - Accent6 6 6 2" xfId="4496" xr:uid="{00000000-0005-0000-0000-000014100000}"/>
    <cellStyle name="20% - Accent6 6 6 3" xfId="6613" xr:uid="{00000000-0005-0000-0000-000015100000}"/>
    <cellStyle name="20% - Accent6 6 6 4" xfId="8661" xr:uid="{00000000-0005-0000-0000-000016100000}"/>
    <cellStyle name="20% - Accent6 6 7" xfId="1962" xr:uid="{00000000-0005-0000-0000-000017100000}"/>
    <cellStyle name="20% - Accent6 6 7 2" xfId="4497" xr:uid="{00000000-0005-0000-0000-000018100000}"/>
    <cellStyle name="20% - Accent6 6 7 3" xfId="6614" xr:uid="{00000000-0005-0000-0000-000019100000}"/>
    <cellStyle name="20% - Accent6 6 7 4" xfId="8662" xr:uid="{00000000-0005-0000-0000-00001A100000}"/>
    <cellStyle name="20% - Accent6 7" xfId="1963" xr:uid="{00000000-0005-0000-0000-00001B100000}"/>
    <cellStyle name="20% - Accent6 7 10" xfId="8663" xr:uid="{00000000-0005-0000-0000-00001C100000}"/>
    <cellStyle name="20% - Accent6 7 2" xfId="1964" xr:uid="{00000000-0005-0000-0000-00001D100000}"/>
    <cellStyle name="20% - Accent6 7 2 2" xfId="4499" xr:uid="{00000000-0005-0000-0000-00001E100000}"/>
    <cellStyle name="20% - Accent6 7 2 3" xfId="6616" xr:uid="{00000000-0005-0000-0000-00001F100000}"/>
    <cellStyle name="20% - Accent6 7 2 4" xfId="8664" xr:uid="{00000000-0005-0000-0000-000020100000}"/>
    <cellStyle name="20% - Accent6 7 3" xfId="1965" xr:uid="{00000000-0005-0000-0000-000021100000}"/>
    <cellStyle name="20% - Accent6 7 3 2" xfId="4500" xr:uid="{00000000-0005-0000-0000-000022100000}"/>
    <cellStyle name="20% - Accent6 7 3 3" xfId="6617" xr:uid="{00000000-0005-0000-0000-000023100000}"/>
    <cellStyle name="20% - Accent6 7 3 4" xfId="8665" xr:uid="{00000000-0005-0000-0000-000024100000}"/>
    <cellStyle name="20% - Accent6 7 4" xfId="1966" xr:uid="{00000000-0005-0000-0000-000025100000}"/>
    <cellStyle name="20% - Accent6 7 4 2" xfId="4501" xr:uid="{00000000-0005-0000-0000-000026100000}"/>
    <cellStyle name="20% - Accent6 7 4 3" xfId="6618" xr:uid="{00000000-0005-0000-0000-000027100000}"/>
    <cellStyle name="20% - Accent6 7 4 4" xfId="8666" xr:uid="{00000000-0005-0000-0000-000028100000}"/>
    <cellStyle name="20% - Accent6 7 5" xfId="1967" xr:uid="{00000000-0005-0000-0000-000029100000}"/>
    <cellStyle name="20% - Accent6 7 5 2" xfId="4502" xr:uid="{00000000-0005-0000-0000-00002A100000}"/>
    <cellStyle name="20% - Accent6 7 5 3" xfId="6619" xr:uid="{00000000-0005-0000-0000-00002B100000}"/>
    <cellStyle name="20% - Accent6 7 5 4" xfId="8667" xr:uid="{00000000-0005-0000-0000-00002C100000}"/>
    <cellStyle name="20% - Accent6 7 6" xfId="1968" xr:uid="{00000000-0005-0000-0000-00002D100000}"/>
    <cellStyle name="20% - Accent6 7 6 2" xfId="4503" xr:uid="{00000000-0005-0000-0000-00002E100000}"/>
    <cellStyle name="20% - Accent6 7 6 3" xfId="6620" xr:uid="{00000000-0005-0000-0000-00002F100000}"/>
    <cellStyle name="20% - Accent6 7 6 4" xfId="8668" xr:uid="{00000000-0005-0000-0000-000030100000}"/>
    <cellStyle name="20% - Accent6 7 7" xfId="1969" xr:uid="{00000000-0005-0000-0000-000031100000}"/>
    <cellStyle name="20% - Accent6 7 7 2" xfId="4504" xr:uid="{00000000-0005-0000-0000-000032100000}"/>
    <cellStyle name="20% - Accent6 7 7 3" xfId="6621" xr:uid="{00000000-0005-0000-0000-000033100000}"/>
    <cellStyle name="20% - Accent6 7 7 4" xfId="8669" xr:uid="{00000000-0005-0000-0000-000034100000}"/>
    <cellStyle name="20% - Accent6 7 8" xfId="4498" xr:uid="{00000000-0005-0000-0000-000035100000}"/>
    <cellStyle name="20% - Accent6 7 9" xfId="6615" xr:uid="{00000000-0005-0000-0000-000036100000}"/>
    <cellStyle name="20% - Accent6 8" xfId="1970" xr:uid="{00000000-0005-0000-0000-000037100000}"/>
    <cellStyle name="20% - Accent6 8 10" xfId="8670" xr:uid="{00000000-0005-0000-0000-000038100000}"/>
    <cellStyle name="20% - Accent6 8 2" xfId="1971" xr:uid="{00000000-0005-0000-0000-000039100000}"/>
    <cellStyle name="20% - Accent6 8 2 2" xfId="4506" xr:uid="{00000000-0005-0000-0000-00003A100000}"/>
    <cellStyle name="20% - Accent6 8 2 3" xfId="6623" xr:uid="{00000000-0005-0000-0000-00003B100000}"/>
    <cellStyle name="20% - Accent6 8 2 4" xfId="8671" xr:uid="{00000000-0005-0000-0000-00003C100000}"/>
    <cellStyle name="20% - Accent6 8 3" xfId="1972" xr:uid="{00000000-0005-0000-0000-00003D100000}"/>
    <cellStyle name="20% - Accent6 8 3 2" xfId="4507" xr:uid="{00000000-0005-0000-0000-00003E100000}"/>
    <cellStyle name="20% - Accent6 8 3 3" xfId="6624" xr:uid="{00000000-0005-0000-0000-00003F100000}"/>
    <cellStyle name="20% - Accent6 8 3 4" xfId="8672" xr:uid="{00000000-0005-0000-0000-000040100000}"/>
    <cellStyle name="20% - Accent6 8 4" xfId="1973" xr:uid="{00000000-0005-0000-0000-000041100000}"/>
    <cellStyle name="20% - Accent6 8 4 2" xfId="4508" xr:uid="{00000000-0005-0000-0000-000042100000}"/>
    <cellStyle name="20% - Accent6 8 4 3" xfId="6625" xr:uid="{00000000-0005-0000-0000-000043100000}"/>
    <cellStyle name="20% - Accent6 8 4 4" xfId="8673" xr:uid="{00000000-0005-0000-0000-000044100000}"/>
    <cellStyle name="20% - Accent6 8 5" xfId="1974" xr:uid="{00000000-0005-0000-0000-000045100000}"/>
    <cellStyle name="20% - Accent6 8 5 2" xfId="4509" xr:uid="{00000000-0005-0000-0000-000046100000}"/>
    <cellStyle name="20% - Accent6 8 5 3" xfId="6626" xr:uid="{00000000-0005-0000-0000-000047100000}"/>
    <cellStyle name="20% - Accent6 8 5 4" xfId="8674" xr:uid="{00000000-0005-0000-0000-000048100000}"/>
    <cellStyle name="20% - Accent6 8 6" xfId="1975" xr:uid="{00000000-0005-0000-0000-000049100000}"/>
    <cellStyle name="20% - Accent6 8 6 2" xfId="4510" xr:uid="{00000000-0005-0000-0000-00004A100000}"/>
    <cellStyle name="20% - Accent6 8 6 3" xfId="6627" xr:uid="{00000000-0005-0000-0000-00004B100000}"/>
    <cellStyle name="20% - Accent6 8 6 4" xfId="8675" xr:uid="{00000000-0005-0000-0000-00004C100000}"/>
    <cellStyle name="20% - Accent6 8 7" xfId="1976" xr:uid="{00000000-0005-0000-0000-00004D100000}"/>
    <cellStyle name="20% - Accent6 8 7 2" xfId="4511" xr:uid="{00000000-0005-0000-0000-00004E100000}"/>
    <cellStyle name="20% - Accent6 8 7 3" xfId="6628" xr:uid="{00000000-0005-0000-0000-00004F100000}"/>
    <cellStyle name="20% - Accent6 8 7 4" xfId="8676" xr:uid="{00000000-0005-0000-0000-000050100000}"/>
    <cellStyle name="20% - Accent6 8 8" xfId="4505" xr:uid="{00000000-0005-0000-0000-000051100000}"/>
    <cellStyle name="20% - Accent6 8 9" xfId="6622" xr:uid="{00000000-0005-0000-0000-000052100000}"/>
    <cellStyle name="20% - Accent6 9" xfId="1977" xr:uid="{00000000-0005-0000-0000-000053100000}"/>
    <cellStyle name="20% - Accent6 9 10" xfId="8677" xr:uid="{00000000-0005-0000-0000-000054100000}"/>
    <cellStyle name="20% - Accent6 9 2" xfId="1978" xr:uid="{00000000-0005-0000-0000-000055100000}"/>
    <cellStyle name="20% - Accent6 9 2 2" xfId="4513" xr:uid="{00000000-0005-0000-0000-000056100000}"/>
    <cellStyle name="20% - Accent6 9 2 3" xfId="6630" xr:uid="{00000000-0005-0000-0000-000057100000}"/>
    <cellStyle name="20% - Accent6 9 2 4" xfId="8678" xr:uid="{00000000-0005-0000-0000-000058100000}"/>
    <cellStyle name="20% - Accent6 9 3" xfId="1979" xr:uid="{00000000-0005-0000-0000-000059100000}"/>
    <cellStyle name="20% - Accent6 9 3 2" xfId="4514" xr:uid="{00000000-0005-0000-0000-00005A100000}"/>
    <cellStyle name="20% - Accent6 9 3 3" xfId="6631" xr:uid="{00000000-0005-0000-0000-00005B100000}"/>
    <cellStyle name="20% - Accent6 9 3 4" xfId="8679" xr:uid="{00000000-0005-0000-0000-00005C100000}"/>
    <cellStyle name="20% - Accent6 9 4" xfId="1980" xr:uid="{00000000-0005-0000-0000-00005D100000}"/>
    <cellStyle name="20% - Accent6 9 4 2" xfId="4515" xr:uid="{00000000-0005-0000-0000-00005E100000}"/>
    <cellStyle name="20% - Accent6 9 4 3" xfId="6632" xr:uid="{00000000-0005-0000-0000-00005F100000}"/>
    <cellStyle name="20% - Accent6 9 4 4" xfId="8680" xr:uid="{00000000-0005-0000-0000-000060100000}"/>
    <cellStyle name="20% - Accent6 9 5" xfId="1981" xr:uid="{00000000-0005-0000-0000-000061100000}"/>
    <cellStyle name="20% - Accent6 9 5 2" xfId="4516" xr:uid="{00000000-0005-0000-0000-000062100000}"/>
    <cellStyle name="20% - Accent6 9 5 3" xfId="6633" xr:uid="{00000000-0005-0000-0000-000063100000}"/>
    <cellStyle name="20% - Accent6 9 5 4" xfId="8681" xr:uid="{00000000-0005-0000-0000-000064100000}"/>
    <cellStyle name="20% - Accent6 9 6" xfId="1982" xr:uid="{00000000-0005-0000-0000-000065100000}"/>
    <cellStyle name="20% - Accent6 9 6 2" xfId="4517" xr:uid="{00000000-0005-0000-0000-000066100000}"/>
    <cellStyle name="20% - Accent6 9 6 3" xfId="6634" xr:uid="{00000000-0005-0000-0000-000067100000}"/>
    <cellStyle name="20% - Accent6 9 6 4" xfId="8682" xr:uid="{00000000-0005-0000-0000-000068100000}"/>
    <cellStyle name="20% - Accent6 9 7" xfId="1983" xr:uid="{00000000-0005-0000-0000-000069100000}"/>
    <cellStyle name="20% - Accent6 9 7 2" xfId="4518" xr:uid="{00000000-0005-0000-0000-00006A100000}"/>
    <cellStyle name="20% - Accent6 9 7 3" xfId="6635" xr:uid="{00000000-0005-0000-0000-00006B100000}"/>
    <cellStyle name="20% - Accent6 9 7 4" xfId="8683" xr:uid="{00000000-0005-0000-0000-00006C100000}"/>
    <cellStyle name="20% - Accent6 9 8" xfId="4512" xr:uid="{00000000-0005-0000-0000-00006D100000}"/>
    <cellStyle name="20% - Accent6 9 9" xfId="6629" xr:uid="{00000000-0005-0000-0000-00006E100000}"/>
    <cellStyle name="20% - ส่วนที่ถูกเน้น1" xfId="1984" xr:uid="{00000000-0005-0000-0000-00006F100000}"/>
    <cellStyle name="20% - ส่วนที่ถูกเน้น1 2" xfId="1985" xr:uid="{00000000-0005-0000-0000-000070100000}"/>
    <cellStyle name="20% - ส่วนที่ถูกเน้น2" xfId="1986" xr:uid="{00000000-0005-0000-0000-000071100000}"/>
    <cellStyle name="20% - ส่วนที่ถูกเน้น2 2" xfId="1987" xr:uid="{00000000-0005-0000-0000-000072100000}"/>
    <cellStyle name="20% - ส่วนที่ถูกเน้น3" xfId="1988" xr:uid="{00000000-0005-0000-0000-000073100000}"/>
    <cellStyle name="20% - ส่วนที่ถูกเน้น3 2" xfId="1989" xr:uid="{00000000-0005-0000-0000-000074100000}"/>
    <cellStyle name="20% - ส่วนที่ถูกเน้น4" xfId="1990" xr:uid="{00000000-0005-0000-0000-000075100000}"/>
    <cellStyle name="20% - ส่วนที่ถูกเน้น4 2" xfId="1991" xr:uid="{00000000-0005-0000-0000-000076100000}"/>
    <cellStyle name="20% - ส่วนที่ถูกเน้น5" xfId="1992" xr:uid="{00000000-0005-0000-0000-000077100000}"/>
    <cellStyle name="20% - ส่วนที่ถูกเน้น5 2" xfId="1993" xr:uid="{00000000-0005-0000-0000-000078100000}"/>
    <cellStyle name="20% - ส่วนที่ถูกเน้น6" xfId="1994" xr:uid="{00000000-0005-0000-0000-000079100000}"/>
    <cellStyle name="20% - ส่วนที่ถูกเน้น6 2" xfId="1995" xr:uid="{00000000-0005-0000-0000-00007A100000}"/>
    <cellStyle name="40% - Accent1 10" xfId="1996" xr:uid="{00000000-0005-0000-0000-00007B100000}"/>
    <cellStyle name="40% - Accent1 10 10" xfId="8684" xr:uid="{00000000-0005-0000-0000-00007C100000}"/>
    <cellStyle name="40% - Accent1 10 2" xfId="1997" xr:uid="{00000000-0005-0000-0000-00007D100000}"/>
    <cellStyle name="40% - Accent1 10 2 2" xfId="4520" xr:uid="{00000000-0005-0000-0000-00007E100000}"/>
    <cellStyle name="40% - Accent1 10 2 3" xfId="6637" xr:uid="{00000000-0005-0000-0000-00007F100000}"/>
    <cellStyle name="40% - Accent1 10 2 4" xfId="8685" xr:uid="{00000000-0005-0000-0000-000080100000}"/>
    <cellStyle name="40% - Accent1 10 3" xfId="1998" xr:uid="{00000000-0005-0000-0000-000081100000}"/>
    <cellStyle name="40% - Accent1 10 3 2" xfId="4521" xr:uid="{00000000-0005-0000-0000-000082100000}"/>
    <cellStyle name="40% - Accent1 10 3 3" xfId="6638" xr:uid="{00000000-0005-0000-0000-000083100000}"/>
    <cellStyle name="40% - Accent1 10 3 4" xfId="8686" xr:uid="{00000000-0005-0000-0000-000084100000}"/>
    <cellStyle name="40% - Accent1 10 4" xfId="1999" xr:uid="{00000000-0005-0000-0000-000085100000}"/>
    <cellStyle name="40% - Accent1 10 4 2" xfId="4522" xr:uid="{00000000-0005-0000-0000-000086100000}"/>
    <cellStyle name="40% - Accent1 10 4 3" xfId="6639" xr:uid="{00000000-0005-0000-0000-000087100000}"/>
    <cellStyle name="40% - Accent1 10 4 4" xfId="8687" xr:uid="{00000000-0005-0000-0000-000088100000}"/>
    <cellStyle name="40% - Accent1 10 5" xfId="2000" xr:uid="{00000000-0005-0000-0000-000089100000}"/>
    <cellStyle name="40% - Accent1 10 5 2" xfId="4523" xr:uid="{00000000-0005-0000-0000-00008A100000}"/>
    <cellStyle name="40% - Accent1 10 5 3" xfId="6640" xr:uid="{00000000-0005-0000-0000-00008B100000}"/>
    <cellStyle name="40% - Accent1 10 5 4" xfId="8688" xr:uid="{00000000-0005-0000-0000-00008C100000}"/>
    <cellStyle name="40% - Accent1 10 6" xfId="2001" xr:uid="{00000000-0005-0000-0000-00008D100000}"/>
    <cellStyle name="40% - Accent1 10 6 2" xfId="4524" xr:uid="{00000000-0005-0000-0000-00008E100000}"/>
    <cellStyle name="40% - Accent1 10 6 3" xfId="6641" xr:uid="{00000000-0005-0000-0000-00008F100000}"/>
    <cellStyle name="40% - Accent1 10 6 4" xfId="8689" xr:uid="{00000000-0005-0000-0000-000090100000}"/>
    <cellStyle name="40% - Accent1 10 7" xfId="2002" xr:uid="{00000000-0005-0000-0000-000091100000}"/>
    <cellStyle name="40% - Accent1 10 7 2" xfId="4525" xr:uid="{00000000-0005-0000-0000-000092100000}"/>
    <cellStyle name="40% - Accent1 10 7 3" xfId="6642" xr:uid="{00000000-0005-0000-0000-000093100000}"/>
    <cellStyle name="40% - Accent1 10 7 4" xfId="8690" xr:uid="{00000000-0005-0000-0000-000094100000}"/>
    <cellStyle name="40% - Accent1 10 8" xfId="4519" xr:uid="{00000000-0005-0000-0000-000095100000}"/>
    <cellStyle name="40% - Accent1 10 9" xfId="6636" xr:uid="{00000000-0005-0000-0000-000096100000}"/>
    <cellStyle name="40% - Accent1 11" xfId="2003" xr:uid="{00000000-0005-0000-0000-000097100000}"/>
    <cellStyle name="40% - Accent1 11 2" xfId="2004" xr:uid="{00000000-0005-0000-0000-000098100000}"/>
    <cellStyle name="40% - Accent1 11 2 2" xfId="4527" xr:uid="{00000000-0005-0000-0000-000099100000}"/>
    <cellStyle name="40% - Accent1 11 2 3" xfId="6644" xr:uid="{00000000-0005-0000-0000-00009A100000}"/>
    <cellStyle name="40% - Accent1 11 2 4" xfId="8692" xr:uid="{00000000-0005-0000-0000-00009B100000}"/>
    <cellStyle name="40% - Accent1 11 3" xfId="2005" xr:uid="{00000000-0005-0000-0000-00009C100000}"/>
    <cellStyle name="40% - Accent1 11 3 2" xfId="4528" xr:uid="{00000000-0005-0000-0000-00009D100000}"/>
    <cellStyle name="40% - Accent1 11 3 3" xfId="6645" xr:uid="{00000000-0005-0000-0000-00009E100000}"/>
    <cellStyle name="40% - Accent1 11 3 4" xfId="8693" xr:uid="{00000000-0005-0000-0000-00009F100000}"/>
    <cellStyle name="40% - Accent1 11 4" xfId="2006" xr:uid="{00000000-0005-0000-0000-0000A0100000}"/>
    <cellStyle name="40% - Accent1 11 4 2" xfId="4529" xr:uid="{00000000-0005-0000-0000-0000A1100000}"/>
    <cellStyle name="40% - Accent1 11 4 3" xfId="6646" xr:uid="{00000000-0005-0000-0000-0000A2100000}"/>
    <cellStyle name="40% - Accent1 11 4 4" xfId="8694" xr:uid="{00000000-0005-0000-0000-0000A3100000}"/>
    <cellStyle name="40% - Accent1 11 5" xfId="2007" xr:uid="{00000000-0005-0000-0000-0000A4100000}"/>
    <cellStyle name="40% - Accent1 11 5 2" xfId="4530" xr:uid="{00000000-0005-0000-0000-0000A5100000}"/>
    <cellStyle name="40% - Accent1 11 5 3" xfId="6647" xr:uid="{00000000-0005-0000-0000-0000A6100000}"/>
    <cellStyle name="40% - Accent1 11 5 4" xfId="8695" xr:uid="{00000000-0005-0000-0000-0000A7100000}"/>
    <cellStyle name="40% - Accent1 11 6" xfId="2008" xr:uid="{00000000-0005-0000-0000-0000A8100000}"/>
    <cellStyle name="40% - Accent1 11 6 2" xfId="4531" xr:uid="{00000000-0005-0000-0000-0000A9100000}"/>
    <cellStyle name="40% - Accent1 11 6 3" xfId="6648" xr:uid="{00000000-0005-0000-0000-0000AA100000}"/>
    <cellStyle name="40% - Accent1 11 6 4" xfId="8696" xr:uid="{00000000-0005-0000-0000-0000AB100000}"/>
    <cellStyle name="40% - Accent1 11 7" xfId="4526" xr:uid="{00000000-0005-0000-0000-0000AC100000}"/>
    <cellStyle name="40% - Accent1 11 8" xfId="6643" xr:uid="{00000000-0005-0000-0000-0000AD100000}"/>
    <cellStyle name="40% - Accent1 11 9" xfId="8691" xr:uid="{00000000-0005-0000-0000-0000AE100000}"/>
    <cellStyle name="40% - Accent1 12" xfId="2009" xr:uid="{00000000-0005-0000-0000-0000AF100000}"/>
    <cellStyle name="40% - Accent1 12 2" xfId="2010" xr:uid="{00000000-0005-0000-0000-0000B0100000}"/>
    <cellStyle name="40% - Accent1 12 2 2" xfId="4533" xr:uid="{00000000-0005-0000-0000-0000B1100000}"/>
    <cellStyle name="40% - Accent1 12 2 3" xfId="6650" xr:uid="{00000000-0005-0000-0000-0000B2100000}"/>
    <cellStyle name="40% - Accent1 12 2 4" xfId="8698" xr:uid="{00000000-0005-0000-0000-0000B3100000}"/>
    <cellStyle name="40% - Accent1 12 3" xfId="2011" xr:uid="{00000000-0005-0000-0000-0000B4100000}"/>
    <cellStyle name="40% - Accent1 12 3 2" xfId="4534" xr:uid="{00000000-0005-0000-0000-0000B5100000}"/>
    <cellStyle name="40% - Accent1 12 3 3" xfId="6651" xr:uid="{00000000-0005-0000-0000-0000B6100000}"/>
    <cellStyle name="40% - Accent1 12 3 4" xfId="8699" xr:uid="{00000000-0005-0000-0000-0000B7100000}"/>
    <cellStyle name="40% - Accent1 12 4" xfId="2012" xr:uid="{00000000-0005-0000-0000-0000B8100000}"/>
    <cellStyle name="40% - Accent1 12 4 2" xfId="4535" xr:uid="{00000000-0005-0000-0000-0000B9100000}"/>
    <cellStyle name="40% - Accent1 12 4 3" xfId="6652" xr:uid="{00000000-0005-0000-0000-0000BA100000}"/>
    <cellStyle name="40% - Accent1 12 4 4" xfId="8700" xr:uid="{00000000-0005-0000-0000-0000BB100000}"/>
    <cellStyle name="40% - Accent1 12 5" xfId="2013" xr:uid="{00000000-0005-0000-0000-0000BC100000}"/>
    <cellStyle name="40% - Accent1 12 5 2" xfId="4536" xr:uid="{00000000-0005-0000-0000-0000BD100000}"/>
    <cellStyle name="40% - Accent1 12 5 3" xfId="6653" xr:uid="{00000000-0005-0000-0000-0000BE100000}"/>
    <cellStyle name="40% - Accent1 12 5 4" xfId="8701" xr:uid="{00000000-0005-0000-0000-0000BF100000}"/>
    <cellStyle name="40% - Accent1 12 6" xfId="4532" xr:uid="{00000000-0005-0000-0000-0000C0100000}"/>
    <cellStyle name="40% - Accent1 12 7" xfId="6649" xr:uid="{00000000-0005-0000-0000-0000C1100000}"/>
    <cellStyle name="40% - Accent1 12 8" xfId="8697" xr:uid="{00000000-0005-0000-0000-0000C2100000}"/>
    <cellStyle name="40% - Accent1 13" xfId="2014" xr:uid="{00000000-0005-0000-0000-0000C3100000}"/>
    <cellStyle name="40% - Accent1 13 2" xfId="2015" xr:uid="{00000000-0005-0000-0000-0000C4100000}"/>
    <cellStyle name="40% - Accent1 13 2 2" xfId="4538" xr:uid="{00000000-0005-0000-0000-0000C5100000}"/>
    <cellStyle name="40% - Accent1 13 2 3" xfId="6655" xr:uid="{00000000-0005-0000-0000-0000C6100000}"/>
    <cellStyle name="40% - Accent1 13 2 4" xfId="8703" xr:uid="{00000000-0005-0000-0000-0000C7100000}"/>
    <cellStyle name="40% - Accent1 13 3" xfId="2016" xr:uid="{00000000-0005-0000-0000-0000C8100000}"/>
    <cellStyle name="40% - Accent1 13 3 2" xfId="4539" xr:uid="{00000000-0005-0000-0000-0000C9100000}"/>
    <cellStyle name="40% - Accent1 13 3 3" xfId="6656" xr:uid="{00000000-0005-0000-0000-0000CA100000}"/>
    <cellStyle name="40% - Accent1 13 3 4" xfId="8704" xr:uid="{00000000-0005-0000-0000-0000CB100000}"/>
    <cellStyle name="40% - Accent1 13 4" xfId="2017" xr:uid="{00000000-0005-0000-0000-0000CC100000}"/>
    <cellStyle name="40% - Accent1 13 4 2" xfId="4540" xr:uid="{00000000-0005-0000-0000-0000CD100000}"/>
    <cellStyle name="40% - Accent1 13 4 3" xfId="6657" xr:uid="{00000000-0005-0000-0000-0000CE100000}"/>
    <cellStyle name="40% - Accent1 13 4 4" xfId="8705" xr:uid="{00000000-0005-0000-0000-0000CF100000}"/>
    <cellStyle name="40% - Accent1 13 5" xfId="2018" xr:uid="{00000000-0005-0000-0000-0000D0100000}"/>
    <cellStyle name="40% - Accent1 13 5 2" xfId="4541" xr:uid="{00000000-0005-0000-0000-0000D1100000}"/>
    <cellStyle name="40% - Accent1 13 5 3" xfId="6658" xr:uid="{00000000-0005-0000-0000-0000D2100000}"/>
    <cellStyle name="40% - Accent1 13 5 4" xfId="8706" xr:uid="{00000000-0005-0000-0000-0000D3100000}"/>
    <cellStyle name="40% - Accent1 13 6" xfId="4537" xr:uid="{00000000-0005-0000-0000-0000D4100000}"/>
    <cellStyle name="40% - Accent1 13 7" xfId="6654" xr:uid="{00000000-0005-0000-0000-0000D5100000}"/>
    <cellStyle name="40% - Accent1 13 8" xfId="8702" xr:uid="{00000000-0005-0000-0000-0000D6100000}"/>
    <cellStyle name="40% - Accent1 14" xfId="2019" xr:uid="{00000000-0005-0000-0000-0000D7100000}"/>
    <cellStyle name="40% - Accent1 14 2" xfId="2020" xr:uid="{00000000-0005-0000-0000-0000D8100000}"/>
    <cellStyle name="40% - Accent1 14 2 2" xfId="4543" xr:uid="{00000000-0005-0000-0000-0000D9100000}"/>
    <cellStyle name="40% - Accent1 14 2 3" xfId="6660" xr:uid="{00000000-0005-0000-0000-0000DA100000}"/>
    <cellStyle name="40% - Accent1 14 2 4" xfId="8708" xr:uid="{00000000-0005-0000-0000-0000DB100000}"/>
    <cellStyle name="40% - Accent1 14 3" xfId="2021" xr:uid="{00000000-0005-0000-0000-0000DC100000}"/>
    <cellStyle name="40% - Accent1 14 3 2" xfId="4544" xr:uid="{00000000-0005-0000-0000-0000DD100000}"/>
    <cellStyle name="40% - Accent1 14 3 3" xfId="6661" xr:uid="{00000000-0005-0000-0000-0000DE100000}"/>
    <cellStyle name="40% - Accent1 14 3 4" xfId="8709" xr:uid="{00000000-0005-0000-0000-0000DF100000}"/>
    <cellStyle name="40% - Accent1 14 4" xfId="2022" xr:uid="{00000000-0005-0000-0000-0000E0100000}"/>
    <cellStyle name="40% - Accent1 14 4 2" xfId="4545" xr:uid="{00000000-0005-0000-0000-0000E1100000}"/>
    <cellStyle name="40% - Accent1 14 4 3" xfId="6662" xr:uid="{00000000-0005-0000-0000-0000E2100000}"/>
    <cellStyle name="40% - Accent1 14 4 4" xfId="8710" xr:uid="{00000000-0005-0000-0000-0000E3100000}"/>
    <cellStyle name="40% - Accent1 14 5" xfId="4542" xr:uid="{00000000-0005-0000-0000-0000E4100000}"/>
    <cellStyle name="40% - Accent1 14 6" xfId="6659" xr:uid="{00000000-0005-0000-0000-0000E5100000}"/>
    <cellStyle name="40% - Accent1 14 7" xfId="8707" xr:uid="{00000000-0005-0000-0000-0000E6100000}"/>
    <cellStyle name="40% - Accent1 15" xfId="2023" xr:uid="{00000000-0005-0000-0000-0000E7100000}"/>
    <cellStyle name="40% - Accent1 15 2" xfId="2024" xr:uid="{00000000-0005-0000-0000-0000E8100000}"/>
    <cellStyle name="40% - Accent1 15 2 2" xfId="4547" xr:uid="{00000000-0005-0000-0000-0000E9100000}"/>
    <cellStyle name="40% - Accent1 15 2 3" xfId="6664" xr:uid="{00000000-0005-0000-0000-0000EA100000}"/>
    <cellStyle name="40% - Accent1 15 2 4" xfId="8712" xr:uid="{00000000-0005-0000-0000-0000EB100000}"/>
    <cellStyle name="40% - Accent1 15 3" xfId="2025" xr:uid="{00000000-0005-0000-0000-0000EC100000}"/>
    <cellStyle name="40% - Accent1 15 3 2" xfId="4548" xr:uid="{00000000-0005-0000-0000-0000ED100000}"/>
    <cellStyle name="40% - Accent1 15 3 3" xfId="6665" xr:uid="{00000000-0005-0000-0000-0000EE100000}"/>
    <cellStyle name="40% - Accent1 15 3 4" xfId="8713" xr:uid="{00000000-0005-0000-0000-0000EF100000}"/>
    <cellStyle name="40% - Accent1 15 4" xfId="2026" xr:uid="{00000000-0005-0000-0000-0000F0100000}"/>
    <cellStyle name="40% - Accent1 15 4 2" xfId="4549" xr:uid="{00000000-0005-0000-0000-0000F1100000}"/>
    <cellStyle name="40% - Accent1 15 4 3" xfId="6666" xr:uid="{00000000-0005-0000-0000-0000F2100000}"/>
    <cellStyle name="40% - Accent1 15 4 4" xfId="8714" xr:uid="{00000000-0005-0000-0000-0000F3100000}"/>
    <cellStyle name="40% - Accent1 15 5" xfId="4546" xr:uid="{00000000-0005-0000-0000-0000F4100000}"/>
    <cellStyle name="40% - Accent1 15 6" xfId="6663" xr:uid="{00000000-0005-0000-0000-0000F5100000}"/>
    <cellStyle name="40% - Accent1 15 7" xfId="8711" xr:uid="{00000000-0005-0000-0000-0000F6100000}"/>
    <cellStyle name="40% - Accent1 16" xfId="2027" xr:uid="{00000000-0005-0000-0000-0000F7100000}"/>
    <cellStyle name="40% - Accent1 16 2" xfId="2028" xr:uid="{00000000-0005-0000-0000-0000F8100000}"/>
    <cellStyle name="40% - Accent1 16 2 2" xfId="4551" xr:uid="{00000000-0005-0000-0000-0000F9100000}"/>
    <cellStyle name="40% - Accent1 16 2 3" xfId="6668" xr:uid="{00000000-0005-0000-0000-0000FA100000}"/>
    <cellStyle name="40% - Accent1 16 2 4" xfId="8716" xr:uid="{00000000-0005-0000-0000-0000FB100000}"/>
    <cellStyle name="40% - Accent1 16 3" xfId="2029" xr:uid="{00000000-0005-0000-0000-0000FC100000}"/>
    <cellStyle name="40% - Accent1 16 3 2" xfId="4552" xr:uid="{00000000-0005-0000-0000-0000FD100000}"/>
    <cellStyle name="40% - Accent1 16 3 3" xfId="6669" xr:uid="{00000000-0005-0000-0000-0000FE100000}"/>
    <cellStyle name="40% - Accent1 16 3 4" xfId="8717" xr:uid="{00000000-0005-0000-0000-0000FF100000}"/>
    <cellStyle name="40% - Accent1 16 4" xfId="4550" xr:uid="{00000000-0005-0000-0000-000000110000}"/>
    <cellStyle name="40% - Accent1 16 5" xfId="6667" xr:uid="{00000000-0005-0000-0000-000001110000}"/>
    <cellStyle name="40% - Accent1 16 6" xfId="8715" xr:uid="{00000000-0005-0000-0000-000002110000}"/>
    <cellStyle name="40% - Accent1 17" xfId="2030" xr:uid="{00000000-0005-0000-0000-000003110000}"/>
    <cellStyle name="40% - Accent1 17 2" xfId="2031" xr:uid="{00000000-0005-0000-0000-000004110000}"/>
    <cellStyle name="40% - Accent1 17 2 2" xfId="4554" xr:uid="{00000000-0005-0000-0000-000005110000}"/>
    <cellStyle name="40% - Accent1 17 2 3" xfId="6671" xr:uid="{00000000-0005-0000-0000-000006110000}"/>
    <cellStyle name="40% - Accent1 17 2 4" xfId="8719" xr:uid="{00000000-0005-0000-0000-000007110000}"/>
    <cellStyle name="40% - Accent1 17 3" xfId="2032" xr:uid="{00000000-0005-0000-0000-000008110000}"/>
    <cellStyle name="40% - Accent1 17 3 2" xfId="4555" xr:uid="{00000000-0005-0000-0000-000009110000}"/>
    <cellStyle name="40% - Accent1 17 3 3" xfId="6672" xr:uid="{00000000-0005-0000-0000-00000A110000}"/>
    <cellStyle name="40% - Accent1 17 3 4" xfId="8720" xr:uid="{00000000-0005-0000-0000-00000B110000}"/>
    <cellStyle name="40% - Accent1 17 4" xfId="4553" xr:uid="{00000000-0005-0000-0000-00000C110000}"/>
    <cellStyle name="40% - Accent1 17 5" xfId="6670" xr:uid="{00000000-0005-0000-0000-00000D110000}"/>
    <cellStyle name="40% - Accent1 17 6" xfId="8718" xr:uid="{00000000-0005-0000-0000-00000E110000}"/>
    <cellStyle name="40% - Accent1 18" xfId="2033" xr:uid="{00000000-0005-0000-0000-00000F110000}"/>
    <cellStyle name="40% - Accent1 18 2" xfId="2034" xr:uid="{00000000-0005-0000-0000-000010110000}"/>
    <cellStyle name="40% - Accent1 18 2 2" xfId="4557" xr:uid="{00000000-0005-0000-0000-000011110000}"/>
    <cellStyle name="40% - Accent1 18 2 3" xfId="6674" xr:uid="{00000000-0005-0000-0000-000012110000}"/>
    <cellStyle name="40% - Accent1 18 2 4" xfId="8722" xr:uid="{00000000-0005-0000-0000-000013110000}"/>
    <cellStyle name="40% - Accent1 18 3" xfId="2035" xr:uid="{00000000-0005-0000-0000-000014110000}"/>
    <cellStyle name="40% - Accent1 18 3 2" xfId="4558" xr:uid="{00000000-0005-0000-0000-000015110000}"/>
    <cellStyle name="40% - Accent1 18 3 3" xfId="6675" xr:uid="{00000000-0005-0000-0000-000016110000}"/>
    <cellStyle name="40% - Accent1 18 3 4" xfId="8723" xr:uid="{00000000-0005-0000-0000-000017110000}"/>
    <cellStyle name="40% - Accent1 18 4" xfId="4556" xr:uid="{00000000-0005-0000-0000-000018110000}"/>
    <cellStyle name="40% - Accent1 18 5" xfId="6673" xr:uid="{00000000-0005-0000-0000-000019110000}"/>
    <cellStyle name="40% - Accent1 18 6" xfId="8721" xr:uid="{00000000-0005-0000-0000-00001A110000}"/>
    <cellStyle name="40% - Accent1 19" xfId="2036" xr:uid="{00000000-0005-0000-0000-00001B110000}"/>
    <cellStyle name="40% - Accent1 19 2" xfId="2037" xr:uid="{00000000-0005-0000-0000-00001C110000}"/>
    <cellStyle name="40% - Accent1 19 2 2" xfId="4560" xr:uid="{00000000-0005-0000-0000-00001D110000}"/>
    <cellStyle name="40% - Accent1 19 2 3" xfId="6677" xr:uid="{00000000-0005-0000-0000-00001E110000}"/>
    <cellStyle name="40% - Accent1 19 2 4" xfId="8725" xr:uid="{00000000-0005-0000-0000-00001F110000}"/>
    <cellStyle name="40% - Accent1 19 3" xfId="2038" xr:uid="{00000000-0005-0000-0000-000020110000}"/>
    <cellStyle name="40% - Accent1 19 3 2" xfId="4561" xr:uid="{00000000-0005-0000-0000-000021110000}"/>
    <cellStyle name="40% - Accent1 19 3 3" xfId="6678" xr:uid="{00000000-0005-0000-0000-000022110000}"/>
    <cellStyle name="40% - Accent1 19 3 4" xfId="8726" xr:uid="{00000000-0005-0000-0000-000023110000}"/>
    <cellStyle name="40% - Accent1 19 4" xfId="4559" xr:uid="{00000000-0005-0000-0000-000024110000}"/>
    <cellStyle name="40% - Accent1 19 5" xfId="6676" xr:uid="{00000000-0005-0000-0000-000025110000}"/>
    <cellStyle name="40% - Accent1 19 6" xfId="8724" xr:uid="{00000000-0005-0000-0000-000026110000}"/>
    <cellStyle name="40% - Accent1 2" xfId="2039" xr:uid="{00000000-0005-0000-0000-000027110000}"/>
    <cellStyle name="40% - Accent1 2 2" xfId="2040" xr:uid="{00000000-0005-0000-0000-000028110000}"/>
    <cellStyle name="40% - Accent1 2 2 2" xfId="2041" xr:uid="{00000000-0005-0000-0000-000029110000}"/>
    <cellStyle name="40% - Accent1 2 2 2 2" xfId="4562" xr:uid="{00000000-0005-0000-0000-00002A110000}"/>
    <cellStyle name="40% - Accent1 2 2 2 3" xfId="6679" xr:uid="{00000000-0005-0000-0000-00002B110000}"/>
    <cellStyle name="40% - Accent1 2 2 2 4" xfId="8727" xr:uid="{00000000-0005-0000-0000-00002C110000}"/>
    <cellStyle name="40% - Accent1 2 3" xfId="2042" xr:uid="{00000000-0005-0000-0000-00002D110000}"/>
    <cellStyle name="40% - Accent1 2 3 2" xfId="4563" xr:uid="{00000000-0005-0000-0000-00002E110000}"/>
    <cellStyle name="40% - Accent1 2 3 3" xfId="6680" xr:uid="{00000000-0005-0000-0000-00002F110000}"/>
    <cellStyle name="40% - Accent1 2 3 4" xfId="8728" xr:uid="{00000000-0005-0000-0000-000030110000}"/>
    <cellStyle name="40% - Accent1 2 4" xfId="2043" xr:uid="{00000000-0005-0000-0000-000031110000}"/>
    <cellStyle name="40% - Accent1 2 4 2" xfId="4564" xr:uid="{00000000-0005-0000-0000-000032110000}"/>
    <cellStyle name="40% - Accent1 2 4 3" xfId="6681" xr:uid="{00000000-0005-0000-0000-000033110000}"/>
    <cellStyle name="40% - Accent1 2 4 4" xfId="8729" xr:uid="{00000000-0005-0000-0000-000034110000}"/>
    <cellStyle name="40% - Accent1 2 5" xfId="2044" xr:uid="{00000000-0005-0000-0000-000035110000}"/>
    <cellStyle name="40% - Accent1 2 5 2" xfId="4565" xr:uid="{00000000-0005-0000-0000-000036110000}"/>
    <cellStyle name="40% - Accent1 2 5 3" xfId="6682" xr:uid="{00000000-0005-0000-0000-000037110000}"/>
    <cellStyle name="40% - Accent1 2 5 4" xfId="8730" xr:uid="{00000000-0005-0000-0000-000038110000}"/>
    <cellStyle name="40% - Accent1 2 6" xfId="2045" xr:uid="{00000000-0005-0000-0000-000039110000}"/>
    <cellStyle name="40% - Accent1 2 6 2" xfId="4566" xr:uid="{00000000-0005-0000-0000-00003A110000}"/>
    <cellStyle name="40% - Accent1 2 6 3" xfId="6683" xr:uid="{00000000-0005-0000-0000-00003B110000}"/>
    <cellStyle name="40% - Accent1 2 6 4" xfId="8731" xr:uid="{00000000-0005-0000-0000-00003C110000}"/>
    <cellStyle name="40% - Accent1 2 7" xfId="2046" xr:uid="{00000000-0005-0000-0000-00003D110000}"/>
    <cellStyle name="40% - Accent1 2 7 2" xfId="4567" xr:uid="{00000000-0005-0000-0000-00003E110000}"/>
    <cellStyle name="40% - Accent1 2 7 3" xfId="6684" xr:uid="{00000000-0005-0000-0000-00003F110000}"/>
    <cellStyle name="40% - Accent1 2 7 4" xfId="8732" xr:uid="{00000000-0005-0000-0000-000040110000}"/>
    <cellStyle name="40% - Accent1 2 8" xfId="2047" xr:uid="{00000000-0005-0000-0000-000041110000}"/>
    <cellStyle name="40% - Accent1 2 8 2" xfId="4568" xr:uid="{00000000-0005-0000-0000-000042110000}"/>
    <cellStyle name="40% - Accent1 2 8 3" xfId="6685" xr:uid="{00000000-0005-0000-0000-000043110000}"/>
    <cellStyle name="40% - Accent1 2 8 4" xfId="8733" xr:uid="{00000000-0005-0000-0000-000044110000}"/>
    <cellStyle name="40% - Accent1 2 9" xfId="2048" xr:uid="{00000000-0005-0000-0000-000045110000}"/>
    <cellStyle name="40% - Accent1 20" xfId="2049" xr:uid="{00000000-0005-0000-0000-000046110000}"/>
    <cellStyle name="40% - Accent1 20 2" xfId="2050" xr:uid="{00000000-0005-0000-0000-000047110000}"/>
    <cellStyle name="40% - Accent1 20 2 2" xfId="4570" xr:uid="{00000000-0005-0000-0000-000048110000}"/>
    <cellStyle name="40% - Accent1 20 2 3" xfId="6687" xr:uid="{00000000-0005-0000-0000-000049110000}"/>
    <cellStyle name="40% - Accent1 20 2 4" xfId="8735" xr:uid="{00000000-0005-0000-0000-00004A110000}"/>
    <cellStyle name="40% - Accent1 20 3" xfId="2051" xr:uid="{00000000-0005-0000-0000-00004B110000}"/>
    <cellStyle name="40% - Accent1 20 3 2" xfId="4571" xr:uid="{00000000-0005-0000-0000-00004C110000}"/>
    <cellStyle name="40% - Accent1 20 3 3" xfId="6688" xr:uid="{00000000-0005-0000-0000-00004D110000}"/>
    <cellStyle name="40% - Accent1 20 3 4" xfId="8736" xr:uid="{00000000-0005-0000-0000-00004E110000}"/>
    <cellStyle name="40% - Accent1 20 4" xfId="4569" xr:uid="{00000000-0005-0000-0000-00004F110000}"/>
    <cellStyle name="40% - Accent1 20 5" xfId="6686" xr:uid="{00000000-0005-0000-0000-000050110000}"/>
    <cellStyle name="40% - Accent1 20 6" xfId="8734" xr:uid="{00000000-0005-0000-0000-000051110000}"/>
    <cellStyle name="40% - Accent1 21" xfId="2052" xr:uid="{00000000-0005-0000-0000-000052110000}"/>
    <cellStyle name="40% - Accent1 21 2" xfId="2053" xr:uid="{00000000-0005-0000-0000-000053110000}"/>
    <cellStyle name="40% - Accent1 21 2 2" xfId="4573" xr:uid="{00000000-0005-0000-0000-000054110000}"/>
    <cellStyle name="40% - Accent1 21 2 3" xfId="6690" xr:uid="{00000000-0005-0000-0000-000055110000}"/>
    <cellStyle name="40% - Accent1 21 2 4" xfId="8738" xr:uid="{00000000-0005-0000-0000-000056110000}"/>
    <cellStyle name="40% - Accent1 21 3" xfId="2054" xr:uid="{00000000-0005-0000-0000-000057110000}"/>
    <cellStyle name="40% - Accent1 21 3 2" xfId="4574" xr:uid="{00000000-0005-0000-0000-000058110000}"/>
    <cellStyle name="40% - Accent1 21 3 3" xfId="6691" xr:uid="{00000000-0005-0000-0000-000059110000}"/>
    <cellStyle name="40% - Accent1 21 3 4" xfId="8739" xr:uid="{00000000-0005-0000-0000-00005A110000}"/>
    <cellStyle name="40% - Accent1 21 4" xfId="4572" xr:uid="{00000000-0005-0000-0000-00005B110000}"/>
    <cellStyle name="40% - Accent1 21 5" xfId="6689" xr:uid="{00000000-0005-0000-0000-00005C110000}"/>
    <cellStyle name="40% - Accent1 21 6" xfId="8737" xr:uid="{00000000-0005-0000-0000-00005D110000}"/>
    <cellStyle name="40% - Accent1 22" xfId="2055" xr:uid="{00000000-0005-0000-0000-00005E110000}"/>
    <cellStyle name="40% - Accent1 22 2" xfId="2056" xr:uid="{00000000-0005-0000-0000-00005F110000}"/>
    <cellStyle name="40% - Accent1 22 2 2" xfId="4576" xr:uid="{00000000-0005-0000-0000-000060110000}"/>
    <cellStyle name="40% - Accent1 22 2 3" xfId="6693" xr:uid="{00000000-0005-0000-0000-000061110000}"/>
    <cellStyle name="40% - Accent1 22 2 4" xfId="8741" xr:uid="{00000000-0005-0000-0000-000062110000}"/>
    <cellStyle name="40% - Accent1 22 3" xfId="2057" xr:uid="{00000000-0005-0000-0000-000063110000}"/>
    <cellStyle name="40% - Accent1 22 3 2" xfId="4577" xr:uid="{00000000-0005-0000-0000-000064110000}"/>
    <cellStyle name="40% - Accent1 22 3 3" xfId="6694" xr:uid="{00000000-0005-0000-0000-000065110000}"/>
    <cellStyle name="40% - Accent1 22 3 4" xfId="8742" xr:uid="{00000000-0005-0000-0000-000066110000}"/>
    <cellStyle name="40% - Accent1 22 4" xfId="4575" xr:uid="{00000000-0005-0000-0000-000067110000}"/>
    <cellStyle name="40% - Accent1 22 5" xfId="6692" xr:uid="{00000000-0005-0000-0000-000068110000}"/>
    <cellStyle name="40% - Accent1 22 6" xfId="8740" xr:uid="{00000000-0005-0000-0000-000069110000}"/>
    <cellStyle name="40% - Accent1 23" xfId="2058" xr:uid="{00000000-0005-0000-0000-00006A110000}"/>
    <cellStyle name="40% - Accent1 23 2" xfId="2059" xr:uid="{00000000-0005-0000-0000-00006B110000}"/>
    <cellStyle name="40% - Accent1 23 2 2" xfId="4579" xr:uid="{00000000-0005-0000-0000-00006C110000}"/>
    <cellStyle name="40% - Accent1 23 2 3" xfId="6696" xr:uid="{00000000-0005-0000-0000-00006D110000}"/>
    <cellStyle name="40% - Accent1 23 2 4" xfId="8744" xr:uid="{00000000-0005-0000-0000-00006E110000}"/>
    <cellStyle name="40% - Accent1 23 3" xfId="4578" xr:uid="{00000000-0005-0000-0000-00006F110000}"/>
    <cellStyle name="40% - Accent1 23 4" xfId="6695" xr:uid="{00000000-0005-0000-0000-000070110000}"/>
    <cellStyle name="40% - Accent1 23 5" xfId="8743" xr:uid="{00000000-0005-0000-0000-000071110000}"/>
    <cellStyle name="40% - Accent1 24" xfId="2060" xr:uid="{00000000-0005-0000-0000-000072110000}"/>
    <cellStyle name="40% - Accent1 24 2" xfId="2061" xr:uid="{00000000-0005-0000-0000-000073110000}"/>
    <cellStyle name="40% - Accent1 24 2 2" xfId="4581" xr:uid="{00000000-0005-0000-0000-000074110000}"/>
    <cellStyle name="40% - Accent1 24 2 3" xfId="6698" xr:uid="{00000000-0005-0000-0000-000075110000}"/>
    <cellStyle name="40% - Accent1 24 2 4" xfId="8746" xr:uid="{00000000-0005-0000-0000-000076110000}"/>
    <cellStyle name="40% - Accent1 24 3" xfId="4580" xr:uid="{00000000-0005-0000-0000-000077110000}"/>
    <cellStyle name="40% - Accent1 24 4" xfId="6697" xr:uid="{00000000-0005-0000-0000-000078110000}"/>
    <cellStyle name="40% - Accent1 24 5" xfId="8745" xr:uid="{00000000-0005-0000-0000-000079110000}"/>
    <cellStyle name="40% - Accent1 25" xfId="2062" xr:uid="{00000000-0005-0000-0000-00007A110000}"/>
    <cellStyle name="40% - Accent1 25 2" xfId="2063" xr:uid="{00000000-0005-0000-0000-00007B110000}"/>
    <cellStyle name="40% - Accent1 25 2 2" xfId="4583" xr:uid="{00000000-0005-0000-0000-00007C110000}"/>
    <cellStyle name="40% - Accent1 25 2 3" xfId="6700" xr:uid="{00000000-0005-0000-0000-00007D110000}"/>
    <cellStyle name="40% - Accent1 25 2 4" xfId="8748" xr:uid="{00000000-0005-0000-0000-00007E110000}"/>
    <cellStyle name="40% - Accent1 25 3" xfId="4582" xr:uid="{00000000-0005-0000-0000-00007F110000}"/>
    <cellStyle name="40% - Accent1 25 4" xfId="6699" xr:uid="{00000000-0005-0000-0000-000080110000}"/>
    <cellStyle name="40% - Accent1 25 5" xfId="8747" xr:uid="{00000000-0005-0000-0000-000081110000}"/>
    <cellStyle name="40% - Accent1 26" xfId="2064" xr:uid="{00000000-0005-0000-0000-000082110000}"/>
    <cellStyle name="40% - Accent1 26 2" xfId="2065" xr:uid="{00000000-0005-0000-0000-000083110000}"/>
    <cellStyle name="40% - Accent1 26 2 2" xfId="4585" xr:uid="{00000000-0005-0000-0000-000084110000}"/>
    <cellStyle name="40% - Accent1 26 2 3" xfId="6702" xr:uid="{00000000-0005-0000-0000-000085110000}"/>
    <cellStyle name="40% - Accent1 26 2 4" xfId="8750" xr:uid="{00000000-0005-0000-0000-000086110000}"/>
    <cellStyle name="40% - Accent1 26 3" xfId="4584" xr:uid="{00000000-0005-0000-0000-000087110000}"/>
    <cellStyle name="40% - Accent1 26 4" xfId="6701" xr:uid="{00000000-0005-0000-0000-000088110000}"/>
    <cellStyle name="40% - Accent1 26 5" xfId="8749" xr:uid="{00000000-0005-0000-0000-000089110000}"/>
    <cellStyle name="40% - Accent1 27" xfId="2066" xr:uid="{00000000-0005-0000-0000-00008A110000}"/>
    <cellStyle name="40% - Accent1 27 2" xfId="2067" xr:uid="{00000000-0005-0000-0000-00008B110000}"/>
    <cellStyle name="40% - Accent1 27 2 2" xfId="4587" xr:uid="{00000000-0005-0000-0000-00008C110000}"/>
    <cellStyle name="40% - Accent1 27 2 3" xfId="6704" xr:uid="{00000000-0005-0000-0000-00008D110000}"/>
    <cellStyle name="40% - Accent1 27 2 4" xfId="8752" xr:uid="{00000000-0005-0000-0000-00008E110000}"/>
    <cellStyle name="40% - Accent1 27 3" xfId="4586" xr:uid="{00000000-0005-0000-0000-00008F110000}"/>
    <cellStyle name="40% - Accent1 27 4" xfId="6703" xr:uid="{00000000-0005-0000-0000-000090110000}"/>
    <cellStyle name="40% - Accent1 27 5" xfId="8751" xr:uid="{00000000-0005-0000-0000-000091110000}"/>
    <cellStyle name="40% - Accent1 28" xfId="2068" xr:uid="{00000000-0005-0000-0000-000092110000}"/>
    <cellStyle name="40% - Accent1 28 2" xfId="2069" xr:uid="{00000000-0005-0000-0000-000093110000}"/>
    <cellStyle name="40% - Accent1 28 2 2" xfId="4589" xr:uid="{00000000-0005-0000-0000-000094110000}"/>
    <cellStyle name="40% - Accent1 28 2 3" xfId="6706" xr:uid="{00000000-0005-0000-0000-000095110000}"/>
    <cellStyle name="40% - Accent1 28 2 4" xfId="8754" xr:uid="{00000000-0005-0000-0000-000096110000}"/>
    <cellStyle name="40% - Accent1 28 3" xfId="4588" xr:uid="{00000000-0005-0000-0000-000097110000}"/>
    <cellStyle name="40% - Accent1 28 4" xfId="6705" xr:uid="{00000000-0005-0000-0000-000098110000}"/>
    <cellStyle name="40% - Accent1 28 5" xfId="8753" xr:uid="{00000000-0005-0000-0000-000099110000}"/>
    <cellStyle name="40% - Accent1 29" xfId="2070" xr:uid="{00000000-0005-0000-0000-00009A110000}"/>
    <cellStyle name="40% - Accent1 29 2" xfId="2071" xr:uid="{00000000-0005-0000-0000-00009B110000}"/>
    <cellStyle name="40% - Accent1 29 2 2" xfId="4591" xr:uid="{00000000-0005-0000-0000-00009C110000}"/>
    <cellStyle name="40% - Accent1 29 2 3" xfId="6708" xr:uid="{00000000-0005-0000-0000-00009D110000}"/>
    <cellStyle name="40% - Accent1 29 2 4" xfId="8756" xr:uid="{00000000-0005-0000-0000-00009E110000}"/>
    <cellStyle name="40% - Accent1 29 3" xfId="4590" xr:uid="{00000000-0005-0000-0000-00009F110000}"/>
    <cellStyle name="40% - Accent1 29 4" xfId="6707" xr:uid="{00000000-0005-0000-0000-0000A0110000}"/>
    <cellStyle name="40% - Accent1 29 5" xfId="8755" xr:uid="{00000000-0005-0000-0000-0000A1110000}"/>
    <cellStyle name="40% - Accent1 3" xfId="2072" xr:uid="{00000000-0005-0000-0000-0000A2110000}"/>
    <cellStyle name="40% - Accent1 3 2" xfId="2073" xr:uid="{00000000-0005-0000-0000-0000A3110000}"/>
    <cellStyle name="40% - Accent1 3 2 2" xfId="4592" xr:uid="{00000000-0005-0000-0000-0000A4110000}"/>
    <cellStyle name="40% - Accent1 3 2 3" xfId="6709" xr:uid="{00000000-0005-0000-0000-0000A5110000}"/>
    <cellStyle name="40% - Accent1 3 2 4" xfId="8757" xr:uid="{00000000-0005-0000-0000-0000A6110000}"/>
    <cellStyle name="40% - Accent1 3 3" xfId="2074" xr:uid="{00000000-0005-0000-0000-0000A7110000}"/>
    <cellStyle name="40% - Accent1 3 3 2" xfId="4593" xr:uid="{00000000-0005-0000-0000-0000A8110000}"/>
    <cellStyle name="40% - Accent1 3 3 3" xfId="6710" xr:uid="{00000000-0005-0000-0000-0000A9110000}"/>
    <cellStyle name="40% - Accent1 3 3 4" xfId="8758" xr:uid="{00000000-0005-0000-0000-0000AA110000}"/>
    <cellStyle name="40% - Accent1 3 4" xfId="2075" xr:uid="{00000000-0005-0000-0000-0000AB110000}"/>
    <cellStyle name="40% - Accent1 3 4 2" xfId="4594" xr:uid="{00000000-0005-0000-0000-0000AC110000}"/>
    <cellStyle name="40% - Accent1 3 4 3" xfId="6711" xr:uid="{00000000-0005-0000-0000-0000AD110000}"/>
    <cellStyle name="40% - Accent1 3 4 4" xfId="8759" xr:uid="{00000000-0005-0000-0000-0000AE110000}"/>
    <cellStyle name="40% - Accent1 3 5" xfId="2076" xr:uid="{00000000-0005-0000-0000-0000AF110000}"/>
    <cellStyle name="40% - Accent1 3 5 2" xfId="4595" xr:uid="{00000000-0005-0000-0000-0000B0110000}"/>
    <cellStyle name="40% - Accent1 3 5 3" xfId="6712" xr:uid="{00000000-0005-0000-0000-0000B1110000}"/>
    <cellStyle name="40% - Accent1 3 5 4" xfId="8760" xr:uid="{00000000-0005-0000-0000-0000B2110000}"/>
    <cellStyle name="40% - Accent1 3 6" xfId="2077" xr:uid="{00000000-0005-0000-0000-0000B3110000}"/>
    <cellStyle name="40% - Accent1 3 6 2" xfId="4596" xr:uid="{00000000-0005-0000-0000-0000B4110000}"/>
    <cellStyle name="40% - Accent1 3 6 3" xfId="6713" xr:uid="{00000000-0005-0000-0000-0000B5110000}"/>
    <cellStyle name="40% - Accent1 3 6 4" xfId="8761" xr:uid="{00000000-0005-0000-0000-0000B6110000}"/>
    <cellStyle name="40% - Accent1 3 7" xfId="2078" xr:uid="{00000000-0005-0000-0000-0000B7110000}"/>
    <cellStyle name="40% - Accent1 3 7 2" xfId="4597" xr:uid="{00000000-0005-0000-0000-0000B8110000}"/>
    <cellStyle name="40% - Accent1 3 7 3" xfId="6714" xr:uid="{00000000-0005-0000-0000-0000B9110000}"/>
    <cellStyle name="40% - Accent1 3 7 4" xfId="8762" xr:uid="{00000000-0005-0000-0000-0000BA110000}"/>
    <cellStyle name="40% - Accent1 30" xfId="2079" xr:uid="{00000000-0005-0000-0000-0000BB110000}"/>
    <cellStyle name="40% - Accent1 30 2" xfId="2080" xr:uid="{00000000-0005-0000-0000-0000BC110000}"/>
    <cellStyle name="40% - Accent1 30 2 2" xfId="4599" xr:uid="{00000000-0005-0000-0000-0000BD110000}"/>
    <cellStyle name="40% - Accent1 30 2 3" xfId="6716" xr:uid="{00000000-0005-0000-0000-0000BE110000}"/>
    <cellStyle name="40% - Accent1 30 2 4" xfId="8764" xr:uid="{00000000-0005-0000-0000-0000BF110000}"/>
    <cellStyle name="40% - Accent1 30 3" xfId="4598" xr:uid="{00000000-0005-0000-0000-0000C0110000}"/>
    <cellStyle name="40% - Accent1 30 4" xfId="6715" xr:uid="{00000000-0005-0000-0000-0000C1110000}"/>
    <cellStyle name="40% - Accent1 30 5" xfId="8763" xr:uid="{00000000-0005-0000-0000-0000C2110000}"/>
    <cellStyle name="40% - Accent1 31" xfId="2081" xr:uid="{00000000-0005-0000-0000-0000C3110000}"/>
    <cellStyle name="40% - Accent1 31 2" xfId="2082" xr:uid="{00000000-0005-0000-0000-0000C4110000}"/>
    <cellStyle name="40% - Accent1 31 2 2" xfId="4601" xr:uid="{00000000-0005-0000-0000-0000C5110000}"/>
    <cellStyle name="40% - Accent1 31 2 3" xfId="6718" xr:uid="{00000000-0005-0000-0000-0000C6110000}"/>
    <cellStyle name="40% - Accent1 31 2 4" xfId="8766" xr:uid="{00000000-0005-0000-0000-0000C7110000}"/>
    <cellStyle name="40% - Accent1 31 3" xfId="4600" xr:uid="{00000000-0005-0000-0000-0000C8110000}"/>
    <cellStyle name="40% - Accent1 31 4" xfId="6717" xr:uid="{00000000-0005-0000-0000-0000C9110000}"/>
    <cellStyle name="40% - Accent1 31 5" xfId="8765" xr:uid="{00000000-0005-0000-0000-0000CA110000}"/>
    <cellStyle name="40% - Accent1 32" xfId="2083" xr:uid="{00000000-0005-0000-0000-0000CB110000}"/>
    <cellStyle name="40% - Accent1 32 2" xfId="2084" xr:uid="{00000000-0005-0000-0000-0000CC110000}"/>
    <cellStyle name="40% - Accent1 32 2 2" xfId="4603" xr:uid="{00000000-0005-0000-0000-0000CD110000}"/>
    <cellStyle name="40% - Accent1 32 2 3" xfId="6720" xr:uid="{00000000-0005-0000-0000-0000CE110000}"/>
    <cellStyle name="40% - Accent1 32 2 4" xfId="8768" xr:uid="{00000000-0005-0000-0000-0000CF110000}"/>
    <cellStyle name="40% - Accent1 32 3" xfId="4602" xr:uid="{00000000-0005-0000-0000-0000D0110000}"/>
    <cellStyle name="40% - Accent1 32 4" xfId="6719" xr:uid="{00000000-0005-0000-0000-0000D1110000}"/>
    <cellStyle name="40% - Accent1 32 5" xfId="8767" xr:uid="{00000000-0005-0000-0000-0000D2110000}"/>
    <cellStyle name="40% - Accent1 33" xfId="2085" xr:uid="{00000000-0005-0000-0000-0000D3110000}"/>
    <cellStyle name="40% - Accent1 33 2" xfId="4604" xr:uid="{00000000-0005-0000-0000-0000D4110000}"/>
    <cellStyle name="40% - Accent1 33 3" xfId="6721" xr:uid="{00000000-0005-0000-0000-0000D5110000}"/>
    <cellStyle name="40% - Accent1 33 4" xfId="8769" xr:uid="{00000000-0005-0000-0000-0000D6110000}"/>
    <cellStyle name="40% - Accent1 34" xfId="2086" xr:uid="{00000000-0005-0000-0000-0000D7110000}"/>
    <cellStyle name="40% - Accent1 34 2" xfId="4605" xr:uid="{00000000-0005-0000-0000-0000D8110000}"/>
    <cellStyle name="40% - Accent1 34 3" xfId="6722" xr:uid="{00000000-0005-0000-0000-0000D9110000}"/>
    <cellStyle name="40% - Accent1 34 4" xfId="8770" xr:uid="{00000000-0005-0000-0000-0000DA110000}"/>
    <cellStyle name="40% - Accent1 35" xfId="2087" xr:uid="{00000000-0005-0000-0000-0000DB110000}"/>
    <cellStyle name="40% - Accent1 35 2" xfId="4606" xr:uid="{00000000-0005-0000-0000-0000DC110000}"/>
    <cellStyle name="40% - Accent1 35 3" xfId="6723" xr:uid="{00000000-0005-0000-0000-0000DD110000}"/>
    <cellStyle name="40% - Accent1 35 4" xfId="8771" xr:uid="{00000000-0005-0000-0000-0000DE110000}"/>
    <cellStyle name="40% - Accent1 36" xfId="2088" xr:uid="{00000000-0005-0000-0000-0000DF110000}"/>
    <cellStyle name="40% - Accent1 36 2" xfId="4607" xr:uid="{00000000-0005-0000-0000-0000E0110000}"/>
    <cellStyle name="40% - Accent1 36 3" xfId="6724" xr:uid="{00000000-0005-0000-0000-0000E1110000}"/>
    <cellStyle name="40% - Accent1 36 4" xfId="8772" xr:uid="{00000000-0005-0000-0000-0000E2110000}"/>
    <cellStyle name="40% - Accent1 37" xfId="2089" xr:uid="{00000000-0005-0000-0000-0000E3110000}"/>
    <cellStyle name="40% - Accent1 37 2" xfId="4608" xr:uid="{00000000-0005-0000-0000-0000E4110000}"/>
    <cellStyle name="40% - Accent1 37 3" xfId="6725" xr:uid="{00000000-0005-0000-0000-0000E5110000}"/>
    <cellStyle name="40% - Accent1 37 4" xfId="8773" xr:uid="{00000000-0005-0000-0000-0000E6110000}"/>
    <cellStyle name="40% - Accent1 38" xfId="2090" xr:uid="{00000000-0005-0000-0000-0000E7110000}"/>
    <cellStyle name="40% - Accent1 38 2" xfId="4609" xr:uid="{00000000-0005-0000-0000-0000E8110000}"/>
    <cellStyle name="40% - Accent1 38 3" xfId="6726" xr:uid="{00000000-0005-0000-0000-0000E9110000}"/>
    <cellStyle name="40% - Accent1 38 4" xfId="8774" xr:uid="{00000000-0005-0000-0000-0000EA110000}"/>
    <cellStyle name="40% - Accent1 39" xfId="2091" xr:uid="{00000000-0005-0000-0000-0000EB110000}"/>
    <cellStyle name="40% - Accent1 39 2" xfId="4610" xr:uid="{00000000-0005-0000-0000-0000EC110000}"/>
    <cellStyle name="40% - Accent1 39 3" xfId="6727" xr:uid="{00000000-0005-0000-0000-0000ED110000}"/>
    <cellStyle name="40% - Accent1 39 4" xfId="8775" xr:uid="{00000000-0005-0000-0000-0000EE110000}"/>
    <cellStyle name="40% - Accent1 4" xfId="2092" xr:uid="{00000000-0005-0000-0000-0000EF110000}"/>
    <cellStyle name="40% - Accent1 4 2" xfId="2093" xr:uid="{00000000-0005-0000-0000-0000F0110000}"/>
    <cellStyle name="40% - Accent1 4 2 2" xfId="4611" xr:uid="{00000000-0005-0000-0000-0000F1110000}"/>
    <cellStyle name="40% - Accent1 4 2 3" xfId="6728" xr:uid="{00000000-0005-0000-0000-0000F2110000}"/>
    <cellStyle name="40% - Accent1 4 2 4" xfId="8776" xr:uid="{00000000-0005-0000-0000-0000F3110000}"/>
    <cellStyle name="40% - Accent1 4 3" xfId="2094" xr:uid="{00000000-0005-0000-0000-0000F4110000}"/>
    <cellStyle name="40% - Accent1 4 3 2" xfId="4612" xr:uid="{00000000-0005-0000-0000-0000F5110000}"/>
    <cellStyle name="40% - Accent1 4 3 3" xfId="6729" xr:uid="{00000000-0005-0000-0000-0000F6110000}"/>
    <cellStyle name="40% - Accent1 4 3 4" xfId="8777" xr:uid="{00000000-0005-0000-0000-0000F7110000}"/>
    <cellStyle name="40% - Accent1 4 4" xfId="2095" xr:uid="{00000000-0005-0000-0000-0000F8110000}"/>
    <cellStyle name="40% - Accent1 4 4 2" xfId="4613" xr:uid="{00000000-0005-0000-0000-0000F9110000}"/>
    <cellStyle name="40% - Accent1 4 4 3" xfId="6730" xr:uid="{00000000-0005-0000-0000-0000FA110000}"/>
    <cellStyle name="40% - Accent1 4 4 4" xfId="8778" xr:uid="{00000000-0005-0000-0000-0000FB110000}"/>
    <cellStyle name="40% - Accent1 4 5" xfId="2096" xr:uid="{00000000-0005-0000-0000-0000FC110000}"/>
    <cellStyle name="40% - Accent1 4 5 2" xfId="4614" xr:uid="{00000000-0005-0000-0000-0000FD110000}"/>
    <cellStyle name="40% - Accent1 4 5 3" xfId="6731" xr:uid="{00000000-0005-0000-0000-0000FE110000}"/>
    <cellStyle name="40% - Accent1 4 5 4" xfId="8779" xr:uid="{00000000-0005-0000-0000-0000FF110000}"/>
    <cellStyle name="40% - Accent1 4 6" xfId="2097" xr:uid="{00000000-0005-0000-0000-000000120000}"/>
    <cellStyle name="40% - Accent1 4 6 2" xfId="4615" xr:uid="{00000000-0005-0000-0000-000001120000}"/>
    <cellStyle name="40% - Accent1 4 6 3" xfId="6732" xr:uid="{00000000-0005-0000-0000-000002120000}"/>
    <cellStyle name="40% - Accent1 4 6 4" xfId="8780" xr:uid="{00000000-0005-0000-0000-000003120000}"/>
    <cellStyle name="40% - Accent1 4 7" xfId="2098" xr:uid="{00000000-0005-0000-0000-000004120000}"/>
    <cellStyle name="40% - Accent1 4 7 2" xfId="4616" xr:uid="{00000000-0005-0000-0000-000005120000}"/>
    <cellStyle name="40% - Accent1 4 7 3" xfId="6733" xr:uid="{00000000-0005-0000-0000-000006120000}"/>
    <cellStyle name="40% - Accent1 4 7 4" xfId="8781" xr:uid="{00000000-0005-0000-0000-000007120000}"/>
    <cellStyle name="40% - Accent1 40" xfId="2099" xr:uid="{00000000-0005-0000-0000-000008120000}"/>
    <cellStyle name="40% - Accent1 40 2" xfId="4617" xr:uid="{00000000-0005-0000-0000-000009120000}"/>
    <cellStyle name="40% - Accent1 40 3" xfId="6734" xr:uid="{00000000-0005-0000-0000-00000A120000}"/>
    <cellStyle name="40% - Accent1 40 4" xfId="8782" xr:uid="{00000000-0005-0000-0000-00000B120000}"/>
    <cellStyle name="40% - Accent1 41" xfId="2100" xr:uid="{00000000-0005-0000-0000-00000C120000}"/>
    <cellStyle name="40% - Accent1 41 2" xfId="4618" xr:uid="{00000000-0005-0000-0000-00000D120000}"/>
    <cellStyle name="40% - Accent1 41 3" xfId="6735" xr:uid="{00000000-0005-0000-0000-00000E120000}"/>
    <cellStyle name="40% - Accent1 41 4" xfId="8783" xr:uid="{00000000-0005-0000-0000-00000F120000}"/>
    <cellStyle name="40% - Accent1 42" xfId="2101" xr:uid="{00000000-0005-0000-0000-000010120000}"/>
    <cellStyle name="40% - Accent1 42 2" xfId="4619" xr:uid="{00000000-0005-0000-0000-000011120000}"/>
    <cellStyle name="40% - Accent1 42 3" xfId="6736" xr:uid="{00000000-0005-0000-0000-000012120000}"/>
    <cellStyle name="40% - Accent1 42 4" xfId="8784" xr:uid="{00000000-0005-0000-0000-000013120000}"/>
    <cellStyle name="40% - Accent1 43" xfId="2102" xr:uid="{00000000-0005-0000-0000-000014120000}"/>
    <cellStyle name="40% - Accent1 43 2" xfId="4620" xr:uid="{00000000-0005-0000-0000-000015120000}"/>
    <cellStyle name="40% - Accent1 43 3" xfId="6737" xr:uid="{00000000-0005-0000-0000-000016120000}"/>
    <cellStyle name="40% - Accent1 43 4" xfId="8785" xr:uid="{00000000-0005-0000-0000-000017120000}"/>
    <cellStyle name="40% - Accent1 44" xfId="2103" xr:uid="{00000000-0005-0000-0000-000018120000}"/>
    <cellStyle name="40% - Accent1 44 2" xfId="4621" xr:uid="{00000000-0005-0000-0000-000019120000}"/>
    <cellStyle name="40% - Accent1 44 3" xfId="6738" xr:uid="{00000000-0005-0000-0000-00001A120000}"/>
    <cellStyle name="40% - Accent1 44 4" xfId="8786" xr:uid="{00000000-0005-0000-0000-00001B120000}"/>
    <cellStyle name="40% - Accent1 45" xfId="2104" xr:uid="{00000000-0005-0000-0000-00001C120000}"/>
    <cellStyle name="40% - Accent1 45 2" xfId="4622" xr:uid="{00000000-0005-0000-0000-00001D120000}"/>
    <cellStyle name="40% - Accent1 45 3" xfId="6739" xr:uid="{00000000-0005-0000-0000-00001E120000}"/>
    <cellStyle name="40% - Accent1 45 4" xfId="8787" xr:uid="{00000000-0005-0000-0000-00001F120000}"/>
    <cellStyle name="40% - Accent1 46" xfId="2105" xr:uid="{00000000-0005-0000-0000-000020120000}"/>
    <cellStyle name="40% - Accent1 46 2" xfId="4623" xr:uid="{00000000-0005-0000-0000-000021120000}"/>
    <cellStyle name="40% - Accent1 46 3" xfId="6740" xr:uid="{00000000-0005-0000-0000-000022120000}"/>
    <cellStyle name="40% - Accent1 46 4" xfId="8788" xr:uid="{00000000-0005-0000-0000-000023120000}"/>
    <cellStyle name="40% - Accent1 47" xfId="2106" xr:uid="{00000000-0005-0000-0000-000024120000}"/>
    <cellStyle name="40% - Accent1 47 2" xfId="4624" xr:uid="{00000000-0005-0000-0000-000025120000}"/>
    <cellStyle name="40% - Accent1 47 3" xfId="6741" xr:uid="{00000000-0005-0000-0000-000026120000}"/>
    <cellStyle name="40% - Accent1 47 4" xfId="8789" xr:uid="{00000000-0005-0000-0000-000027120000}"/>
    <cellStyle name="40% - Accent1 48" xfId="2107" xr:uid="{00000000-0005-0000-0000-000028120000}"/>
    <cellStyle name="40% - Accent1 48 2" xfId="4625" xr:uid="{00000000-0005-0000-0000-000029120000}"/>
    <cellStyle name="40% - Accent1 48 3" xfId="6742" xr:uid="{00000000-0005-0000-0000-00002A120000}"/>
    <cellStyle name="40% - Accent1 48 4" xfId="8790" xr:uid="{00000000-0005-0000-0000-00002B120000}"/>
    <cellStyle name="40% - Accent1 49" xfId="2108" xr:uid="{00000000-0005-0000-0000-00002C120000}"/>
    <cellStyle name="40% - Accent1 49 2" xfId="4626" xr:uid="{00000000-0005-0000-0000-00002D120000}"/>
    <cellStyle name="40% - Accent1 49 3" xfId="6743" xr:uid="{00000000-0005-0000-0000-00002E120000}"/>
    <cellStyle name="40% - Accent1 49 4" xfId="8791" xr:uid="{00000000-0005-0000-0000-00002F120000}"/>
    <cellStyle name="40% - Accent1 5" xfId="2109" xr:uid="{00000000-0005-0000-0000-000030120000}"/>
    <cellStyle name="40% - Accent1 5 2" xfId="2110" xr:uid="{00000000-0005-0000-0000-000031120000}"/>
    <cellStyle name="40% - Accent1 5 2 2" xfId="4627" xr:uid="{00000000-0005-0000-0000-000032120000}"/>
    <cellStyle name="40% - Accent1 5 2 3" xfId="6744" xr:uid="{00000000-0005-0000-0000-000033120000}"/>
    <cellStyle name="40% - Accent1 5 2 4" xfId="8792" xr:uid="{00000000-0005-0000-0000-000034120000}"/>
    <cellStyle name="40% - Accent1 5 3" xfId="2111" xr:uid="{00000000-0005-0000-0000-000035120000}"/>
    <cellStyle name="40% - Accent1 5 3 2" xfId="4628" xr:uid="{00000000-0005-0000-0000-000036120000}"/>
    <cellStyle name="40% - Accent1 5 3 3" xfId="6745" xr:uid="{00000000-0005-0000-0000-000037120000}"/>
    <cellStyle name="40% - Accent1 5 3 4" xfId="8793" xr:uid="{00000000-0005-0000-0000-000038120000}"/>
    <cellStyle name="40% - Accent1 5 4" xfId="2112" xr:uid="{00000000-0005-0000-0000-000039120000}"/>
    <cellStyle name="40% - Accent1 5 4 2" xfId="4629" xr:uid="{00000000-0005-0000-0000-00003A120000}"/>
    <cellStyle name="40% - Accent1 5 4 3" xfId="6746" xr:uid="{00000000-0005-0000-0000-00003B120000}"/>
    <cellStyle name="40% - Accent1 5 4 4" xfId="8794" xr:uid="{00000000-0005-0000-0000-00003C120000}"/>
    <cellStyle name="40% - Accent1 5 5" xfId="2113" xr:uid="{00000000-0005-0000-0000-00003D120000}"/>
    <cellStyle name="40% - Accent1 5 5 2" xfId="4630" xr:uid="{00000000-0005-0000-0000-00003E120000}"/>
    <cellStyle name="40% - Accent1 5 5 3" xfId="6747" xr:uid="{00000000-0005-0000-0000-00003F120000}"/>
    <cellStyle name="40% - Accent1 5 5 4" xfId="8795" xr:uid="{00000000-0005-0000-0000-000040120000}"/>
    <cellStyle name="40% - Accent1 5 6" xfId="2114" xr:uid="{00000000-0005-0000-0000-000041120000}"/>
    <cellStyle name="40% - Accent1 5 6 2" xfId="4631" xr:uid="{00000000-0005-0000-0000-000042120000}"/>
    <cellStyle name="40% - Accent1 5 6 3" xfId="6748" xr:uid="{00000000-0005-0000-0000-000043120000}"/>
    <cellStyle name="40% - Accent1 5 6 4" xfId="8796" xr:uid="{00000000-0005-0000-0000-000044120000}"/>
    <cellStyle name="40% - Accent1 5 7" xfId="2115" xr:uid="{00000000-0005-0000-0000-000045120000}"/>
    <cellStyle name="40% - Accent1 5 7 2" xfId="4632" xr:uid="{00000000-0005-0000-0000-000046120000}"/>
    <cellStyle name="40% - Accent1 5 7 3" xfId="6749" xr:uid="{00000000-0005-0000-0000-000047120000}"/>
    <cellStyle name="40% - Accent1 5 7 4" xfId="8797" xr:uid="{00000000-0005-0000-0000-000048120000}"/>
    <cellStyle name="40% - Accent1 50" xfId="2116" xr:uid="{00000000-0005-0000-0000-000049120000}"/>
    <cellStyle name="40% - Accent1 50 2" xfId="4633" xr:uid="{00000000-0005-0000-0000-00004A120000}"/>
    <cellStyle name="40% - Accent1 50 3" xfId="6750" xr:uid="{00000000-0005-0000-0000-00004B120000}"/>
    <cellStyle name="40% - Accent1 50 4" xfId="8798" xr:uid="{00000000-0005-0000-0000-00004C120000}"/>
    <cellStyle name="40% - Accent1 6" xfId="2117" xr:uid="{00000000-0005-0000-0000-00004D120000}"/>
    <cellStyle name="40% - Accent1 6 2" xfId="2118" xr:uid="{00000000-0005-0000-0000-00004E120000}"/>
    <cellStyle name="40% - Accent1 6 2 2" xfId="4634" xr:uid="{00000000-0005-0000-0000-00004F120000}"/>
    <cellStyle name="40% - Accent1 6 2 3" xfId="6751" xr:uid="{00000000-0005-0000-0000-000050120000}"/>
    <cellStyle name="40% - Accent1 6 2 4" xfId="8799" xr:uid="{00000000-0005-0000-0000-000051120000}"/>
    <cellStyle name="40% - Accent1 6 3" xfId="2119" xr:uid="{00000000-0005-0000-0000-000052120000}"/>
    <cellStyle name="40% - Accent1 6 3 2" xfId="4635" xr:uid="{00000000-0005-0000-0000-000053120000}"/>
    <cellStyle name="40% - Accent1 6 3 3" xfId="6752" xr:uid="{00000000-0005-0000-0000-000054120000}"/>
    <cellStyle name="40% - Accent1 6 3 4" xfId="8800" xr:uid="{00000000-0005-0000-0000-000055120000}"/>
    <cellStyle name="40% - Accent1 6 4" xfId="2120" xr:uid="{00000000-0005-0000-0000-000056120000}"/>
    <cellStyle name="40% - Accent1 6 4 2" xfId="4636" xr:uid="{00000000-0005-0000-0000-000057120000}"/>
    <cellStyle name="40% - Accent1 6 4 3" xfId="6753" xr:uid="{00000000-0005-0000-0000-000058120000}"/>
    <cellStyle name="40% - Accent1 6 4 4" xfId="8801" xr:uid="{00000000-0005-0000-0000-000059120000}"/>
    <cellStyle name="40% - Accent1 6 5" xfId="2121" xr:uid="{00000000-0005-0000-0000-00005A120000}"/>
    <cellStyle name="40% - Accent1 6 5 2" xfId="4637" xr:uid="{00000000-0005-0000-0000-00005B120000}"/>
    <cellStyle name="40% - Accent1 6 5 3" xfId="6754" xr:uid="{00000000-0005-0000-0000-00005C120000}"/>
    <cellStyle name="40% - Accent1 6 5 4" xfId="8802" xr:uid="{00000000-0005-0000-0000-00005D120000}"/>
    <cellStyle name="40% - Accent1 6 6" xfId="2122" xr:uid="{00000000-0005-0000-0000-00005E120000}"/>
    <cellStyle name="40% - Accent1 6 6 2" xfId="4638" xr:uid="{00000000-0005-0000-0000-00005F120000}"/>
    <cellStyle name="40% - Accent1 6 6 3" xfId="6755" xr:uid="{00000000-0005-0000-0000-000060120000}"/>
    <cellStyle name="40% - Accent1 6 6 4" xfId="8803" xr:uid="{00000000-0005-0000-0000-000061120000}"/>
    <cellStyle name="40% - Accent1 6 7" xfId="2123" xr:uid="{00000000-0005-0000-0000-000062120000}"/>
    <cellStyle name="40% - Accent1 6 7 2" xfId="4639" xr:uid="{00000000-0005-0000-0000-000063120000}"/>
    <cellStyle name="40% - Accent1 6 7 3" xfId="6756" xr:uid="{00000000-0005-0000-0000-000064120000}"/>
    <cellStyle name="40% - Accent1 6 7 4" xfId="8804" xr:uid="{00000000-0005-0000-0000-000065120000}"/>
    <cellStyle name="40% - Accent1 7" xfId="2124" xr:uid="{00000000-0005-0000-0000-000066120000}"/>
    <cellStyle name="40% - Accent1 7 10" xfId="8805" xr:uid="{00000000-0005-0000-0000-000067120000}"/>
    <cellStyle name="40% - Accent1 7 2" xfId="2125" xr:uid="{00000000-0005-0000-0000-000068120000}"/>
    <cellStyle name="40% - Accent1 7 2 2" xfId="4641" xr:uid="{00000000-0005-0000-0000-000069120000}"/>
    <cellStyle name="40% - Accent1 7 2 3" xfId="6758" xr:uid="{00000000-0005-0000-0000-00006A120000}"/>
    <cellStyle name="40% - Accent1 7 2 4" xfId="8806" xr:uid="{00000000-0005-0000-0000-00006B120000}"/>
    <cellStyle name="40% - Accent1 7 3" xfId="2126" xr:uid="{00000000-0005-0000-0000-00006C120000}"/>
    <cellStyle name="40% - Accent1 7 3 2" xfId="4642" xr:uid="{00000000-0005-0000-0000-00006D120000}"/>
    <cellStyle name="40% - Accent1 7 3 3" xfId="6759" xr:uid="{00000000-0005-0000-0000-00006E120000}"/>
    <cellStyle name="40% - Accent1 7 3 4" xfId="8807" xr:uid="{00000000-0005-0000-0000-00006F120000}"/>
    <cellStyle name="40% - Accent1 7 4" xfId="2127" xr:uid="{00000000-0005-0000-0000-000070120000}"/>
    <cellStyle name="40% - Accent1 7 4 2" xfId="4643" xr:uid="{00000000-0005-0000-0000-000071120000}"/>
    <cellStyle name="40% - Accent1 7 4 3" xfId="6760" xr:uid="{00000000-0005-0000-0000-000072120000}"/>
    <cellStyle name="40% - Accent1 7 4 4" xfId="8808" xr:uid="{00000000-0005-0000-0000-000073120000}"/>
    <cellStyle name="40% - Accent1 7 5" xfId="2128" xr:uid="{00000000-0005-0000-0000-000074120000}"/>
    <cellStyle name="40% - Accent1 7 5 2" xfId="4644" xr:uid="{00000000-0005-0000-0000-000075120000}"/>
    <cellStyle name="40% - Accent1 7 5 3" xfId="6761" xr:uid="{00000000-0005-0000-0000-000076120000}"/>
    <cellStyle name="40% - Accent1 7 5 4" xfId="8809" xr:uid="{00000000-0005-0000-0000-000077120000}"/>
    <cellStyle name="40% - Accent1 7 6" xfId="2129" xr:uid="{00000000-0005-0000-0000-000078120000}"/>
    <cellStyle name="40% - Accent1 7 6 2" xfId="4645" xr:uid="{00000000-0005-0000-0000-000079120000}"/>
    <cellStyle name="40% - Accent1 7 6 3" xfId="6762" xr:uid="{00000000-0005-0000-0000-00007A120000}"/>
    <cellStyle name="40% - Accent1 7 6 4" xfId="8810" xr:uid="{00000000-0005-0000-0000-00007B120000}"/>
    <cellStyle name="40% - Accent1 7 7" xfId="2130" xr:uid="{00000000-0005-0000-0000-00007C120000}"/>
    <cellStyle name="40% - Accent1 7 7 2" xfId="4646" xr:uid="{00000000-0005-0000-0000-00007D120000}"/>
    <cellStyle name="40% - Accent1 7 7 3" xfId="6763" xr:uid="{00000000-0005-0000-0000-00007E120000}"/>
    <cellStyle name="40% - Accent1 7 7 4" xfId="8811" xr:uid="{00000000-0005-0000-0000-00007F120000}"/>
    <cellStyle name="40% - Accent1 7 8" xfId="4640" xr:uid="{00000000-0005-0000-0000-000080120000}"/>
    <cellStyle name="40% - Accent1 7 9" xfId="6757" xr:uid="{00000000-0005-0000-0000-000081120000}"/>
    <cellStyle name="40% - Accent1 8" xfId="2131" xr:uid="{00000000-0005-0000-0000-000082120000}"/>
    <cellStyle name="40% - Accent1 8 10" xfId="8812" xr:uid="{00000000-0005-0000-0000-000083120000}"/>
    <cellStyle name="40% - Accent1 8 2" xfId="2132" xr:uid="{00000000-0005-0000-0000-000084120000}"/>
    <cellStyle name="40% - Accent1 8 2 2" xfId="4648" xr:uid="{00000000-0005-0000-0000-000085120000}"/>
    <cellStyle name="40% - Accent1 8 2 3" xfId="6765" xr:uid="{00000000-0005-0000-0000-000086120000}"/>
    <cellStyle name="40% - Accent1 8 2 4" xfId="8813" xr:uid="{00000000-0005-0000-0000-000087120000}"/>
    <cellStyle name="40% - Accent1 8 3" xfId="2133" xr:uid="{00000000-0005-0000-0000-000088120000}"/>
    <cellStyle name="40% - Accent1 8 3 2" xfId="4649" xr:uid="{00000000-0005-0000-0000-000089120000}"/>
    <cellStyle name="40% - Accent1 8 3 3" xfId="6766" xr:uid="{00000000-0005-0000-0000-00008A120000}"/>
    <cellStyle name="40% - Accent1 8 3 4" xfId="8814" xr:uid="{00000000-0005-0000-0000-00008B120000}"/>
    <cellStyle name="40% - Accent1 8 4" xfId="2134" xr:uid="{00000000-0005-0000-0000-00008C120000}"/>
    <cellStyle name="40% - Accent1 8 4 2" xfId="4650" xr:uid="{00000000-0005-0000-0000-00008D120000}"/>
    <cellStyle name="40% - Accent1 8 4 3" xfId="6767" xr:uid="{00000000-0005-0000-0000-00008E120000}"/>
    <cellStyle name="40% - Accent1 8 4 4" xfId="8815" xr:uid="{00000000-0005-0000-0000-00008F120000}"/>
    <cellStyle name="40% - Accent1 8 5" xfId="2135" xr:uid="{00000000-0005-0000-0000-000090120000}"/>
    <cellStyle name="40% - Accent1 8 5 2" xfId="4651" xr:uid="{00000000-0005-0000-0000-000091120000}"/>
    <cellStyle name="40% - Accent1 8 5 3" xfId="6768" xr:uid="{00000000-0005-0000-0000-000092120000}"/>
    <cellStyle name="40% - Accent1 8 5 4" xfId="8816" xr:uid="{00000000-0005-0000-0000-000093120000}"/>
    <cellStyle name="40% - Accent1 8 6" xfId="2136" xr:uid="{00000000-0005-0000-0000-000094120000}"/>
    <cellStyle name="40% - Accent1 8 6 2" xfId="4652" xr:uid="{00000000-0005-0000-0000-000095120000}"/>
    <cellStyle name="40% - Accent1 8 6 3" xfId="6769" xr:uid="{00000000-0005-0000-0000-000096120000}"/>
    <cellStyle name="40% - Accent1 8 6 4" xfId="8817" xr:uid="{00000000-0005-0000-0000-000097120000}"/>
    <cellStyle name="40% - Accent1 8 7" xfId="2137" xr:uid="{00000000-0005-0000-0000-000098120000}"/>
    <cellStyle name="40% - Accent1 8 7 2" xfId="4653" xr:uid="{00000000-0005-0000-0000-000099120000}"/>
    <cellStyle name="40% - Accent1 8 7 3" xfId="6770" xr:uid="{00000000-0005-0000-0000-00009A120000}"/>
    <cellStyle name="40% - Accent1 8 7 4" xfId="8818" xr:uid="{00000000-0005-0000-0000-00009B120000}"/>
    <cellStyle name="40% - Accent1 8 8" xfId="4647" xr:uid="{00000000-0005-0000-0000-00009C120000}"/>
    <cellStyle name="40% - Accent1 8 9" xfId="6764" xr:uid="{00000000-0005-0000-0000-00009D120000}"/>
    <cellStyle name="40% - Accent1 9" xfId="2138" xr:uid="{00000000-0005-0000-0000-00009E120000}"/>
    <cellStyle name="40% - Accent1 9 10" xfId="8819" xr:uid="{00000000-0005-0000-0000-00009F120000}"/>
    <cellStyle name="40% - Accent1 9 2" xfId="2139" xr:uid="{00000000-0005-0000-0000-0000A0120000}"/>
    <cellStyle name="40% - Accent1 9 2 2" xfId="4655" xr:uid="{00000000-0005-0000-0000-0000A1120000}"/>
    <cellStyle name="40% - Accent1 9 2 3" xfId="6772" xr:uid="{00000000-0005-0000-0000-0000A2120000}"/>
    <cellStyle name="40% - Accent1 9 2 4" xfId="8820" xr:uid="{00000000-0005-0000-0000-0000A3120000}"/>
    <cellStyle name="40% - Accent1 9 3" xfId="2140" xr:uid="{00000000-0005-0000-0000-0000A4120000}"/>
    <cellStyle name="40% - Accent1 9 3 2" xfId="4656" xr:uid="{00000000-0005-0000-0000-0000A5120000}"/>
    <cellStyle name="40% - Accent1 9 3 3" xfId="6773" xr:uid="{00000000-0005-0000-0000-0000A6120000}"/>
    <cellStyle name="40% - Accent1 9 3 4" xfId="8821" xr:uid="{00000000-0005-0000-0000-0000A7120000}"/>
    <cellStyle name="40% - Accent1 9 4" xfId="2141" xr:uid="{00000000-0005-0000-0000-0000A8120000}"/>
    <cellStyle name="40% - Accent1 9 4 2" xfId="4657" xr:uid="{00000000-0005-0000-0000-0000A9120000}"/>
    <cellStyle name="40% - Accent1 9 4 3" xfId="6774" xr:uid="{00000000-0005-0000-0000-0000AA120000}"/>
    <cellStyle name="40% - Accent1 9 4 4" xfId="8822" xr:uid="{00000000-0005-0000-0000-0000AB120000}"/>
    <cellStyle name="40% - Accent1 9 5" xfId="2142" xr:uid="{00000000-0005-0000-0000-0000AC120000}"/>
    <cellStyle name="40% - Accent1 9 5 2" xfId="4658" xr:uid="{00000000-0005-0000-0000-0000AD120000}"/>
    <cellStyle name="40% - Accent1 9 5 3" xfId="6775" xr:uid="{00000000-0005-0000-0000-0000AE120000}"/>
    <cellStyle name="40% - Accent1 9 5 4" xfId="8823" xr:uid="{00000000-0005-0000-0000-0000AF120000}"/>
    <cellStyle name="40% - Accent1 9 6" xfId="2143" xr:uid="{00000000-0005-0000-0000-0000B0120000}"/>
    <cellStyle name="40% - Accent1 9 6 2" xfId="4659" xr:uid="{00000000-0005-0000-0000-0000B1120000}"/>
    <cellStyle name="40% - Accent1 9 6 3" xfId="6776" xr:uid="{00000000-0005-0000-0000-0000B2120000}"/>
    <cellStyle name="40% - Accent1 9 6 4" xfId="8824" xr:uid="{00000000-0005-0000-0000-0000B3120000}"/>
    <cellStyle name="40% - Accent1 9 7" xfId="2144" xr:uid="{00000000-0005-0000-0000-0000B4120000}"/>
    <cellStyle name="40% - Accent1 9 7 2" xfId="4660" xr:uid="{00000000-0005-0000-0000-0000B5120000}"/>
    <cellStyle name="40% - Accent1 9 7 3" xfId="6777" xr:uid="{00000000-0005-0000-0000-0000B6120000}"/>
    <cellStyle name="40% - Accent1 9 7 4" xfId="8825" xr:uid="{00000000-0005-0000-0000-0000B7120000}"/>
    <cellStyle name="40% - Accent1 9 8" xfId="4654" xr:uid="{00000000-0005-0000-0000-0000B8120000}"/>
    <cellStyle name="40% - Accent1 9 9" xfId="6771" xr:uid="{00000000-0005-0000-0000-0000B9120000}"/>
    <cellStyle name="40% - Accent2 10" xfId="2145" xr:uid="{00000000-0005-0000-0000-0000BA120000}"/>
    <cellStyle name="40% - Accent2 10 10" xfId="8826" xr:uid="{00000000-0005-0000-0000-0000BB120000}"/>
    <cellStyle name="40% - Accent2 10 2" xfId="2146" xr:uid="{00000000-0005-0000-0000-0000BC120000}"/>
    <cellStyle name="40% - Accent2 10 2 2" xfId="4662" xr:uid="{00000000-0005-0000-0000-0000BD120000}"/>
    <cellStyle name="40% - Accent2 10 2 3" xfId="6779" xr:uid="{00000000-0005-0000-0000-0000BE120000}"/>
    <cellStyle name="40% - Accent2 10 2 4" xfId="8827" xr:uid="{00000000-0005-0000-0000-0000BF120000}"/>
    <cellStyle name="40% - Accent2 10 3" xfId="2147" xr:uid="{00000000-0005-0000-0000-0000C0120000}"/>
    <cellStyle name="40% - Accent2 10 3 2" xfId="4663" xr:uid="{00000000-0005-0000-0000-0000C1120000}"/>
    <cellStyle name="40% - Accent2 10 3 3" xfId="6780" xr:uid="{00000000-0005-0000-0000-0000C2120000}"/>
    <cellStyle name="40% - Accent2 10 3 4" xfId="8828" xr:uid="{00000000-0005-0000-0000-0000C3120000}"/>
    <cellStyle name="40% - Accent2 10 4" xfId="2148" xr:uid="{00000000-0005-0000-0000-0000C4120000}"/>
    <cellStyle name="40% - Accent2 10 4 2" xfId="4664" xr:uid="{00000000-0005-0000-0000-0000C5120000}"/>
    <cellStyle name="40% - Accent2 10 4 3" xfId="6781" xr:uid="{00000000-0005-0000-0000-0000C6120000}"/>
    <cellStyle name="40% - Accent2 10 4 4" xfId="8829" xr:uid="{00000000-0005-0000-0000-0000C7120000}"/>
    <cellStyle name="40% - Accent2 10 5" xfId="2149" xr:uid="{00000000-0005-0000-0000-0000C8120000}"/>
    <cellStyle name="40% - Accent2 10 5 2" xfId="4665" xr:uid="{00000000-0005-0000-0000-0000C9120000}"/>
    <cellStyle name="40% - Accent2 10 5 3" xfId="6782" xr:uid="{00000000-0005-0000-0000-0000CA120000}"/>
    <cellStyle name="40% - Accent2 10 5 4" xfId="8830" xr:uid="{00000000-0005-0000-0000-0000CB120000}"/>
    <cellStyle name="40% - Accent2 10 6" xfId="2150" xr:uid="{00000000-0005-0000-0000-0000CC120000}"/>
    <cellStyle name="40% - Accent2 10 6 2" xfId="4666" xr:uid="{00000000-0005-0000-0000-0000CD120000}"/>
    <cellStyle name="40% - Accent2 10 6 3" xfId="6783" xr:uid="{00000000-0005-0000-0000-0000CE120000}"/>
    <cellStyle name="40% - Accent2 10 6 4" xfId="8831" xr:uid="{00000000-0005-0000-0000-0000CF120000}"/>
    <cellStyle name="40% - Accent2 10 7" xfId="2151" xr:uid="{00000000-0005-0000-0000-0000D0120000}"/>
    <cellStyle name="40% - Accent2 10 7 2" xfId="4667" xr:uid="{00000000-0005-0000-0000-0000D1120000}"/>
    <cellStyle name="40% - Accent2 10 7 3" xfId="6784" xr:uid="{00000000-0005-0000-0000-0000D2120000}"/>
    <cellStyle name="40% - Accent2 10 7 4" xfId="8832" xr:uid="{00000000-0005-0000-0000-0000D3120000}"/>
    <cellStyle name="40% - Accent2 10 8" xfId="4661" xr:uid="{00000000-0005-0000-0000-0000D4120000}"/>
    <cellStyle name="40% - Accent2 10 9" xfId="6778" xr:uid="{00000000-0005-0000-0000-0000D5120000}"/>
    <cellStyle name="40% - Accent2 11" xfId="2152" xr:uid="{00000000-0005-0000-0000-0000D6120000}"/>
    <cellStyle name="40% - Accent2 11 2" xfId="2153" xr:uid="{00000000-0005-0000-0000-0000D7120000}"/>
    <cellStyle name="40% - Accent2 11 2 2" xfId="4669" xr:uid="{00000000-0005-0000-0000-0000D8120000}"/>
    <cellStyle name="40% - Accent2 11 2 3" xfId="6786" xr:uid="{00000000-0005-0000-0000-0000D9120000}"/>
    <cellStyle name="40% - Accent2 11 2 4" xfId="8834" xr:uid="{00000000-0005-0000-0000-0000DA120000}"/>
    <cellStyle name="40% - Accent2 11 3" xfId="2154" xr:uid="{00000000-0005-0000-0000-0000DB120000}"/>
    <cellStyle name="40% - Accent2 11 3 2" xfId="4670" xr:uid="{00000000-0005-0000-0000-0000DC120000}"/>
    <cellStyle name="40% - Accent2 11 3 3" xfId="6787" xr:uid="{00000000-0005-0000-0000-0000DD120000}"/>
    <cellStyle name="40% - Accent2 11 3 4" xfId="8835" xr:uid="{00000000-0005-0000-0000-0000DE120000}"/>
    <cellStyle name="40% - Accent2 11 4" xfId="2155" xr:uid="{00000000-0005-0000-0000-0000DF120000}"/>
    <cellStyle name="40% - Accent2 11 4 2" xfId="4671" xr:uid="{00000000-0005-0000-0000-0000E0120000}"/>
    <cellStyle name="40% - Accent2 11 4 3" xfId="6788" xr:uid="{00000000-0005-0000-0000-0000E1120000}"/>
    <cellStyle name="40% - Accent2 11 4 4" xfId="8836" xr:uid="{00000000-0005-0000-0000-0000E2120000}"/>
    <cellStyle name="40% - Accent2 11 5" xfId="2156" xr:uid="{00000000-0005-0000-0000-0000E3120000}"/>
    <cellStyle name="40% - Accent2 11 5 2" xfId="4672" xr:uid="{00000000-0005-0000-0000-0000E4120000}"/>
    <cellStyle name="40% - Accent2 11 5 3" xfId="6789" xr:uid="{00000000-0005-0000-0000-0000E5120000}"/>
    <cellStyle name="40% - Accent2 11 5 4" xfId="8837" xr:uid="{00000000-0005-0000-0000-0000E6120000}"/>
    <cellStyle name="40% - Accent2 11 6" xfId="2157" xr:uid="{00000000-0005-0000-0000-0000E7120000}"/>
    <cellStyle name="40% - Accent2 11 6 2" xfId="4673" xr:uid="{00000000-0005-0000-0000-0000E8120000}"/>
    <cellStyle name="40% - Accent2 11 6 3" xfId="6790" xr:uid="{00000000-0005-0000-0000-0000E9120000}"/>
    <cellStyle name="40% - Accent2 11 6 4" xfId="8838" xr:uid="{00000000-0005-0000-0000-0000EA120000}"/>
    <cellStyle name="40% - Accent2 11 7" xfId="4668" xr:uid="{00000000-0005-0000-0000-0000EB120000}"/>
    <cellStyle name="40% - Accent2 11 8" xfId="6785" xr:uid="{00000000-0005-0000-0000-0000EC120000}"/>
    <cellStyle name="40% - Accent2 11 9" xfId="8833" xr:uid="{00000000-0005-0000-0000-0000ED120000}"/>
    <cellStyle name="40% - Accent2 12" xfId="2158" xr:uid="{00000000-0005-0000-0000-0000EE120000}"/>
    <cellStyle name="40% - Accent2 12 2" xfId="2159" xr:uid="{00000000-0005-0000-0000-0000EF120000}"/>
    <cellStyle name="40% - Accent2 12 2 2" xfId="4675" xr:uid="{00000000-0005-0000-0000-0000F0120000}"/>
    <cellStyle name="40% - Accent2 12 2 3" xfId="6792" xr:uid="{00000000-0005-0000-0000-0000F1120000}"/>
    <cellStyle name="40% - Accent2 12 2 4" xfId="8840" xr:uid="{00000000-0005-0000-0000-0000F2120000}"/>
    <cellStyle name="40% - Accent2 12 3" xfId="2160" xr:uid="{00000000-0005-0000-0000-0000F3120000}"/>
    <cellStyle name="40% - Accent2 12 3 2" xfId="4676" xr:uid="{00000000-0005-0000-0000-0000F4120000}"/>
    <cellStyle name="40% - Accent2 12 3 3" xfId="6793" xr:uid="{00000000-0005-0000-0000-0000F5120000}"/>
    <cellStyle name="40% - Accent2 12 3 4" xfId="8841" xr:uid="{00000000-0005-0000-0000-0000F6120000}"/>
    <cellStyle name="40% - Accent2 12 4" xfId="2161" xr:uid="{00000000-0005-0000-0000-0000F7120000}"/>
    <cellStyle name="40% - Accent2 12 4 2" xfId="4677" xr:uid="{00000000-0005-0000-0000-0000F8120000}"/>
    <cellStyle name="40% - Accent2 12 4 3" xfId="6794" xr:uid="{00000000-0005-0000-0000-0000F9120000}"/>
    <cellStyle name="40% - Accent2 12 4 4" xfId="8842" xr:uid="{00000000-0005-0000-0000-0000FA120000}"/>
    <cellStyle name="40% - Accent2 12 5" xfId="2162" xr:uid="{00000000-0005-0000-0000-0000FB120000}"/>
    <cellStyle name="40% - Accent2 12 5 2" xfId="4678" xr:uid="{00000000-0005-0000-0000-0000FC120000}"/>
    <cellStyle name="40% - Accent2 12 5 3" xfId="6795" xr:uid="{00000000-0005-0000-0000-0000FD120000}"/>
    <cellStyle name="40% - Accent2 12 5 4" xfId="8843" xr:uid="{00000000-0005-0000-0000-0000FE120000}"/>
    <cellStyle name="40% - Accent2 12 6" xfId="4674" xr:uid="{00000000-0005-0000-0000-0000FF120000}"/>
    <cellStyle name="40% - Accent2 12 7" xfId="6791" xr:uid="{00000000-0005-0000-0000-000000130000}"/>
    <cellStyle name="40% - Accent2 12 8" xfId="8839" xr:uid="{00000000-0005-0000-0000-000001130000}"/>
    <cellStyle name="40% - Accent2 13" xfId="2163" xr:uid="{00000000-0005-0000-0000-000002130000}"/>
    <cellStyle name="40% - Accent2 13 2" xfId="2164" xr:uid="{00000000-0005-0000-0000-000003130000}"/>
    <cellStyle name="40% - Accent2 13 2 2" xfId="4680" xr:uid="{00000000-0005-0000-0000-000004130000}"/>
    <cellStyle name="40% - Accent2 13 2 3" xfId="6797" xr:uid="{00000000-0005-0000-0000-000005130000}"/>
    <cellStyle name="40% - Accent2 13 2 4" xfId="8845" xr:uid="{00000000-0005-0000-0000-000006130000}"/>
    <cellStyle name="40% - Accent2 13 3" xfId="2165" xr:uid="{00000000-0005-0000-0000-000007130000}"/>
    <cellStyle name="40% - Accent2 13 3 2" xfId="4681" xr:uid="{00000000-0005-0000-0000-000008130000}"/>
    <cellStyle name="40% - Accent2 13 3 3" xfId="6798" xr:uid="{00000000-0005-0000-0000-000009130000}"/>
    <cellStyle name="40% - Accent2 13 3 4" xfId="8846" xr:uid="{00000000-0005-0000-0000-00000A130000}"/>
    <cellStyle name="40% - Accent2 13 4" xfId="2166" xr:uid="{00000000-0005-0000-0000-00000B130000}"/>
    <cellStyle name="40% - Accent2 13 4 2" xfId="4682" xr:uid="{00000000-0005-0000-0000-00000C130000}"/>
    <cellStyle name="40% - Accent2 13 4 3" xfId="6799" xr:uid="{00000000-0005-0000-0000-00000D130000}"/>
    <cellStyle name="40% - Accent2 13 4 4" xfId="8847" xr:uid="{00000000-0005-0000-0000-00000E130000}"/>
    <cellStyle name="40% - Accent2 13 5" xfId="2167" xr:uid="{00000000-0005-0000-0000-00000F130000}"/>
    <cellStyle name="40% - Accent2 13 5 2" xfId="4683" xr:uid="{00000000-0005-0000-0000-000010130000}"/>
    <cellStyle name="40% - Accent2 13 5 3" xfId="6800" xr:uid="{00000000-0005-0000-0000-000011130000}"/>
    <cellStyle name="40% - Accent2 13 5 4" xfId="8848" xr:uid="{00000000-0005-0000-0000-000012130000}"/>
    <cellStyle name="40% - Accent2 13 6" xfId="4679" xr:uid="{00000000-0005-0000-0000-000013130000}"/>
    <cellStyle name="40% - Accent2 13 7" xfId="6796" xr:uid="{00000000-0005-0000-0000-000014130000}"/>
    <cellStyle name="40% - Accent2 13 8" xfId="8844" xr:uid="{00000000-0005-0000-0000-000015130000}"/>
    <cellStyle name="40% - Accent2 14" xfId="2168" xr:uid="{00000000-0005-0000-0000-000016130000}"/>
    <cellStyle name="40% - Accent2 14 2" xfId="2169" xr:uid="{00000000-0005-0000-0000-000017130000}"/>
    <cellStyle name="40% - Accent2 14 2 2" xfId="4685" xr:uid="{00000000-0005-0000-0000-000018130000}"/>
    <cellStyle name="40% - Accent2 14 2 3" xfId="6802" xr:uid="{00000000-0005-0000-0000-000019130000}"/>
    <cellStyle name="40% - Accent2 14 2 4" xfId="8850" xr:uid="{00000000-0005-0000-0000-00001A130000}"/>
    <cellStyle name="40% - Accent2 14 3" xfId="2170" xr:uid="{00000000-0005-0000-0000-00001B130000}"/>
    <cellStyle name="40% - Accent2 14 3 2" xfId="4686" xr:uid="{00000000-0005-0000-0000-00001C130000}"/>
    <cellStyle name="40% - Accent2 14 3 3" xfId="6803" xr:uid="{00000000-0005-0000-0000-00001D130000}"/>
    <cellStyle name="40% - Accent2 14 3 4" xfId="8851" xr:uid="{00000000-0005-0000-0000-00001E130000}"/>
    <cellStyle name="40% - Accent2 14 4" xfId="2171" xr:uid="{00000000-0005-0000-0000-00001F130000}"/>
    <cellStyle name="40% - Accent2 14 4 2" xfId="4687" xr:uid="{00000000-0005-0000-0000-000020130000}"/>
    <cellStyle name="40% - Accent2 14 4 3" xfId="6804" xr:uid="{00000000-0005-0000-0000-000021130000}"/>
    <cellStyle name="40% - Accent2 14 4 4" xfId="8852" xr:uid="{00000000-0005-0000-0000-000022130000}"/>
    <cellStyle name="40% - Accent2 14 5" xfId="4684" xr:uid="{00000000-0005-0000-0000-000023130000}"/>
    <cellStyle name="40% - Accent2 14 6" xfId="6801" xr:uid="{00000000-0005-0000-0000-000024130000}"/>
    <cellStyle name="40% - Accent2 14 7" xfId="8849" xr:uid="{00000000-0005-0000-0000-000025130000}"/>
    <cellStyle name="40% - Accent2 15" xfId="2172" xr:uid="{00000000-0005-0000-0000-000026130000}"/>
    <cellStyle name="40% - Accent2 15 2" xfId="2173" xr:uid="{00000000-0005-0000-0000-000027130000}"/>
    <cellStyle name="40% - Accent2 15 2 2" xfId="4689" xr:uid="{00000000-0005-0000-0000-000028130000}"/>
    <cellStyle name="40% - Accent2 15 2 3" xfId="6806" xr:uid="{00000000-0005-0000-0000-000029130000}"/>
    <cellStyle name="40% - Accent2 15 2 4" xfId="8854" xr:uid="{00000000-0005-0000-0000-00002A130000}"/>
    <cellStyle name="40% - Accent2 15 3" xfId="2174" xr:uid="{00000000-0005-0000-0000-00002B130000}"/>
    <cellStyle name="40% - Accent2 15 3 2" xfId="4690" xr:uid="{00000000-0005-0000-0000-00002C130000}"/>
    <cellStyle name="40% - Accent2 15 3 3" xfId="6807" xr:uid="{00000000-0005-0000-0000-00002D130000}"/>
    <cellStyle name="40% - Accent2 15 3 4" xfId="8855" xr:uid="{00000000-0005-0000-0000-00002E130000}"/>
    <cellStyle name="40% - Accent2 15 4" xfId="2175" xr:uid="{00000000-0005-0000-0000-00002F130000}"/>
    <cellStyle name="40% - Accent2 15 4 2" xfId="4691" xr:uid="{00000000-0005-0000-0000-000030130000}"/>
    <cellStyle name="40% - Accent2 15 4 3" xfId="6808" xr:uid="{00000000-0005-0000-0000-000031130000}"/>
    <cellStyle name="40% - Accent2 15 4 4" xfId="8856" xr:uid="{00000000-0005-0000-0000-000032130000}"/>
    <cellStyle name="40% - Accent2 15 5" xfId="4688" xr:uid="{00000000-0005-0000-0000-000033130000}"/>
    <cellStyle name="40% - Accent2 15 6" xfId="6805" xr:uid="{00000000-0005-0000-0000-000034130000}"/>
    <cellStyle name="40% - Accent2 15 7" xfId="8853" xr:uid="{00000000-0005-0000-0000-000035130000}"/>
    <cellStyle name="40% - Accent2 16" xfId="2176" xr:uid="{00000000-0005-0000-0000-000036130000}"/>
    <cellStyle name="40% - Accent2 16 2" xfId="2177" xr:uid="{00000000-0005-0000-0000-000037130000}"/>
    <cellStyle name="40% - Accent2 16 2 2" xfId="4693" xr:uid="{00000000-0005-0000-0000-000038130000}"/>
    <cellStyle name="40% - Accent2 16 2 3" xfId="6810" xr:uid="{00000000-0005-0000-0000-000039130000}"/>
    <cellStyle name="40% - Accent2 16 2 4" xfId="8858" xr:uid="{00000000-0005-0000-0000-00003A130000}"/>
    <cellStyle name="40% - Accent2 16 3" xfId="2178" xr:uid="{00000000-0005-0000-0000-00003B130000}"/>
    <cellStyle name="40% - Accent2 16 3 2" xfId="4694" xr:uid="{00000000-0005-0000-0000-00003C130000}"/>
    <cellStyle name="40% - Accent2 16 3 3" xfId="6811" xr:uid="{00000000-0005-0000-0000-00003D130000}"/>
    <cellStyle name="40% - Accent2 16 3 4" xfId="8859" xr:uid="{00000000-0005-0000-0000-00003E130000}"/>
    <cellStyle name="40% - Accent2 16 4" xfId="4692" xr:uid="{00000000-0005-0000-0000-00003F130000}"/>
    <cellStyle name="40% - Accent2 16 5" xfId="6809" xr:uid="{00000000-0005-0000-0000-000040130000}"/>
    <cellStyle name="40% - Accent2 16 6" xfId="8857" xr:uid="{00000000-0005-0000-0000-000041130000}"/>
    <cellStyle name="40% - Accent2 17" xfId="2179" xr:uid="{00000000-0005-0000-0000-000042130000}"/>
    <cellStyle name="40% - Accent2 17 2" xfId="2180" xr:uid="{00000000-0005-0000-0000-000043130000}"/>
    <cellStyle name="40% - Accent2 17 2 2" xfId="4696" xr:uid="{00000000-0005-0000-0000-000044130000}"/>
    <cellStyle name="40% - Accent2 17 2 3" xfId="6813" xr:uid="{00000000-0005-0000-0000-000045130000}"/>
    <cellStyle name="40% - Accent2 17 2 4" xfId="8861" xr:uid="{00000000-0005-0000-0000-000046130000}"/>
    <cellStyle name="40% - Accent2 17 3" xfId="2181" xr:uid="{00000000-0005-0000-0000-000047130000}"/>
    <cellStyle name="40% - Accent2 17 3 2" xfId="4697" xr:uid="{00000000-0005-0000-0000-000048130000}"/>
    <cellStyle name="40% - Accent2 17 3 3" xfId="6814" xr:uid="{00000000-0005-0000-0000-000049130000}"/>
    <cellStyle name="40% - Accent2 17 3 4" xfId="8862" xr:uid="{00000000-0005-0000-0000-00004A130000}"/>
    <cellStyle name="40% - Accent2 17 4" xfId="4695" xr:uid="{00000000-0005-0000-0000-00004B130000}"/>
    <cellStyle name="40% - Accent2 17 5" xfId="6812" xr:uid="{00000000-0005-0000-0000-00004C130000}"/>
    <cellStyle name="40% - Accent2 17 6" xfId="8860" xr:uid="{00000000-0005-0000-0000-00004D130000}"/>
    <cellStyle name="40% - Accent2 18" xfId="2182" xr:uid="{00000000-0005-0000-0000-00004E130000}"/>
    <cellStyle name="40% - Accent2 18 2" xfId="2183" xr:uid="{00000000-0005-0000-0000-00004F130000}"/>
    <cellStyle name="40% - Accent2 18 2 2" xfId="4699" xr:uid="{00000000-0005-0000-0000-000050130000}"/>
    <cellStyle name="40% - Accent2 18 2 3" xfId="6816" xr:uid="{00000000-0005-0000-0000-000051130000}"/>
    <cellStyle name="40% - Accent2 18 2 4" xfId="8864" xr:uid="{00000000-0005-0000-0000-000052130000}"/>
    <cellStyle name="40% - Accent2 18 3" xfId="2184" xr:uid="{00000000-0005-0000-0000-000053130000}"/>
    <cellStyle name="40% - Accent2 18 3 2" xfId="4700" xr:uid="{00000000-0005-0000-0000-000054130000}"/>
    <cellStyle name="40% - Accent2 18 3 3" xfId="6817" xr:uid="{00000000-0005-0000-0000-000055130000}"/>
    <cellStyle name="40% - Accent2 18 3 4" xfId="8865" xr:uid="{00000000-0005-0000-0000-000056130000}"/>
    <cellStyle name="40% - Accent2 18 4" xfId="4698" xr:uid="{00000000-0005-0000-0000-000057130000}"/>
    <cellStyle name="40% - Accent2 18 5" xfId="6815" xr:uid="{00000000-0005-0000-0000-000058130000}"/>
    <cellStyle name="40% - Accent2 18 6" xfId="8863" xr:uid="{00000000-0005-0000-0000-000059130000}"/>
    <cellStyle name="40% - Accent2 19" xfId="2185" xr:uid="{00000000-0005-0000-0000-00005A130000}"/>
    <cellStyle name="40% - Accent2 19 2" xfId="2186" xr:uid="{00000000-0005-0000-0000-00005B130000}"/>
    <cellStyle name="40% - Accent2 19 2 2" xfId="4702" xr:uid="{00000000-0005-0000-0000-00005C130000}"/>
    <cellStyle name="40% - Accent2 19 2 3" xfId="6819" xr:uid="{00000000-0005-0000-0000-00005D130000}"/>
    <cellStyle name="40% - Accent2 19 2 4" xfId="8867" xr:uid="{00000000-0005-0000-0000-00005E130000}"/>
    <cellStyle name="40% - Accent2 19 3" xfId="2187" xr:uid="{00000000-0005-0000-0000-00005F130000}"/>
    <cellStyle name="40% - Accent2 19 3 2" xfId="4703" xr:uid="{00000000-0005-0000-0000-000060130000}"/>
    <cellStyle name="40% - Accent2 19 3 3" xfId="6820" xr:uid="{00000000-0005-0000-0000-000061130000}"/>
    <cellStyle name="40% - Accent2 19 3 4" xfId="8868" xr:uid="{00000000-0005-0000-0000-000062130000}"/>
    <cellStyle name="40% - Accent2 19 4" xfId="4701" xr:uid="{00000000-0005-0000-0000-000063130000}"/>
    <cellStyle name="40% - Accent2 19 5" xfId="6818" xr:uid="{00000000-0005-0000-0000-000064130000}"/>
    <cellStyle name="40% - Accent2 19 6" xfId="8866" xr:uid="{00000000-0005-0000-0000-000065130000}"/>
    <cellStyle name="40% - Accent2 2" xfId="2188" xr:uid="{00000000-0005-0000-0000-000066130000}"/>
    <cellStyle name="40% - Accent2 2 2" xfId="2189" xr:uid="{00000000-0005-0000-0000-000067130000}"/>
    <cellStyle name="40% - Accent2 2 2 2" xfId="2190" xr:uid="{00000000-0005-0000-0000-000068130000}"/>
    <cellStyle name="40% - Accent2 2 2 2 2" xfId="4704" xr:uid="{00000000-0005-0000-0000-000069130000}"/>
    <cellStyle name="40% - Accent2 2 2 2 3" xfId="6821" xr:uid="{00000000-0005-0000-0000-00006A130000}"/>
    <cellStyle name="40% - Accent2 2 2 2 4" xfId="8869" xr:uid="{00000000-0005-0000-0000-00006B130000}"/>
    <cellStyle name="40% - Accent2 2 3" xfId="2191" xr:uid="{00000000-0005-0000-0000-00006C130000}"/>
    <cellStyle name="40% - Accent2 2 3 2" xfId="4705" xr:uid="{00000000-0005-0000-0000-00006D130000}"/>
    <cellStyle name="40% - Accent2 2 3 3" xfId="6822" xr:uid="{00000000-0005-0000-0000-00006E130000}"/>
    <cellStyle name="40% - Accent2 2 3 4" xfId="8870" xr:uid="{00000000-0005-0000-0000-00006F130000}"/>
    <cellStyle name="40% - Accent2 2 4" xfId="2192" xr:uid="{00000000-0005-0000-0000-000070130000}"/>
    <cellStyle name="40% - Accent2 2 4 2" xfId="4706" xr:uid="{00000000-0005-0000-0000-000071130000}"/>
    <cellStyle name="40% - Accent2 2 4 3" xfId="6823" xr:uid="{00000000-0005-0000-0000-000072130000}"/>
    <cellStyle name="40% - Accent2 2 4 4" xfId="8871" xr:uid="{00000000-0005-0000-0000-000073130000}"/>
    <cellStyle name="40% - Accent2 2 5" xfId="2193" xr:uid="{00000000-0005-0000-0000-000074130000}"/>
    <cellStyle name="40% - Accent2 2 5 2" xfId="4707" xr:uid="{00000000-0005-0000-0000-000075130000}"/>
    <cellStyle name="40% - Accent2 2 5 3" xfId="6824" xr:uid="{00000000-0005-0000-0000-000076130000}"/>
    <cellStyle name="40% - Accent2 2 5 4" xfId="8872" xr:uid="{00000000-0005-0000-0000-000077130000}"/>
    <cellStyle name="40% - Accent2 2 6" xfId="2194" xr:uid="{00000000-0005-0000-0000-000078130000}"/>
    <cellStyle name="40% - Accent2 2 6 2" xfId="4708" xr:uid="{00000000-0005-0000-0000-000079130000}"/>
    <cellStyle name="40% - Accent2 2 6 3" xfId="6825" xr:uid="{00000000-0005-0000-0000-00007A130000}"/>
    <cellStyle name="40% - Accent2 2 6 4" xfId="8873" xr:uid="{00000000-0005-0000-0000-00007B130000}"/>
    <cellStyle name="40% - Accent2 2 7" xfId="2195" xr:uid="{00000000-0005-0000-0000-00007C130000}"/>
    <cellStyle name="40% - Accent2 2 7 2" xfId="4709" xr:uid="{00000000-0005-0000-0000-00007D130000}"/>
    <cellStyle name="40% - Accent2 2 7 3" xfId="6826" xr:uid="{00000000-0005-0000-0000-00007E130000}"/>
    <cellStyle name="40% - Accent2 2 7 4" xfId="8874" xr:uid="{00000000-0005-0000-0000-00007F130000}"/>
    <cellStyle name="40% - Accent2 2 8" xfId="2196" xr:uid="{00000000-0005-0000-0000-000080130000}"/>
    <cellStyle name="40% - Accent2 2 8 2" xfId="4710" xr:uid="{00000000-0005-0000-0000-000081130000}"/>
    <cellStyle name="40% - Accent2 2 8 3" xfId="6827" xr:uid="{00000000-0005-0000-0000-000082130000}"/>
    <cellStyle name="40% - Accent2 2 8 4" xfId="8875" xr:uid="{00000000-0005-0000-0000-000083130000}"/>
    <cellStyle name="40% - Accent2 2 9" xfId="2197" xr:uid="{00000000-0005-0000-0000-000084130000}"/>
    <cellStyle name="40% - Accent2 20" xfId="2198" xr:uid="{00000000-0005-0000-0000-000085130000}"/>
    <cellStyle name="40% - Accent2 20 2" xfId="2199" xr:uid="{00000000-0005-0000-0000-000086130000}"/>
    <cellStyle name="40% - Accent2 20 2 2" xfId="4712" xr:uid="{00000000-0005-0000-0000-000087130000}"/>
    <cellStyle name="40% - Accent2 20 2 3" xfId="6829" xr:uid="{00000000-0005-0000-0000-000088130000}"/>
    <cellStyle name="40% - Accent2 20 2 4" xfId="8877" xr:uid="{00000000-0005-0000-0000-000089130000}"/>
    <cellStyle name="40% - Accent2 20 3" xfId="2200" xr:uid="{00000000-0005-0000-0000-00008A130000}"/>
    <cellStyle name="40% - Accent2 20 3 2" xfId="4713" xr:uid="{00000000-0005-0000-0000-00008B130000}"/>
    <cellStyle name="40% - Accent2 20 3 3" xfId="6830" xr:uid="{00000000-0005-0000-0000-00008C130000}"/>
    <cellStyle name="40% - Accent2 20 3 4" xfId="8878" xr:uid="{00000000-0005-0000-0000-00008D130000}"/>
    <cellStyle name="40% - Accent2 20 4" xfId="4711" xr:uid="{00000000-0005-0000-0000-00008E130000}"/>
    <cellStyle name="40% - Accent2 20 5" xfId="6828" xr:uid="{00000000-0005-0000-0000-00008F130000}"/>
    <cellStyle name="40% - Accent2 20 6" xfId="8876" xr:uid="{00000000-0005-0000-0000-000090130000}"/>
    <cellStyle name="40% - Accent2 21" xfId="2201" xr:uid="{00000000-0005-0000-0000-000091130000}"/>
    <cellStyle name="40% - Accent2 21 2" xfId="2202" xr:uid="{00000000-0005-0000-0000-000092130000}"/>
    <cellStyle name="40% - Accent2 21 2 2" xfId="4715" xr:uid="{00000000-0005-0000-0000-000093130000}"/>
    <cellStyle name="40% - Accent2 21 2 3" xfId="6832" xr:uid="{00000000-0005-0000-0000-000094130000}"/>
    <cellStyle name="40% - Accent2 21 2 4" xfId="8880" xr:uid="{00000000-0005-0000-0000-000095130000}"/>
    <cellStyle name="40% - Accent2 21 3" xfId="2203" xr:uid="{00000000-0005-0000-0000-000096130000}"/>
    <cellStyle name="40% - Accent2 21 3 2" xfId="4716" xr:uid="{00000000-0005-0000-0000-000097130000}"/>
    <cellStyle name="40% - Accent2 21 3 3" xfId="6833" xr:uid="{00000000-0005-0000-0000-000098130000}"/>
    <cellStyle name="40% - Accent2 21 3 4" xfId="8881" xr:uid="{00000000-0005-0000-0000-000099130000}"/>
    <cellStyle name="40% - Accent2 21 4" xfId="4714" xr:uid="{00000000-0005-0000-0000-00009A130000}"/>
    <cellStyle name="40% - Accent2 21 5" xfId="6831" xr:uid="{00000000-0005-0000-0000-00009B130000}"/>
    <cellStyle name="40% - Accent2 21 6" xfId="8879" xr:uid="{00000000-0005-0000-0000-00009C130000}"/>
    <cellStyle name="40% - Accent2 22" xfId="2204" xr:uid="{00000000-0005-0000-0000-00009D130000}"/>
    <cellStyle name="40% - Accent2 22 2" xfId="2205" xr:uid="{00000000-0005-0000-0000-00009E130000}"/>
    <cellStyle name="40% - Accent2 22 2 2" xfId="4718" xr:uid="{00000000-0005-0000-0000-00009F130000}"/>
    <cellStyle name="40% - Accent2 22 2 3" xfId="6835" xr:uid="{00000000-0005-0000-0000-0000A0130000}"/>
    <cellStyle name="40% - Accent2 22 2 4" xfId="8883" xr:uid="{00000000-0005-0000-0000-0000A1130000}"/>
    <cellStyle name="40% - Accent2 22 3" xfId="2206" xr:uid="{00000000-0005-0000-0000-0000A2130000}"/>
    <cellStyle name="40% - Accent2 22 3 2" xfId="4719" xr:uid="{00000000-0005-0000-0000-0000A3130000}"/>
    <cellStyle name="40% - Accent2 22 3 3" xfId="6836" xr:uid="{00000000-0005-0000-0000-0000A4130000}"/>
    <cellStyle name="40% - Accent2 22 3 4" xfId="8884" xr:uid="{00000000-0005-0000-0000-0000A5130000}"/>
    <cellStyle name="40% - Accent2 22 4" xfId="4717" xr:uid="{00000000-0005-0000-0000-0000A6130000}"/>
    <cellStyle name="40% - Accent2 22 5" xfId="6834" xr:uid="{00000000-0005-0000-0000-0000A7130000}"/>
    <cellStyle name="40% - Accent2 22 6" xfId="8882" xr:uid="{00000000-0005-0000-0000-0000A8130000}"/>
    <cellStyle name="40% - Accent2 23" xfId="2207" xr:uid="{00000000-0005-0000-0000-0000A9130000}"/>
    <cellStyle name="40% - Accent2 23 2" xfId="2208" xr:uid="{00000000-0005-0000-0000-0000AA130000}"/>
    <cellStyle name="40% - Accent2 23 2 2" xfId="4721" xr:uid="{00000000-0005-0000-0000-0000AB130000}"/>
    <cellStyle name="40% - Accent2 23 2 3" xfId="6838" xr:uid="{00000000-0005-0000-0000-0000AC130000}"/>
    <cellStyle name="40% - Accent2 23 2 4" xfId="8886" xr:uid="{00000000-0005-0000-0000-0000AD130000}"/>
    <cellStyle name="40% - Accent2 23 3" xfId="4720" xr:uid="{00000000-0005-0000-0000-0000AE130000}"/>
    <cellStyle name="40% - Accent2 23 4" xfId="6837" xr:uid="{00000000-0005-0000-0000-0000AF130000}"/>
    <cellStyle name="40% - Accent2 23 5" xfId="8885" xr:uid="{00000000-0005-0000-0000-0000B0130000}"/>
    <cellStyle name="40% - Accent2 24" xfId="2209" xr:uid="{00000000-0005-0000-0000-0000B1130000}"/>
    <cellStyle name="40% - Accent2 24 2" xfId="2210" xr:uid="{00000000-0005-0000-0000-0000B2130000}"/>
    <cellStyle name="40% - Accent2 24 2 2" xfId="4723" xr:uid="{00000000-0005-0000-0000-0000B3130000}"/>
    <cellStyle name="40% - Accent2 24 2 3" xfId="6840" xr:uid="{00000000-0005-0000-0000-0000B4130000}"/>
    <cellStyle name="40% - Accent2 24 2 4" xfId="8888" xr:uid="{00000000-0005-0000-0000-0000B5130000}"/>
    <cellStyle name="40% - Accent2 24 3" xfId="4722" xr:uid="{00000000-0005-0000-0000-0000B6130000}"/>
    <cellStyle name="40% - Accent2 24 4" xfId="6839" xr:uid="{00000000-0005-0000-0000-0000B7130000}"/>
    <cellStyle name="40% - Accent2 24 5" xfId="8887" xr:uid="{00000000-0005-0000-0000-0000B8130000}"/>
    <cellStyle name="40% - Accent2 25" xfId="2211" xr:uid="{00000000-0005-0000-0000-0000B9130000}"/>
    <cellStyle name="40% - Accent2 25 2" xfId="2212" xr:uid="{00000000-0005-0000-0000-0000BA130000}"/>
    <cellStyle name="40% - Accent2 25 2 2" xfId="4725" xr:uid="{00000000-0005-0000-0000-0000BB130000}"/>
    <cellStyle name="40% - Accent2 25 2 3" xfId="6842" xr:uid="{00000000-0005-0000-0000-0000BC130000}"/>
    <cellStyle name="40% - Accent2 25 2 4" xfId="8890" xr:uid="{00000000-0005-0000-0000-0000BD130000}"/>
    <cellStyle name="40% - Accent2 25 3" xfId="4724" xr:uid="{00000000-0005-0000-0000-0000BE130000}"/>
    <cellStyle name="40% - Accent2 25 4" xfId="6841" xr:uid="{00000000-0005-0000-0000-0000BF130000}"/>
    <cellStyle name="40% - Accent2 25 5" xfId="8889" xr:uid="{00000000-0005-0000-0000-0000C0130000}"/>
    <cellStyle name="40% - Accent2 26" xfId="2213" xr:uid="{00000000-0005-0000-0000-0000C1130000}"/>
    <cellStyle name="40% - Accent2 26 2" xfId="2214" xr:uid="{00000000-0005-0000-0000-0000C2130000}"/>
    <cellStyle name="40% - Accent2 26 2 2" xfId="4727" xr:uid="{00000000-0005-0000-0000-0000C3130000}"/>
    <cellStyle name="40% - Accent2 26 2 3" xfId="6844" xr:uid="{00000000-0005-0000-0000-0000C4130000}"/>
    <cellStyle name="40% - Accent2 26 2 4" xfId="8892" xr:uid="{00000000-0005-0000-0000-0000C5130000}"/>
    <cellStyle name="40% - Accent2 26 3" xfId="4726" xr:uid="{00000000-0005-0000-0000-0000C6130000}"/>
    <cellStyle name="40% - Accent2 26 4" xfId="6843" xr:uid="{00000000-0005-0000-0000-0000C7130000}"/>
    <cellStyle name="40% - Accent2 26 5" xfId="8891" xr:uid="{00000000-0005-0000-0000-0000C8130000}"/>
    <cellStyle name="40% - Accent2 27" xfId="2215" xr:uid="{00000000-0005-0000-0000-0000C9130000}"/>
    <cellStyle name="40% - Accent2 27 2" xfId="2216" xr:uid="{00000000-0005-0000-0000-0000CA130000}"/>
    <cellStyle name="40% - Accent2 27 2 2" xfId="4729" xr:uid="{00000000-0005-0000-0000-0000CB130000}"/>
    <cellStyle name="40% - Accent2 27 2 3" xfId="6846" xr:uid="{00000000-0005-0000-0000-0000CC130000}"/>
    <cellStyle name="40% - Accent2 27 2 4" xfId="8894" xr:uid="{00000000-0005-0000-0000-0000CD130000}"/>
    <cellStyle name="40% - Accent2 27 3" xfId="4728" xr:uid="{00000000-0005-0000-0000-0000CE130000}"/>
    <cellStyle name="40% - Accent2 27 4" xfId="6845" xr:uid="{00000000-0005-0000-0000-0000CF130000}"/>
    <cellStyle name="40% - Accent2 27 5" xfId="8893" xr:uid="{00000000-0005-0000-0000-0000D0130000}"/>
    <cellStyle name="40% - Accent2 28" xfId="2217" xr:uid="{00000000-0005-0000-0000-0000D1130000}"/>
    <cellStyle name="40% - Accent2 28 2" xfId="2218" xr:uid="{00000000-0005-0000-0000-0000D2130000}"/>
    <cellStyle name="40% - Accent2 28 2 2" xfId="4731" xr:uid="{00000000-0005-0000-0000-0000D3130000}"/>
    <cellStyle name="40% - Accent2 28 2 3" xfId="6848" xr:uid="{00000000-0005-0000-0000-0000D4130000}"/>
    <cellStyle name="40% - Accent2 28 2 4" xfId="8896" xr:uid="{00000000-0005-0000-0000-0000D5130000}"/>
    <cellStyle name="40% - Accent2 28 3" xfId="4730" xr:uid="{00000000-0005-0000-0000-0000D6130000}"/>
    <cellStyle name="40% - Accent2 28 4" xfId="6847" xr:uid="{00000000-0005-0000-0000-0000D7130000}"/>
    <cellStyle name="40% - Accent2 28 5" xfId="8895" xr:uid="{00000000-0005-0000-0000-0000D8130000}"/>
    <cellStyle name="40% - Accent2 29" xfId="2219" xr:uid="{00000000-0005-0000-0000-0000D9130000}"/>
    <cellStyle name="40% - Accent2 29 2" xfId="2220" xr:uid="{00000000-0005-0000-0000-0000DA130000}"/>
    <cellStyle name="40% - Accent2 29 2 2" xfId="4733" xr:uid="{00000000-0005-0000-0000-0000DB130000}"/>
    <cellStyle name="40% - Accent2 29 2 3" xfId="6850" xr:uid="{00000000-0005-0000-0000-0000DC130000}"/>
    <cellStyle name="40% - Accent2 29 2 4" xfId="8898" xr:uid="{00000000-0005-0000-0000-0000DD130000}"/>
    <cellStyle name="40% - Accent2 29 3" xfId="4732" xr:uid="{00000000-0005-0000-0000-0000DE130000}"/>
    <cellStyle name="40% - Accent2 29 4" xfId="6849" xr:uid="{00000000-0005-0000-0000-0000DF130000}"/>
    <cellStyle name="40% - Accent2 29 5" xfId="8897" xr:uid="{00000000-0005-0000-0000-0000E0130000}"/>
    <cellStyle name="40% - Accent2 3" xfId="2221" xr:uid="{00000000-0005-0000-0000-0000E1130000}"/>
    <cellStyle name="40% - Accent2 3 2" xfId="2222" xr:uid="{00000000-0005-0000-0000-0000E2130000}"/>
    <cellStyle name="40% - Accent2 3 2 2" xfId="4734" xr:uid="{00000000-0005-0000-0000-0000E3130000}"/>
    <cellStyle name="40% - Accent2 3 2 3" xfId="6851" xr:uid="{00000000-0005-0000-0000-0000E4130000}"/>
    <cellStyle name="40% - Accent2 3 2 4" xfId="8899" xr:uid="{00000000-0005-0000-0000-0000E5130000}"/>
    <cellStyle name="40% - Accent2 3 3" xfId="2223" xr:uid="{00000000-0005-0000-0000-0000E6130000}"/>
    <cellStyle name="40% - Accent2 3 3 2" xfId="4735" xr:uid="{00000000-0005-0000-0000-0000E7130000}"/>
    <cellStyle name="40% - Accent2 3 3 3" xfId="6852" xr:uid="{00000000-0005-0000-0000-0000E8130000}"/>
    <cellStyle name="40% - Accent2 3 3 4" xfId="8900" xr:uid="{00000000-0005-0000-0000-0000E9130000}"/>
    <cellStyle name="40% - Accent2 3 4" xfId="2224" xr:uid="{00000000-0005-0000-0000-0000EA130000}"/>
    <cellStyle name="40% - Accent2 3 4 2" xfId="4736" xr:uid="{00000000-0005-0000-0000-0000EB130000}"/>
    <cellStyle name="40% - Accent2 3 4 3" xfId="6853" xr:uid="{00000000-0005-0000-0000-0000EC130000}"/>
    <cellStyle name="40% - Accent2 3 4 4" xfId="8901" xr:uid="{00000000-0005-0000-0000-0000ED130000}"/>
    <cellStyle name="40% - Accent2 3 5" xfId="2225" xr:uid="{00000000-0005-0000-0000-0000EE130000}"/>
    <cellStyle name="40% - Accent2 3 5 2" xfId="4737" xr:uid="{00000000-0005-0000-0000-0000EF130000}"/>
    <cellStyle name="40% - Accent2 3 5 3" xfId="6854" xr:uid="{00000000-0005-0000-0000-0000F0130000}"/>
    <cellStyle name="40% - Accent2 3 5 4" xfId="8902" xr:uid="{00000000-0005-0000-0000-0000F1130000}"/>
    <cellStyle name="40% - Accent2 3 6" xfId="2226" xr:uid="{00000000-0005-0000-0000-0000F2130000}"/>
    <cellStyle name="40% - Accent2 3 6 2" xfId="4738" xr:uid="{00000000-0005-0000-0000-0000F3130000}"/>
    <cellStyle name="40% - Accent2 3 6 3" xfId="6855" xr:uid="{00000000-0005-0000-0000-0000F4130000}"/>
    <cellStyle name="40% - Accent2 3 6 4" xfId="8903" xr:uid="{00000000-0005-0000-0000-0000F5130000}"/>
    <cellStyle name="40% - Accent2 3 7" xfId="2227" xr:uid="{00000000-0005-0000-0000-0000F6130000}"/>
    <cellStyle name="40% - Accent2 3 7 2" xfId="4739" xr:uid="{00000000-0005-0000-0000-0000F7130000}"/>
    <cellStyle name="40% - Accent2 3 7 3" xfId="6856" xr:uid="{00000000-0005-0000-0000-0000F8130000}"/>
    <cellStyle name="40% - Accent2 3 7 4" xfId="8904" xr:uid="{00000000-0005-0000-0000-0000F9130000}"/>
    <cellStyle name="40% - Accent2 30" xfId="2228" xr:uid="{00000000-0005-0000-0000-0000FA130000}"/>
    <cellStyle name="40% - Accent2 30 2" xfId="2229" xr:uid="{00000000-0005-0000-0000-0000FB130000}"/>
    <cellStyle name="40% - Accent2 30 2 2" xfId="4741" xr:uid="{00000000-0005-0000-0000-0000FC130000}"/>
    <cellStyle name="40% - Accent2 30 2 3" xfId="6858" xr:uid="{00000000-0005-0000-0000-0000FD130000}"/>
    <cellStyle name="40% - Accent2 30 2 4" xfId="8906" xr:uid="{00000000-0005-0000-0000-0000FE130000}"/>
    <cellStyle name="40% - Accent2 30 3" xfId="4740" xr:uid="{00000000-0005-0000-0000-0000FF130000}"/>
    <cellStyle name="40% - Accent2 30 4" xfId="6857" xr:uid="{00000000-0005-0000-0000-000000140000}"/>
    <cellStyle name="40% - Accent2 30 5" xfId="8905" xr:uid="{00000000-0005-0000-0000-000001140000}"/>
    <cellStyle name="40% - Accent2 31" xfId="2230" xr:uid="{00000000-0005-0000-0000-000002140000}"/>
    <cellStyle name="40% - Accent2 31 2" xfId="2231" xr:uid="{00000000-0005-0000-0000-000003140000}"/>
    <cellStyle name="40% - Accent2 31 2 2" xfId="4743" xr:uid="{00000000-0005-0000-0000-000004140000}"/>
    <cellStyle name="40% - Accent2 31 2 3" xfId="6860" xr:uid="{00000000-0005-0000-0000-000005140000}"/>
    <cellStyle name="40% - Accent2 31 2 4" xfId="8908" xr:uid="{00000000-0005-0000-0000-000006140000}"/>
    <cellStyle name="40% - Accent2 31 3" xfId="4742" xr:uid="{00000000-0005-0000-0000-000007140000}"/>
    <cellStyle name="40% - Accent2 31 4" xfId="6859" xr:uid="{00000000-0005-0000-0000-000008140000}"/>
    <cellStyle name="40% - Accent2 31 5" xfId="8907" xr:uid="{00000000-0005-0000-0000-000009140000}"/>
    <cellStyle name="40% - Accent2 32" xfId="2232" xr:uid="{00000000-0005-0000-0000-00000A140000}"/>
    <cellStyle name="40% - Accent2 32 2" xfId="2233" xr:uid="{00000000-0005-0000-0000-00000B140000}"/>
    <cellStyle name="40% - Accent2 32 2 2" xfId="4745" xr:uid="{00000000-0005-0000-0000-00000C140000}"/>
    <cellStyle name="40% - Accent2 32 2 3" xfId="6862" xr:uid="{00000000-0005-0000-0000-00000D140000}"/>
    <cellStyle name="40% - Accent2 32 2 4" xfId="8910" xr:uid="{00000000-0005-0000-0000-00000E140000}"/>
    <cellStyle name="40% - Accent2 32 3" xfId="4744" xr:uid="{00000000-0005-0000-0000-00000F140000}"/>
    <cellStyle name="40% - Accent2 32 4" xfId="6861" xr:uid="{00000000-0005-0000-0000-000010140000}"/>
    <cellStyle name="40% - Accent2 32 5" xfId="8909" xr:uid="{00000000-0005-0000-0000-000011140000}"/>
    <cellStyle name="40% - Accent2 33" xfId="2234" xr:uid="{00000000-0005-0000-0000-000012140000}"/>
    <cellStyle name="40% - Accent2 33 2" xfId="4746" xr:uid="{00000000-0005-0000-0000-000013140000}"/>
    <cellStyle name="40% - Accent2 33 3" xfId="6863" xr:uid="{00000000-0005-0000-0000-000014140000}"/>
    <cellStyle name="40% - Accent2 33 4" xfId="8911" xr:uid="{00000000-0005-0000-0000-000015140000}"/>
    <cellStyle name="40% - Accent2 34" xfId="2235" xr:uid="{00000000-0005-0000-0000-000016140000}"/>
    <cellStyle name="40% - Accent2 34 2" xfId="4747" xr:uid="{00000000-0005-0000-0000-000017140000}"/>
    <cellStyle name="40% - Accent2 34 3" xfId="6864" xr:uid="{00000000-0005-0000-0000-000018140000}"/>
    <cellStyle name="40% - Accent2 34 4" xfId="8912" xr:uid="{00000000-0005-0000-0000-000019140000}"/>
    <cellStyle name="40% - Accent2 35" xfId="2236" xr:uid="{00000000-0005-0000-0000-00001A140000}"/>
    <cellStyle name="40% - Accent2 35 2" xfId="4748" xr:uid="{00000000-0005-0000-0000-00001B140000}"/>
    <cellStyle name="40% - Accent2 35 3" xfId="6865" xr:uid="{00000000-0005-0000-0000-00001C140000}"/>
    <cellStyle name="40% - Accent2 35 4" xfId="8913" xr:uid="{00000000-0005-0000-0000-00001D140000}"/>
    <cellStyle name="40% - Accent2 36" xfId="2237" xr:uid="{00000000-0005-0000-0000-00001E140000}"/>
    <cellStyle name="40% - Accent2 36 2" xfId="4749" xr:uid="{00000000-0005-0000-0000-00001F140000}"/>
    <cellStyle name="40% - Accent2 36 3" xfId="6866" xr:uid="{00000000-0005-0000-0000-000020140000}"/>
    <cellStyle name="40% - Accent2 36 4" xfId="8914" xr:uid="{00000000-0005-0000-0000-000021140000}"/>
    <cellStyle name="40% - Accent2 37" xfId="2238" xr:uid="{00000000-0005-0000-0000-000022140000}"/>
    <cellStyle name="40% - Accent2 37 2" xfId="4750" xr:uid="{00000000-0005-0000-0000-000023140000}"/>
    <cellStyle name="40% - Accent2 37 3" xfId="6867" xr:uid="{00000000-0005-0000-0000-000024140000}"/>
    <cellStyle name="40% - Accent2 37 4" xfId="8915" xr:uid="{00000000-0005-0000-0000-000025140000}"/>
    <cellStyle name="40% - Accent2 38" xfId="2239" xr:uid="{00000000-0005-0000-0000-000026140000}"/>
    <cellStyle name="40% - Accent2 38 2" xfId="4751" xr:uid="{00000000-0005-0000-0000-000027140000}"/>
    <cellStyle name="40% - Accent2 38 3" xfId="6868" xr:uid="{00000000-0005-0000-0000-000028140000}"/>
    <cellStyle name="40% - Accent2 38 4" xfId="8916" xr:uid="{00000000-0005-0000-0000-000029140000}"/>
    <cellStyle name="40% - Accent2 39" xfId="2240" xr:uid="{00000000-0005-0000-0000-00002A140000}"/>
    <cellStyle name="40% - Accent2 39 2" xfId="4752" xr:uid="{00000000-0005-0000-0000-00002B140000}"/>
    <cellStyle name="40% - Accent2 39 3" xfId="6869" xr:uid="{00000000-0005-0000-0000-00002C140000}"/>
    <cellStyle name="40% - Accent2 39 4" xfId="8917" xr:uid="{00000000-0005-0000-0000-00002D140000}"/>
    <cellStyle name="40% - Accent2 4" xfId="2241" xr:uid="{00000000-0005-0000-0000-00002E140000}"/>
    <cellStyle name="40% - Accent2 4 2" xfId="2242" xr:uid="{00000000-0005-0000-0000-00002F140000}"/>
    <cellStyle name="40% - Accent2 4 2 2" xfId="4753" xr:uid="{00000000-0005-0000-0000-000030140000}"/>
    <cellStyle name="40% - Accent2 4 2 3" xfId="6870" xr:uid="{00000000-0005-0000-0000-000031140000}"/>
    <cellStyle name="40% - Accent2 4 2 4" xfId="8918" xr:uid="{00000000-0005-0000-0000-000032140000}"/>
    <cellStyle name="40% - Accent2 4 3" xfId="2243" xr:uid="{00000000-0005-0000-0000-000033140000}"/>
    <cellStyle name="40% - Accent2 4 3 2" xfId="4754" xr:uid="{00000000-0005-0000-0000-000034140000}"/>
    <cellStyle name="40% - Accent2 4 3 3" xfId="6871" xr:uid="{00000000-0005-0000-0000-000035140000}"/>
    <cellStyle name="40% - Accent2 4 3 4" xfId="8919" xr:uid="{00000000-0005-0000-0000-000036140000}"/>
    <cellStyle name="40% - Accent2 4 4" xfId="2244" xr:uid="{00000000-0005-0000-0000-000037140000}"/>
    <cellStyle name="40% - Accent2 4 4 2" xfId="4755" xr:uid="{00000000-0005-0000-0000-000038140000}"/>
    <cellStyle name="40% - Accent2 4 4 3" xfId="6872" xr:uid="{00000000-0005-0000-0000-000039140000}"/>
    <cellStyle name="40% - Accent2 4 4 4" xfId="8920" xr:uid="{00000000-0005-0000-0000-00003A140000}"/>
    <cellStyle name="40% - Accent2 4 5" xfId="2245" xr:uid="{00000000-0005-0000-0000-00003B140000}"/>
    <cellStyle name="40% - Accent2 4 5 2" xfId="4756" xr:uid="{00000000-0005-0000-0000-00003C140000}"/>
    <cellStyle name="40% - Accent2 4 5 3" xfId="6873" xr:uid="{00000000-0005-0000-0000-00003D140000}"/>
    <cellStyle name="40% - Accent2 4 5 4" xfId="8921" xr:uid="{00000000-0005-0000-0000-00003E140000}"/>
    <cellStyle name="40% - Accent2 4 6" xfId="2246" xr:uid="{00000000-0005-0000-0000-00003F140000}"/>
    <cellStyle name="40% - Accent2 4 6 2" xfId="4757" xr:uid="{00000000-0005-0000-0000-000040140000}"/>
    <cellStyle name="40% - Accent2 4 6 3" xfId="6874" xr:uid="{00000000-0005-0000-0000-000041140000}"/>
    <cellStyle name="40% - Accent2 4 6 4" xfId="8922" xr:uid="{00000000-0005-0000-0000-000042140000}"/>
    <cellStyle name="40% - Accent2 4 7" xfId="2247" xr:uid="{00000000-0005-0000-0000-000043140000}"/>
    <cellStyle name="40% - Accent2 4 7 2" xfId="4758" xr:uid="{00000000-0005-0000-0000-000044140000}"/>
    <cellStyle name="40% - Accent2 4 7 3" xfId="6875" xr:uid="{00000000-0005-0000-0000-000045140000}"/>
    <cellStyle name="40% - Accent2 4 7 4" xfId="8923" xr:uid="{00000000-0005-0000-0000-000046140000}"/>
    <cellStyle name="40% - Accent2 40" xfId="2248" xr:uid="{00000000-0005-0000-0000-000047140000}"/>
    <cellStyle name="40% - Accent2 40 2" xfId="4759" xr:uid="{00000000-0005-0000-0000-000048140000}"/>
    <cellStyle name="40% - Accent2 40 3" xfId="6876" xr:uid="{00000000-0005-0000-0000-000049140000}"/>
    <cellStyle name="40% - Accent2 40 4" xfId="8924" xr:uid="{00000000-0005-0000-0000-00004A140000}"/>
    <cellStyle name="40% - Accent2 41" xfId="2249" xr:uid="{00000000-0005-0000-0000-00004B140000}"/>
    <cellStyle name="40% - Accent2 41 2" xfId="4760" xr:uid="{00000000-0005-0000-0000-00004C140000}"/>
    <cellStyle name="40% - Accent2 41 3" xfId="6877" xr:uid="{00000000-0005-0000-0000-00004D140000}"/>
    <cellStyle name="40% - Accent2 41 4" xfId="8925" xr:uid="{00000000-0005-0000-0000-00004E140000}"/>
    <cellStyle name="40% - Accent2 42" xfId="2250" xr:uid="{00000000-0005-0000-0000-00004F140000}"/>
    <cellStyle name="40% - Accent2 42 2" xfId="4761" xr:uid="{00000000-0005-0000-0000-000050140000}"/>
    <cellStyle name="40% - Accent2 42 3" xfId="6878" xr:uid="{00000000-0005-0000-0000-000051140000}"/>
    <cellStyle name="40% - Accent2 42 4" xfId="8926" xr:uid="{00000000-0005-0000-0000-000052140000}"/>
    <cellStyle name="40% - Accent2 43" xfId="2251" xr:uid="{00000000-0005-0000-0000-000053140000}"/>
    <cellStyle name="40% - Accent2 43 2" xfId="4762" xr:uid="{00000000-0005-0000-0000-000054140000}"/>
    <cellStyle name="40% - Accent2 43 3" xfId="6879" xr:uid="{00000000-0005-0000-0000-000055140000}"/>
    <cellStyle name="40% - Accent2 43 4" xfId="8927" xr:uid="{00000000-0005-0000-0000-000056140000}"/>
    <cellStyle name="40% - Accent2 44" xfId="2252" xr:uid="{00000000-0005-0000-0000-000057140000}"/>
    <cellStyle name="40% - Accent2 44 2" xfId="4763" xr:uid="{00000000-0005-0000-0000-000058140000}"/>
    <cellStyle name="40% - Accent2 44 3" xfId="6880" xr:uid="{00000000-0005-0000-0000-000059140000}"/>
    <cellStyle name="40% - Accent2 44 4" xfId="8928" xr:uid="{00000000-0005-0000-0000-00005A140000}"/>
    <cellStyle name="40% - Accent2 45" xfId="2253" xr:uid="{00000000-0005-0000-0000-00005B140000}"/>
    <cellStyle name="40% - Accent2 45 2" xfId="4764" xr:uid="{00000000-0005-0000-0000-00005C140000}"/>
    <cellStyle name="40% - Accent2 45 3" xfId="6881" xr:uid="{00000000-0005-0000-0000-00005D140000}"/>
    <cellStyle name="40% - Accent2 45 4" xfId="8929" xr:uid="{00000000-0005-0000-0000-00005E140000}"/>
    <cellStyle name="40% - Accent2 46" xfId="2254" xr:uid="{00000000-0005-0000-0000-00005F140000}"/>
    <cellStyle name="40% - Accent2 46 2" xfId="4765" xr:uid="{00000000-0005-0000-0000-000060140000}"/>
    <cellStyle name="40% - Accent2 46 3" xfId="6882" xr:uid="{00000000-0005-0000-0000-000061140000}"/>
    <cellStyle name="40% - Accent2 46 4" xfId="8930" xr:uid="{00000000-0005-0000-0000-000062140000}"/>
    <cellStyle name="40% - Accent2 47" xfId="2255" xr:uid="{00000000-0005-0000-0000-000063140000}"/>
    <cellStyle name="40% - Accent2 47 2" xfId="4766" xr:uid="{00000000-0005-0000-0000-000064140000}"/>
    <cellStyle name="40% - Accent2 47 3" xfId="6883" xr:uid="{00000000-0005-0000-0000-000065140000}"/>
    <cellStyle name="40% - Accent2 47 4" xfId="8931" xr:uid="{00000000-0005-0000-0000-000066140000}"/>
    <cellStyle name="40% - Accent2 48" xfId="2256" xr:uid="{00000000-0005-0000-0000-000067140000}"/>
    <cellStyle name="40% - Accent2 48 2" xfId="4767" xr:uid="{00000000-0005-0000-0000-000068140000}"/>
    <cellStyle name="40% - Accent2 48 3" xfId="6884" xr:uid="{00000000-0005-0000-0000-000069140000}"/>
    <cellStyle name="40% - Accent2 48 4" xfId="8932" xr:uid="{00000000-0005-0000-0000-00006A140000}"/>
    <cellStyle name="40% - Accent2 49" xfId="2257" xr:uid="{00000000-0005-0000-0000-00006B140000}"/>
    <cellStyle name="40% - Accent2 49 2" xfId="4768" xr:uid="{00000000-0005-0000-0000-00006C140000}"/>
    <cellStyle name="40% - Accent2 49 3" xfId="6885" xr:uid="{00000000-0005-0000-0000-00006D140000}"/>
    <cellStyle name="40% - Accent2 49 4" xfId="8933" xr:uid="{00000000-0005-0000-0000-00006E140000}"/>
    <cellStyle name="40% - Accent2 5" xfId="2258" xr:uid="{00000000-0005-0000-0000-00006F140000}"/>
    <cellStyle name="40% - Accent2 5 2" xfId="2259" xr:uid="{00000000-0005-0000-0000-000070140000}"/>
    <cellStyle name="40% - Accent2 5 2 2" xfId="4769" xr:uid="{00000000-0005-0000-0000-000071140000}"/>
    <cellStyle name="40% - Accent2 5 2 3" xfId="6886" xr:uid="{00000000-0005-0000-0000-000072140000}"/>
    <cellStyle name="40% - Accent2 5 2 4" xfId="8934" xr:uid="{00000000-0005-0000-0000-000073140000}"/>
    <cellStyle name="40% - Accent2 5 3" xfId="2260" xr:uid="{00000000-0005-0000-0000-000074140000}"/>
    <cellStyle name="40% - Accent2 5 3 2" xfId="4770" xr:uid="{00000000-0005-0000-0000-000075140000}"/>
    <cellStyle name="40% - Accent2 5 3 3" xfId="6887" xr:uid="{00000000-0005-0000-0000-000076140000}"/>
    <cellStyle name="40% - Accent2 5 3 4" xfId="8935" xr:uid="{00000000-0005-0000-0000-000077140000}"/>
    <cellStyle name="40% - Accent2 5 4" xfId="2261" xr:uid="{00000000-0005-0000-0000-000078140000}"/>
    <cellStyle name="40% - Accent2 5 4 2" xfId="4771" xr:uid="{00000000-0005-0000-0000-000079140000}"/>
    <cellStyle name="40% - Accent2 5 4 3" xfId="6888" xr:uid="{00000000-0005-0000-0000-00007A140000}"/>
    <cellStyle name="40% - Accent2 5 4 4" xfId="8936" xr:uid="{00000000-0005-0000-0000-00007B140000}"/>
    <cellStyle name="40% - Accent2 5 5" xfId="2262" xr:uid="{00000000-0005-0000-0000-00007C140000}"/>
    <cellStyle name="40% - Accent2 5 5 2" xfId="4772" xr:uid="{00000000-0005-0000-0000-00007D140000}"/>
    <cellStyle name="40% - Accent2 5 5 3" xfId="6889" xr:uid="{00000000-0005-0000-0000-00007E140000}"/>
    <cellStyle name="40% - Accent2 5 5 4" xfId="8937" xr:uid="{00000000-0005-0000-0000-00007F140000}"/>
    <cellStyle name="40% - Accent2 5 6" xfId="2263" xr:uid="{00000000-0005-0000-0000-000080140000}"/>
    <cellStyle name="40% - Accent2 5 6 2" xfId="4773" xr:uid="{00000000-0005-0000-0000-000081140000}"/>
    <cellStyle name="40% - Accent2 5 6 3" xfId="6890" xr:uid="{00000000-0005-0000-0000-000082140000}"/>
    <cellStyle name="40% - Accent2 5 6 4" xfId="8938" xr:uid="{00000000-0005-0000-0000-000083140000}"/>
    <cellStyle name="40% - Accent2 5 7" xfId="2264" xr:uid="{00000000-0005-0000-0000-000084140000}"/>
    <cellStyle name="40% - Accent2 5 7 2" xfId="4774" xr:uid="{00000000-0005-0000-0000-000085140000}"/>
    <cellStyle name="40% - Accent2 5 7 3" xfId="6891" xr:uid="{00000000-0005-0000-0000-000086140000}"/>
    <cellStyle name="40% - Accent2 5 7 4" xfId="8939" xr:uid="{00000000-0005-0000-0000-000087140000}"/>
    <cellStyle name="40% - Accent2 50" xfId="2265" xr:uid="{00000000-0005-0000-0000-000088140000}"/>
    <cellStyle name="40% - Accent2 50 2" xfId="4775" xr:uid="{00000000-0005-0000-0000-000089140000}"/>
    <cellStyle name="40% - Accent2 50 3" xfId="6892" xr:uid="{00000000-0005-0000-0000-00008A140000}"/>
    <cellStyle name="40% - Accent2 50 4" xfId="8940" xr:uid="{00000000-0005-0000-0000-00008B140000}"/>
    <cellStyle name="40% - Accent2 6" xfId="2266" xr:uid="{00000000-0005-0000-0000-00008C140000}"/>
    <cellStyle name="40% - Accent2 6 2" xfId="2267" xr:uid="{00000000-0005-0000-0000-00008D140000}"/>
    <cellStyle name="40% - Accent2 6 2 2" xfId="4776" xr:uid="{00000000-0005-0000-0000-00008E140000}"/>
    <cellStyle name="40% - Accent2 6 2 3" xfId="6893" xr:uid="{00000000-0005-0000-0000-00008F140000}"/>
    <cellStyle name="40% - Accent2 6 2 4" xfId="8941" xr:uid="{00000000-0005-0000-0000-000090140000}"/>
    <cellStyle name="40% - Accent2 6 3" xfId="2268" xr:uid="{00000000-0005-0000-0000-000091140000}"/>
    <cellStyle name="40% - Accent2 6 3 2" xfId="4777" xr:uid="{00000000-0005-0000-0000-000092140000}"/>
    <cellStyle name="40% - Accent2 6 3 3" xfId="6894" xr:uid="{00000000-0005-0000-0000-000093140000}"/>
    <cellStyle name="40% - Accent2 6 3 4" xfId="8942" xr:uid="{00000000-0005-0000-0000-000094140000}"/>
    <cellStyle name="40% - Accent2 6 4" xfId="2269" xr:uid="{00000000-0005-0000-0000-000095140000}"/>
    <cellStyle name="40% - Accent2 6 4 2" xfId="4778" xr:uid="{00000000-0005-0000-0000-000096140000}"/>
    <cellStyle name="40% - Accent2 6 4 3" xfId="6895" xr:uid="{00000000-0005-0000-0000-000097140000}"/>
    <cellStyle name="40% - Accent2 6 4 4" xfId="8943" xr:uid="{00000000-0005-0000-0000-000098140000}"/>
    <cellStyle name="40% - Accent2 6 5" xfId="2270" xr:uid="{00000000-0005-0000-0000-000099140000}"/>
    <cellStyle name="40% - Accent2 6 5 2" xfId="4779" xr:uid="{00000000-0005-0000-0000-00009A140000}"/>
    <cellStyle name="40% - Accent2 6 5 3" xfId="6896" xr:uid="{00000000-0005-0000-0000-00009B140000}"/>
    <cellStyle name="40% - Accent2 6 5 4" xfId="8944" xr:uid="{00000000-0005-0000-0000-00009C140000}"/>
    <cellStyle name="40% - Accent2 6 6" xfId="2271" xr:uid="{00000000-0005-0000-0000-00009D140000}"/>
    <cellStyle name="40% - Accent2 6 6 2" xfId="4780" xr:uid="{00000000-0005-0000-0000-00009E140000}"/>
    <cellStyle name="40% - Accent2 6 6 3" xfId="6897" xr:uid="{00000000-0005-0000-0000-00009F140000}"/>
    <cellStyle name="40% - Accent2 6 6 4" xfId="8945" xr:uid="{00000000-0005-0000-0000-0000A0140000}"/>
    <cellStyle name="40% - Accent2 6 7" xfId="2272" xr:uid="{00000000-0005-0000-0000-0000A1140000}"/>
    <cellStyle name="40% - Accent2 6 7 2" xfId="4781" xr:uid="{00000000-0005-0000-0000-0000A2140000}"/>
    <cellStyle name="40% - Accent2 6 7 3" xfId="6898" xr:uid="{00000000-0005-0000-0000-0000A3140000}"/>
    <cellStyle name="40% - Accent2 6 7 4" xfId="8946" xr:uid="{00000000-0005-0000-0000-0000A4140000}"/>
    <cellStyle name="40% - Accent2 7" xfId="2273" xr:uid="{00000000-0005-0000-0000-0000A5140000}"/>
    <cellStyle name="40% - Accent2 7 10" xfId="8947" xr:uid="{00000000-0005-0000-0000-0000A6140000}"/>
    <cellStyle name="40% - Accent2 7 2" xfId="2274" xr:uid="{00000000-0005-0000-0000-0000A7140000}"/>
    <cellStyle name="40% - Accent2 7 2 2" xfId="4783" xr:uid="{00000000-0005-0000-0000-0000A8140000}"/>
    <cellStyle name="40% - Accent2 7 2 3" xfId="6900" xr:uid="{00000000-0005-0000-0000-0000A9140000}"/>
    <cellStyle name="40% - Accent2 7 2 4" xfId="8948" xr:uid="{00000000-0005-0000-0000-0000AA140000}"/>
    <cellStyle name="40% - Accent2 7 3" xfId="2275" xr:uid="{00000000-0005-0000-0000-0000AB140000}"/>
    <cellStyle name="40% - Accent2 7 3 2" xfId="4784" xr:uid="{00000000-0005-0000-0000-0000AC140000}"/>
    <cellStyle name="40% - Accent2 7 3 3" xfId="6901" xr:uid="{00000000-0005-0000-0000-0000AD140000}"/>
    <cellStyle name="40% - Accent2 7 3 4" xfId="8949" xr:uid="{00000000-0005-0000-0000-0000AE140000}"/>
    <cellStyle name="40% - Accent2 7 4" xfId="2276" xr:uid="{00000000-0005-0000-0000-0000AF140000}"/>
    <cellStyle name="40% - Accent2 7 4 2" xfId="4785" xr:uid="{00000000-0005-0000-0000-0000B0140000}"/>
    <cellStyle name="40% - Accent2 7 4 3" xfId="6902" xr:uid="{00000000-0005-0000-0000-0000B1140000}"/>
    <cellStyle name="40% - Accent2 7 4 4" xfId="8950" xr:uid="{00000000-0005-0000-0000-0000B2140000}"/>
    <cellStyle name="40% - Accent2 7 5" xfId="2277" xr:uid="{00000000-0005-0000-0000-0000B3140000}"/>
    <cellStyle name="40% - Accent2 7 5 2" xfId="4786" xr:uid="{00000000-0005-0000-0000-0000B4140000}"/>
    <cellStyle name="40% - Accent2 7 5 3" xfId="6903" xr:uid="{00000000-0005-0000-0000-0000B5140000}"/>
    <cellStyle name="40% - Accent2 7 5 4" xfId="8951" xr:uid="{00000000-0005-0000-0000-0000B6140000}"/>
    <cellStyle name="40% - Accent2 7 6" xfId="2278" xr:uid="{00000000-0005-0000-0000-0000B7140000}"/>
    <cellStyle name="40% - Accent2 7 6 2" xfId="4787" xr:uid="{00000000-0005-0000-0000-0000B8140000}"/>
    <cellStyle name="40% - Accent2 7 6 3" xfId="6904" xr:uid="{00000000-0005-0000-0000-0000B9140000}"/>
    <cellStyle name="40% - Accent2 7 6 4" xfId="8952" xr:uid="{00000000-0005-0000-0000-0000BA140000}"/>
    <cellStyle name="40% - Accent2 7 7" xfId="2279" xr:uid="{00000000-0005-0000-0000-0000BB140000}"/>
    <cellStyle name="40% - Accent2 7 7 2" xfId="4788" xr:uid="{00000000-0005-0000-0000-0000BC140000}"/>
    <cellStyle name="40% - Accent2 7 7 3" xfId="6905" xr:uid="{00000000-0005-0000-0000-0000BD140000}"/>
    <cellStyle name="40% - Accent2 7 7 4" xfId="8953" xr:uid="{00000000-0005-0000-0000-0000BE140000}"/>
    <cellStyle name="40% - Accent2 7 8" xfId="4782" xr:uid="{00000000-0005-0000-0000-0000BF140000}"/>
    <cellStyle name="40% - Accent2 7 9" xfId="6899" xr:uid="{00000000-0005-0000-0000-0000C0140000}"/>
    <cellStyle name="40% - Accent2 8" xfId="2280" xr:uid="{00000000-0005-0000-0000-0000C1140000}"/>
    <cellStyle name="40% - Accent2 8 10" xfId="8954" xr:uid="{00000000-0005-0000-0000-0000C2140000}"/>
    <cellStyle name="40% - Accent2 8 2" xfId="2281" xr:uid="{00000000-0005-0000-0000-0000C3140000}"/>
    <cellStyle name="40% - Accent2 8 2 2" xfId="4790" xr:uid="{00000000-0005-0000-0000-0000C4140000}"/>
    <cellStyle name="40% - Accent2 8 2 3" xfId="6907" xr:uid="{00000000-0005-0000-0000-0000C5140000}"/>
    <cellStyle name="40% - Accent2 8 2 4" xfId="8955" xr:uid="{00000000-0005-0000-0000-0000C6140000}"/>
    <cellStyle name="40% - Accent2 8 3" xfId="2282" xr:uid="{00000000-0005-0000-0000-0000C7140000}"/>
    <cellStyle name="40% - Accent2 8 3 2" xfId="4791" xr:uid="{00000000-0005-0000-0000-0000C8140000}"/>
    <cellStyle name="40% - Accent2 8 3 3" xfId="6908" xr:uid="{00000000-0005-0000-0000-0000C9140000}"/>
    <cellStyle name="40% - Accent2 8 3 4" xfId="8956" xr:uid="{00000000-0005-0000-0000-0000CA140000}"/>
    <cellStyle name="40% - Accent2 8 4" xfId="2283" xr:uid="{00000000-0005-0000-0000-0000CB140000}"/>
    <cellStyle name="40% - Accent2 8 4 2" xfId="4792" xr:uid="{00000000-0005-0000-0000-0000CC140000}"/>
    <cellStyle name="40% - Accent2 8 4 3" xfId="6909" xr:uid="{00000000-0005-0000-0000-0000CD140000}"/>
    <cellStyle name="40% - Accent2 8 4 4" xfId="8957" xr:uid="{00000000-0005-0000-0000-0000CE140000}"/>
    <cellStyle name="40% - Accent2 8 5" xfId="2284" xr:uid="{00000000-0005-0000-0000-0000CF140000}"/>
    <cellStyle name="40% - Accent2 8 5 2" xfId="4793" xr:uid="{00000000-0005-0000-0000-0000D0140000}"/>
    <cellStyle name="40% - Accent2 8 5 3" xfId="6910" xr:uid="{00000000-0005-0000-0000-0000D1140000}"/>
    <cellStyle name="40% - Accent2 8 5 4" xfId="8958" xr:uid="{00000000-0005-0000-0000-0000D2140000}"/>
    <cellStyle name="40% - Accent2 8 6" xfId="2285" xr:uid="{00000000-0005-0000-0000-0000D3140000}"/>
    <cellStyle name="40% - Accent2 8 6 2" xfId="4794" xr:uid="{00000000-0005-0000-0000-0000D4140000}"/>
    <cellStyle name="40% - Accent2 8 6 3" xfId="6911" xr:uid="{00000000-0005-0000-0000-0000D5140000}"/>
    <cellStyle name="40% - Accent2 8 6 4" xfId="8959" xr:uid="{00000000-0005-0000-0000-0000D6140000}"/>
    <cellStyle name="40% - Accent2 8 7" xfId="2286" xr:uid="{00000000-0005-0000-0000-0000D7140000}"/>
    <cellStyle name="40% - Accent2 8 7 2" xfId="4795" xr:uid="{00000000-0005-0000-0000-0000D8140000}"/>
    <cellStyle name="40% - Accent2 8 7 3" xfId="6912" xr:uid="{00000000-0005-0000-0000-0000D9140000}"/>
    <cellStyle name="40% - Accent2 8 7 4" xfId="8960" xr:uid="{00000000-0005-0000-0000-0000DA140000}"/>
    <cellStyle name="40% - Accent2 8 8" xfId="4789" xr:uid="{00000000-0005-0000-0000-0000DB140000}"/>
    <cellStyle name="40% - Accent2 8 9" xfId="6906" xr:uid="{00000000-0005-0000-0000-0000DC140000}"/>
    <cellStyle name="40% - Accent2 9" xfId="2287" xr:uid="{00000000-0005-0000-0000-0000DD140000}"/>
    <cellStyle name="40% - Accent2 9 10" xfId="8961" xr:uid="{00000000-0005-0000-0000-0000DE140000}"/>
    <cellStyle name="40% - Accent2 9 2" xfId="2288" xr:uid="{00000000-0005-0000-0000-0000DF140000}"/>
    <cellStyle name="40% - Accent2 9 2 2" xfId="4797" xr:uid="{00000000-0005-0000-0000-0000E0140000}"/>
    <cellStyle name="40% - Accent2 9 2 3" xfId="6914" xr:uid="{00000000-0005-0000-0000-0000E1140000}"/>
    <cellStyle name="40% - Accent2 9 2 4" xfId="8962" xr:uid="{00000000-0005-0000-0000-0000E2140000}"/>
    <cellStyle name="40% - Accent2 9 3" xfId="2289" xr:uid="{00000000-0005-0000-0000-0000E3140000}"/>
    <cellStyle name="40% - Accent2 9 3 2" xfId="4798" xr:uid="{00000000-0005-0000-0000-0000E4140000}"/>
    <cellStyle name="40% - Accent2 9 3 3" xfId="6915" xr:uid="{00000000-0005-0000-0000-0000E5140000}"/>
    <cellStyle name="40% - Accent2 9 3 4" xfId="8963" xr:uid="{00000000-0005-0000-0000-0000E6140000}"/>
    <cellStyle name="40% - Accent2 9 4" xfId="2290" xr:uid="{00000000-0005-0000-0000-0000E7140000}"/>
    <cellStyle name="40% - Accent2 9 4 2" xfId="4799" xr:uid="{00000000-0005-0000-0000-0000E8140000}"/>
    <cellStyle name="40% - Accent2 9 4 3" xfId="6916" xr:uid="{00000000-0005-0000-0000-0000E9140000}"/>
    <cellStyle name="40% - Accent2 9 4 4" xfId="8964" xr:uid="{00000000-0005-0000-0000-0000EA140000}"/>
    <cellStyle name="40% - Accent2 9 5" xfId="2291" xr:uid="{00000000-0005-0000-0000-0000EB140000}"/>
    <cellStyle name="40% - Accent2 9 5 2" xfId="4800" xr:uid="{00000000-0005-0000-0000-0000EC140000}"/>
    <cellStyle name="40% - Accent2 9 5 3" xfId="6917" xr:uid="{00000000-0005-0000-0000-0000ED140000}"/>
    <cellStyle name="40% - Accent2 9 5 4" xfId="8965" xr:uid="{00000000-0005-0000-0000-0000EE140000}"/>
    <cellStyle name="40% - Accent2 9 6" xfId="2292" xr:uid="{00000000-0005-0000-0000-0000EF140000}"/>
    <cellStyle name="40% - Accent2 9 6 2" xfId="4801" xr:uid="{00000000-0005-0000-0000-0000F0140000}"/>
    <cellStyle name="40% - Accent2 9 6 3" xfId="6918" xr:uid="{00000000-0005-0000-0000-0000F1140000}"/>
    <cellStyle name="40% - Accent2 9 6 4" xfId="8966" xr:uid="{00000000-0005-0000-0000-0000F2140000}"/>
    <cellStyle name="40% - Accent2 9 7" xfId="2293" xr:uid="{00000000-0005-0000-0000-0000F3140000}"/>
    <cellStyle name="40% - Accent2 9 7 2" xfId="4802" xr:uid="{00000000-0005-0000-0000-0000F4140000}"/>
    <cellStyle name="40% - Accent2 9 7 3" xfId="6919" xr:uid="{00000000-0005-0000-0000-0000F5140000}"/>
    <cellStyle name="40% - Accent2 9 7 4" xfId="8967" xr:uid="{00000000-0005-0000-0000-0000F6140000}"/>
    <cellStyle name="40% - Accent2 9 8" xfId="4796" xr:uid="{00000000-0005-0000-0000-0000F7140000}"/>
    <cellStyle name="40% - Accent2 9 9" xfId="6913" xr:uid="{00000000-0005-0000-0000-0000F8140000}"/>
    <cellStyle name="40% - Accent3 10" xfId="2294" xr:uid="{00000000-0005-0000-0000-0000F9140000}"/>
    <cellStyle name="40% - Accent3 10 10" xfId="8968" xr:uid="{00000000-0005-0000-0000-0000FA140000}"/>
    <cellStyle name="40% - Accent3 10 2" xfId="2295" xr:uid="{00000000-0005-0000-0000-0000FB140000}"/>
    <cellStyle name="40% - Accent3 10 2 2" xfId="4804" xr:uid="{00000000-0005-0000-0000-0000FC140000}"/>
    <cellStyle name="40% - Accent3 10 2 3" xfId="6921" xr:uid="{00000000-0005-0000-0000-0000FD140000}"/>
    <cellStyle name="40% - Accent3 10 2 4" xfId="8969" xr:uid="{00000000-0005-0000-0000-0000FE140000}"/>
    <cellStyle name="40% - Accent3 10 3" xfId="2296" xr:uid="{00000000-0005-0000-0000-0000FF140000}"/>
    <cellStyle name="40% - Accent3 10 3 2" xfId="4805" xr:uid="{00000000-0005-0000-0000-000000150000}"/>
    <cellStyle name="40% - Accent3 10 3 3" xfId="6922" xr:uid="{00000000-0005-0000-0000-000001150000}"/>
    <cellStyle name="40% - Accent3 10 3 4" xfId="8970" xr:uid="{00000000-0005-0000-0000-000002150000}"/>
    <cellStyle name="40% - Accent3 10 4" xfId="2297" xr:uid="{00000000-0005-0000-0000-000003150000}"/>
    <cellStyle name="40% - Accent3 10 4 2" xfId="4806" xr:uid="{00000000-0005-0000-0000-000004150000}"/>
    <cellStyle name="40% - Accent3 10 4 3" xfId="6923" xr:uid="{00000000-0005-0000-0000-000005150000}"/>
    <cellStyle name="40% - Accent3 10 4 4" xfId="8971" xr:uid="{00000000-0005-0000-0000-000006150000}"/>
    <cellStyle name="40% - Accent3 10 5" xfId="2298" xr:uid="{00000000-0005-0000-0000-000007150000}"/>
    <cellStyle name="40% - Accent3 10 5 2" xfId="4807" xr:uid="{00000000-0005-0000-0000-000008150000}"/>
    <cellStyle name="40% - Accent3 10 5 3" xfId="6924" xr:uid="{00000000-0005-0000-0000-000009150000}"/>
    <cellStyle name="40% - Accent3 10 5 4" xfId="8972" xr:uid="{00000000-0005-0000-0000-00000A150000}"/>
    <cellStyle name="40% - Accent3 10 6" xfId="2299" xr:uid="{00000000-0005-0000-0000-00000B150000}"/>
    <cellStyle name="40% - Accent3 10 6 2" xfId="4808" xr:uid="{00000000-0005-0000-0000-00000C150000}"/>
    <cellStyle name="40% - Accent3 10 6 3" xfId="6925" xr:uid="{00000000-0005-0000-0000-00000D150000}"/>
    <cellStyle name="40% - Accent3 10 6 4" xfId="8973" xr:uid="{00000000-0005-0000-0000-00000E150000}"/>
    <cellStyle name="40% - Accent3 10 7" xfId="2300" xr:uid="{00000000-0005-0000-0000-00000F150000}"/>
    <cellStyle name="40% - Accent3 10 7 2" xfId="4809" xr:uid="{00000000-0005-0000-0000-000010150000}"/>
    <cellStyle name="40% - Accent3 10 7 3" xfId="6926" xr:uid="{00000000-0005-0000-0000-000011150000}"/>
    <cellStyle name="40% - Accent3 10 7 4" xfId="8974" xr:uid="{00000000-0005-0000-0000-000012150000}"/>
    <cellStyle name="40% - Accent3 10 8" xfId="4803" xr:uid="{00000000-0005-0000-0000-000013150000}"/>
    <cellStyle name="40% - Accent3 10 9" xfId="6920" xr:uid="{00000000-0005-0000-0000-000014150000}"/>
    <cellStyle name="40% - Accent3 11" xfId="2301" xr:uid="{00000000-0005-0000-0000-000015150000}"/>
    <cellStyle name="40% - Accent3 11 2" xfId="2302" xr:uid="{00000000-0005-0000-0000-000016150000}"/>
    <cellStyle name="40% - Accent3 11 2 2" xfId="4811" xr:uid="{00000000-0005-0000-0000-000017150000}"/>
    <cellStyle name="40% - Accent3 11 2 3" xfId="6928" xr:uid="{00000000-0005-0000-0000-000018150000}"/>
    <cellStyle name="40% - Accent3 11 2 4" xfId="8976" xr:uid="{00000000-0005-0000-0000-000019150000}"/>
    <cellStyle name="40% - Accent3 11 3" xfId="2303" xr:uid="{00000000-0005-0000-0000-00001A150000}"/>
    <cellStyle name="40% - Accent3 11 3 2" xfId="4812" xr:uid="{00000000-0005-0000-0000-00001B150000}"/>
    <cellStyle name="40% - Accent3 11 3 3" xfId="6929" xr:uid="{00000000-0005-0000-0000-00001C150000}"/>
    <cellStyle name="40% - Accent3 11 3 4" xfId="8977" xr:uid="{00000000-0005-0000-0000-00001D150000}"/>
    <cellStyle name="40% - Accent3 11 4" xfId="2304" xr:uid="{00000000-0005-0000-0000-00001E150000}"/>
    <cellStyle name="40% - Accent3 11 4 2" xfId="4813" xr:uid="{00000000-0005-0000-0000-00001F150000}"/>
    <cellStyle name="40% - Accent3 11 4 3" xfId="6930" xr:uid="{00000000-0005-0000-0000-000020150000}"/>
    <cellStyle name="40% - Accent3 11 4 4" xfId="8978" xr:uid="{00000000-0005-0000-0000-000021150000}"/>
    <cellStyle name="40% - Accent3 11 5" xfId="2305" xr:uid="{00000000-0005-0000-0000-000022150000}"/>
    <cellStyle name="40% - Accent3 11 5 2" xfId="4814" xr:uid="{00000000-0005-0000-0000-000023150000}"/>
    <cellStyle name="40% - Accent3 11 5 3" xfId="6931" xr:uid="{00000000-0005-0000-0000-000024150000}"/>
    <cellStyle name="40% - Accent3 11 5 4" xfId="8979" xr:uid="{00000000-0005-0000-0000-000025150000}"/>
    <cellStyle name="40% - Accent3 11 6" xfId="2306" xr:uid="{00000000-0005-0000-0000-000026150000}"/>
    <cellStyle name="40% - Accent3 11 6 2" xfId="4815" xr:uid="{00000000-0005-0000-0000-000027150000}"/>
    <cellStyle name="40% - Accent3 11 6 3" xfId="6932" xr:uid="{00000000-0005-0000-0000-000028150000}"/>
    <cellStyle name="40% - Accent3 11 6 4" xfId="8980" xr:uid="{00000000-0005-0000-0000-000029150000}"/>
    <cellStyle name="40% - Accent3 11 7" xfId="4810" xr:uid="{00000000-0005-0000-0000-00002A150000}"/>
    <cellStyle name="40% - Accent3 11 8" xfId="6927" xr:uid="{00000000-0005-0000-0000-00002B150000}"/>
    <cellStyle name="40% - Accent3 11 9" xfId="8975" xr:uid="{00000000-0005-0000-0000-00002C150000}"/>
    <cellStyle name="40% - Accent3 12" xfId="2307" xr:uid="{00000000-0005-0000-0000-00002D150000}"/>
    <cellStyle name="40% - Accent3 12 2" xfId="2308" xr:uid="{00000000-0005-0000-0000-00002E150000}"/>
    <cellStyle name="40% - Accent3 12 2 2" xfId="4817" xr:uid="{00000000-0005-0000-0000-00002F150000}"/>
    <cellStyle name="40% - Accent3 12 2 3" xfId="6934" xr:uid="{00000000-0005-0000-0000-000030150000}"/>
    <cellStyle name="40% - Accent3 12 2 4" xfId="8982" xr:uid="{00000000-0005-0000-0000-000031150000}"/>
    <cellStyle name="40% - Accent3 12 3" xfId="2309" xr:uid="{00000000-0005-0000-0000-000032150000}"/>
    <cellStyle name="40% - Accent3 12 3 2" xfId="4818" xr:uid="{00000000-0005-0000-0000-000033150000}"/>
    <cellStyle name="40% - Accent3 12 3 3" xfId="6935" xr:uid="{00000000-0005-0000-0000-000034150000}"/>
    <cellStyle name="40% - Accent3 12 3 4" xfId="8983" xr:uid="{00000000-0005-0000-0000-000035150000}"/>
    <cellStyle name="40% - Accent3 12 4" xfId="2310" xr:uid="{00000000-0005-0000-0000-000036150000}"/>
    <cellStyle name="40% - Accent3 12 4 2" xfId="4819" xr:uid="{00000000-0005-0000-0000-000037150000}"/>
    <cellStyle name="40% - Accent3 12 4 3" xfId="6936" xr:uid="{00000000-0005-0000-0000-000038150000}"/>
    <cellStyle name="40% - Accent3 12 4 4" xfId="8984" xr:uid="{00000000-0005-0000-0000-000039150000}"/>
    <cellStyle name="40% - Accent3 12 5" xfId="2311" xr:uid="{00000000-0005-0000-0000-00003A150000}"/>
    <cellStyle name="40% - Accent3 12 5 2" xfId="4820" xr:uid="{00000000-0005-0000-0000-00003B150000}"/>
    <cellStyle name="40% - Accent3 12 5 3" xfId="6937" xr:uid="{00000000-0005-0000-0000-00003C150000}"/>
    <cellStyle name="40% - Accent3 12 5 4" xfId="8985" xr:uid="{00000000-0005-0000-0000-00003D150000}"/>
    <cellStyle name="40% - Accent3 12 6" xfId="4816" xr:uid="{00000000-0005-0000-0000-00003E150000}"/>
    <cellStyle name="40% - Accent3 12 7" xfId="6933" xr:uid="{00000000-0005-0000-0000-00003F150000}"/>
    <cellStyle name="40% - Accent3 12 8" xfId="8981" xr:uid="{00000000-0005-0000-0000-000040150000}"/>
    <cellStyle name="40% - Accent3 13" xfId="2312" xr:uid="{00000000-0005-0000-0000-000041150000}"/>
    <cellStyle name="40% - Accent3 13 2" xfId="2313" xr:uid="{00000000-0005-0000-0000-000042150000}"/>
    <cellStyle name="40% - Accent3 13 2 2" xfId="4822" xr:uid="{00000000-0005-0000-0000-000043150000}"/>
    <cellStyle name="40% - Accent3 13 2 3" xfId="6939" xr:uid="{00000000-0005-0000-0000-000044150000}"/>
    <cellStyle name="40% - Accent3 13 2 4" xfId="8987" xr:uid="{00000000-0005-0000-0000-000045150000}"/>
    <cellStyle name="40% - Accent3 13 3" xfId="2314" xr:uid="{00000000-0005-0000-0000-000046150000}"/>
    <cellStyle name="40% - Accent3 13 3 2" xfId="4823" xr:uid="{00000000-0005-0000-0000-000047150000}"/>
    <cellStyle name="40% - Accent3 13 3 3" xfId="6940" xr:uid="{00000000-0005-0000-0000-000048150000}"/>
    <cellStyle name="40% - Accent3 13 3 4" xfId="8988" xr:uid="{00000000-0005-0000-0000-000049150000}"/>
    <cellStyle name="40% - Accent3 13 4" xfId="2315" xr:uid="{00000000-0005-0000-0000-00004A150000}"/>
    <cellStyle name="40% - Accent3 13 4 2" xfId="4824" xr:uid="{00000000-0005-0000-0000-00004B150000}"/>
    <cellStyle name="40% - Accent3 13 4 3" xfId="6941" xr:uid="{00000000-0005-0000-0000-00004C150000}"/>
    <cellStyle name="40% - Accent3 13 4 4" xfId="8989" xr:uid="{00000000-0005-0000-0000-00004D150000}"/>
    <cellStyle name="40% - Accent3 13 5" xfId="2316" xr:uid="{00000000-0005-0000-0000-00004E150000}"/>
    <cellStyle name="40% - Accent3 13 5 2" xfId="4825" xr:uid="{00000000-0005-0000-0000-00004F150000}"/>
    <cellStyle name="40% - Accent3 13 5 3" xfId="6942" xr:uid="{00000000-0005-0000-0000-000050150000}"/>
    <cellStyle name="40% - Accent3 13 5 4" xfId="8990" xr:uid="{00000000-0005-0000-0000-000051150000}"/>
    <cellStyle name="40% - Accent3 13 6" xfId="4821" xr:uid="{00000000-0005-0000-0000-000052150000}"/>
    <cellStyle name="40% - Accent3 13 7" xfId="6938" xr:uid="{00000000-0005-0000-0000-000053150000}"/>
    <cellStyle name="40% - Accent3 13 8" xfId="8986" xr:uid="{00000000-0005-0000-0000-000054150000}"/>
    <cellStyle name="40% - Accent3 14" xfId="2317" xr:uid="{00000000-0005-0000-0000-000055150000}"/>
    <cellStyle name="40% - Accent3 14 2" xfId="2318" xr:uid="{00000000-0005-0000-0000-000056150000}"/>
    <cellStyle name="40% - Accent3 14 2 2" xfId="4827" xr:uid="{00000000-0005-0000-0000-000057150000}"/>
    <cellStyle name="40% - Accent3 14 2 3" xfId="6944" xr:uid="{00000000-0005-0000-0000-000058150000}"/>
    <cellStyle name="40% - Accent3 14 2 4" xfId="8992" xr:uid="{00000000-0005-0000-0000-000059150000}"/>
    <cellStyle name="40% - Accent3 14 3" xfId="2319" xr:uid="{00000000-0005-0000-0000-00005A150000}"/>
    <cellStyle name="40% - Accent3 14 3 2" xfId="4828" xr:uid="{00000000-0005-0000-0000-00005B150000}"/>
    <cellStyle name="40% - Accent3 14 3 3" xfId="6945" xr:uid="{00000000-0005-0000-0000-00005C150000}"/>
    <cellStyle name="40% - Accent3 14 3 4" xfId="8993" xr:uid="{00000000-0005-0000-0000-00005D150000}"/>
    <cellStyle name="40% - Accent3 14 4" xfId="2320" xr:uid="{00000000-0005-0000-0000-00005E150000}"/>
    <cellStyle name="40% - Accent3 14 4 2" xfId="4829" xr:uid="{00000000-0005-0000-0000-00005F150000}"/>
    <cellStyle name="40% - Accent3 14 4 3" xfId="6946" xr:uid="{00000000-0005-0000-0000-000060150000}"/>
    <cellStyle name="40% - Accent3 14 4 4" xfId="8994" xr:uid="{00000000-0005-0000-0000-000061150000}"/>
    <cellStyle name="40% - Accent3 14 5" xfId="4826" xr:uid="{00000000-0005-0000-0000-000062150000}"/>
    <cellStyle name="40% - Accent3 14 6" xfId="6943" xr:uid="{00000000-0005-0000-0000-000063150000}"/>
    <cellStyle name="40% - Accent3 14 7" xfId="8991" xr:uid="{00000000-0005-0000-0000-000064150000}"/>
    <cellStyle name="40% - Accent3 15" xfId="2321" xr:uid="{00000000-0005-0000-0000-000065150000}"/>
    <cellStyle name="40% - Accent3 15 2" xfId="2322" xr:uid="{00000000-0005-0000-0000-000066150000}"/>
    <cellStyle name="40% - Accent3 15 2 2" xfId="4831" xr:uid="{00000000-0005-0000-0000-000067150000}"/>
    <cellStyle name="40% - Accent3 15 2 3" xfId="6948" xr:uid="{00000000-0005-0000-0000-000068150000}"/>
    <cellStyle name="40% - Accent3 15 2 4" xfId="8996" xr:uid="{00000000-0005-0000-0000-000069150000}"/>
    <cellStyle name="40% - Accent3 15 3" xfId="2323" xr:uid="{00000000-0005-0000-0000-00006A150000}"/>
    <cellStyle name="40% - Accent3 15 3 2" xfId="4832" xr:uid="{00000000-0005-0000-0000-00006B150000}"/>
    <cellStyle name="40% - Accent3 15 3 3" xfId="6949" xr:uid="{00000000-0005-0000-0000-00006C150000}"/>
    <cellStyle name="40% - Accent3 15 3 4" xfId="8997" xr:uid="{00000000-0005-0000-0000-00006D150000}"/>
    <cellStyle name="40% - Accent3 15 4" xfId="2324" xr:uid="{00000000-0005-0000-0000-00006E150000}"/>
    <cellStyle name="40% - Accent3 15 4 2" xfId="4833" xr:uid="{00000000-0005-0000-0000-00006F150000}"/>
    <cellStyle name="40% - Accent3 15 4 3" xfId="6950" xr:uid="{00000000-0005-0000-0000-000070150000}"/>
    <cellStyle name="40% - Accent3 15 4 4" xfId="8998" xr:uid="{00000000-0005-0000-0000-000071150000}"/>
    <cellStyle name="40% - Accent3 15 5" xfId="4830" xr:uid="{00000000-0005-0000-0000-000072150000}"/>
    <cellStyle name="40% - Accent3 15 6" xfId="6947" xr:uid="{00000000-0005-0000-0000-000073150000}"/>
    <cellStyle name="40% - Accent3 15 7" xfId="8995" xr:uid="{00000000-0005-0000-0000-000074150000}"/>
    <cellStyle name="40% - Accent3 16" xfId="2325" xr:uid="{00000000-0005-0000-0000-000075150000}"/>
    <cellStyle name="40% - Accent3 16 2" xfId="2326" xr:uid="{00000000-0005-0000-0000-000076150000}"/>
    <cellStyle name="40% - Accent3 16 2 2" xfId="4835" xr:uid="{00000000-0005-0000-0000-000077150000}"/>
    <cellStyle name="40% - Accent3 16 2 3" xfId="6952" xr:uid="{00000000-0005-0000-0000-000078150000}"/>
    <cellStyle name="40% - Accent3 16 2 4" xfId="9000" xr:uid="{00000000-0005-0000-0000-000079150000}"/>
    <cellStyle name="40% - Accent3 16 3" xfId="2327" xr:uid="{00000000-0005-0000-0000-00007A150000}"/>
    <cellStyle name="40% - Accent3 16 3 2" xfId="4836" xr:uid="{00000000-0005-0000-0000-00007B150000}"/>
    <cellStyle name="40% - Accent3 16 3 3" xfId="6953" xr:uid="{00000000-0005-0000-0000-00007C150000}"/>
    <cellStyle name="40% - Accent3 16 3 4" xfId="9001" xr:uid="{00000000-0005-0000-0000-00007D150000}"/>
    <cellStyle name="40% - Accent3 16 4" xfId="4834" xr:uid="{00000000-0005-0000-0000-00007E150000}"/>
    <cellStyle name="40% - Accent3 16 5" xfId="6951" xr:uid="{00000000-0005-0000-0000-00007F150000}"/>
    <cellStyle name="40% - Accent3 16 6" xfId="8999" xr:uid="{00000000-0005-0000-0000-000080150000}"/>
    <cellStyle name="40% - Accent3 17" xfId="2328" xr:uid="{00000000-0005-0000-0000-000081150000}"/>
    <cellStyle name="40% - Accent3 17 2" xfId="2329" xr:uid="{00000000-0005-0000-0000-000082150000}"/>
    <cellStyle name="40% - Accent3 17 2 2" xfId="4838" xr:uid="{00000000-0005-0000-0000-000083150000}"/>
    <cellStyle name="40% - Accent3 17 2 3" xfId="6955" xr:uid="{00000000-0005-0000-0000-000084150000}"/>
    <cellStyle name="40% - Accent3 17 2 4" xfId="9003" xr:uid="{00000000-0005-0000-0000-000085150000}"/>
    <cellStyle name="40% - Accent3 17 3" xfId="2330" xr:uid="{00000000-0005-0000-0000-000086150000}"/>
    <cellStyle name="40% - Accent3 17 3 2" xfId="4839" xr:uid="{00000000-0005-0000-0000-000087150000}"/>
    <cellStyle name="40% - Accent3 17 3 3" xfId="6956" xr:uid="{00000000-0005-0000-0000-000088150000}"/>
    <cellStyle name="40% - Accent3 17 3 4" xfId="9004" xr:uid="{00000000-0005-0000-0000-000089150000}"/>
    <cellStyle name="40% - Accent3 17 4" xfId="4837" xr:uid="{00000000-0005-0000-0000-00008A150000}"/>
    <cellStyle name="40% - Accent3 17 5" xfId="6954" xr:uid="{00000000-0005-0000-0000-00008B150000}"/>
    <cellStyle name="40% - Accent3 17 6" xfId="9002" xr:uid="{00000000-0005-0000-0000-00008C150000}"/>
    <cellStyle name="40% - Accent3 18" xfId="2331" xr:uid="{00000000-0005-0000-0000-00008D150000}"/>
    <cellStyle name="40% - Accent3 18 2" xfId="2332" xr:uid="{00000000-0005-0000-0000-00008E150000}"/>
    <cellStyle name="40% - Accent3 18 2 2" xfId="4841" xr:uid="{00000000-0005-0000-0000-00008F150000}"/>
    <cellStyle name="40% - Accent3 18 2 3" xfId="6958" xr:uid="{00000000-0005-0000-0000-000090150000}"/>
    <cellStyle name="40% - Accent3 18 2 4" xfId="9006" xr:uid="{00000000-0005-0000-0000-000091150000}"/>
    <cellStyle name="40% - Accent3 18 3" xfId="2333" xr:uid="{00000000-0005-0000-0000-000092150000}"/>
    <cellStyle name="40% - Accent3 18 3 2" xfId="4842" xr:uid="{00000000-0005-0000-0000-000093150000}"/>
    <cellStyle name="40% - Accent3 18 3 3" xfId="6959" xr:uid="{00000000-0005-0000-0000-000094150000}"/>
    <cellStyle name="40% - Accent3 18 3 4" xfId="9007" xr:uid="{00000000-0005-0000-0000-000095150000}"/>
    <cellStyle name="40% - Accent3 18 4" xfId="4840" xr:uid="{00000000-0005-0000-0000-000096150000}"/>
    <cellStyle name="40% - Accent3 18 5" xfId="6957" xr:uid="{00000000-0005-0000-0000-000097150000}"/>
    <cellStyle name="40% - Accent3 18 6" xfId="9005" xr:uid="{00000000-0005-0000-0000-000098150000}"/>
    <cellStyle name="40% - Accent3 19" xfId="2334" xr:uid="{00000000-0005-0000-0000-000099150000}"/>
    <cellStyle name="40% - Accent3 19 2" xfId="2335" xr:uid="{00000000-0005-0000-0000-00009A150000}"/>
    <cellStyle name="40% - Accent3 19 2 2" xfId="4844" xr:uid="{00000000-0005-0000-0000-00009B150000}"/>
    <cellStyle name="40% - Accent3 19 2 3" xfId="6961" xr:uid="{00000000-0005-0000-0000-00009C150000}"/>
    <cellStyle name="40% - Accent3 19 2 4" xfId="9009" xr:uid="{00000000-0005-0000-0000-00009D150000}"/>
    <cellStyle name="40% - Accent3 19 3" xfId="2336" xr:uid="{00000000-0005-0000-0000-00009E150000}"/>
    <cellStyle name="40% - Accent3 19 3 2" xfId="4845" xr:uid="{00000000-0005-0000-0000-00009F150000}"/>
    <cellStyle name="40% - Accent3 19 3 3" xfId="6962" xr:uid="{00000000-0005-0000-0000-0000A0150000}"/>
    <cellStyle name="40% - Accent3 19 3 4" xfId="9010" xr:uid="{00000000-0005-0000-0000-0000A1150000}"/>
    <cellStyle name="40% - Accent3 19 4" xfId="4843" xr:uid="{00000000-0005-0000-0000-0000A2150000}"/>
    <cellStyle name="40% - Accent3 19 5" xfId="6960" xr:uid="{00000000-0005-0000-0000-0000A3150000}"/>
    <cellStyle name="40% - Accent3 19 6" xfId="9008" xr:uid="{00000000-0005-0000-0000-0000A4150000}"/>
    <cellStyle name="40% - Accent3 2" xfId="2337" xr:uid="{00000000-0005-0000-0000-0000A5150000}"/>
    <cellStyle name="40% - Accent3 2 2" xfId="2338" xr:uid="{00000000-0005-0000-0000-0000A6150000}"/>
    <cellStyle name="40% - Accent3 2 2 2" xfId="2339" xr:uid="{00000000-0005-0000-0000-0000A7150000}"/>
    <cellStyle name="40% - Accent3 2 2 2 2" xfId="4846" xr:uid="{00000000-0005-0000-0000-0000A8150000}"/>
    <cellStyle name="40% - Accent3 2 2 2 3" xfId="6963" xr:uid="{00000000-0005-0000-0000-0000A9150000}"/>
    <cellStyle name="40% - Accent3 2 2 2 4" xfId="9011" xr:uid="{00000000-0005-0000-0000-0000AA150000}"/>
    <cellStyle name="40% - Accent3 2 3" xfId="2340" xr:uid="{00000000-0005-0000-0000-0000AB150000}"/>
    <cellStyle name="40% - Accent3 2 3 2" xfId="4847" xr:uid="{00000000-0005-0000-0000-0000AC150000}"/>
    <cellStyle name="40% - Accent3 2 3 3" xfId="6964" xr:uid="{00000000-0005-0000-0000-0000AD150000}"/>
    <cellStyle name="40% - Accent3 2 3 4" xfId="9012" xr:uid="{00000000-0005-0000-0000-0000AE150000}"/>
    <cellStyle name="40% - Accent3 2 4" xfId="2341" xr:uid="{00000000-0005-0000-0000-0000AF150000}"/>
    <cellStyle name="40% - Accent3 2 4 2" xfId="4848" xr:uid="{00000000-0005-0000-0000-0000B0150000}"/>
    <cellStyle name="40% - Accent3 2 4 3" xfId="6965" xr:uid="{00000000-0005-0000-0000-0000B1150000}"/>
    <cellStyle name="40% - Accent3 2 4 4" xfId="9013" xr:uid="{00000000-0005-0000-0000-0000B2150000}"/>
    <cellStyle name="40% - Accent3 2 5" xfId="2342" xr:uid="{00000000-0005-0000-0000-0000B3150000}"/>
    <cellStyle name="40% - Accent3 2 5 2" xfId="4849" xr:uid="{00000000-0005-0000-0000-0000B4150000}"/>
    <cellStyle name="40% - Accent3 2 5 3" xfId="6966" xr:uid="{00000000-0005-0000-0000-0000B5150000}"/>
    <cellStyle name="40% - Accent3 2 5 4" xfId="9014" xr:uid="{00000000-0005-0000-0000-0000B6150000}"/>
    <cellStyle name="40% - Accent3 2 6" xfId="2343" xr:uid="{00000000-0005-0000-0000-0000B7150000}"/>
    <cellStyle name="40% - Accent3 2 6 2" xfId="4850" xr:uid="{00000000-0005-0000-0000-0000B8150000}"/>
    <cellStyle name="40% - Accent3 2 6 3" xfId="6967" xr:uid="{00000000-0005-0000-0000-0000B9150000}"/>
    <cellStyle name="40% - Accent3 2 6 4" xfId="9015" xr:uid="{00000000-0005-0000-0000-0000BA150000}"/>
    <cellStyle name="40% - Accent3 2 7" xfId="2344" xr:uid="{00000000-0005-0000-0000-0000BB150000}"/>
    <cellStyle name="40% - Accent3 2 7 2" xfId="4851" xr:uid="{00000000-0005-0000-0000-0000BC150000}"/>
    <cellStyle name="40% - Accent3 2 7 3" xfId="6968" xr:uid="{00000000-0005-0000-0000-0000BD150000}"/>
    <cellStyle name="40% - Accent3 2 7 4" xfId="9016" xr:uid="{00000000-0005-0000-0000-0000BE150000}"/>
    <cellStyle name="40% - Accent3 2 8" xfId="2345" xr:uid="{00000000-0005-0000-0000-0000BF150000}"/>
    <cellStyle name="40% - Accent3 2 8 2" xfId="4852" xr:uid="{00000000-0005-0000-0000-0000C0150000}"/>
    <cellStyle name="40% - Accent3 2 8 3" xfId="6969" xr:uid="{00000000-0005-0000-0000-0000C1150000}"/>
    <cellStyle name="40% - Accent3 2 8 4" xfId="9017" xr:uid="{00000000-0005-0000-0000-0000C2150000}"/>
    <cellStyle name="40% - Accent3 2 9" xfId="2346" xr:uid="{00000000-0005-0000-0000-0000C3150000}"/>
    <cellStyle name="40% - Accent3 20" xfId="2347" xr:uid="{00000000-0005-0000-0000-0000C4150000}"/>
    <cellStyle name="40% - Accent3 20 2" xfId="2348" xr:uid="{00000000-0005-0000-0000-0000C5150000}"/>
    <cellStyle name="40% - Accent3 20 2 2" xfId="4854" xr:uid="{00000000-0005-0000-0000-0000C6150000}"/>
    <cellStyle name="40% - Accent3 20 2 3" xfId="6971" xr:uid="{00000000-0005-0000-0000-0000C7150000}"/>
    <cellStyle name="40% - Accent3 20 2 4" xfId="9019" xr:uid="{00000000-0005-0000-0000-0000C8150000}"/>
    <cellStyle name="40% - Accent3 20 3" xfId="2349" xr:uid="{00000000-0005-0000-0000-0000C9150000}"/>
    <cellStyle name="40% - Accent3 20 3 2" xfId="4855" xr:uid="{00000000-0005-0000-0000-0000CA150000}"/>
    <cellStyle name="40% - Accent3 20 3 3" xfId="6972" xr:uid="{00000000-0005-0000-0000-0000CB150000}"/>
    <cellStyle name="40% - Accent3 20 3 4" xfId="9020" xr:uid="{00000000-0005-0000-0000-0000CC150000}"/>
    <cellStyle name="40% - Accent3 20 4" xfId="4853" xr:uid="{00000000-0005-0000-0000-0000CD150000}"/>
    <cellStyle name="40% - Accent3 20 5" xfId="6970" xr:uid="{00000000-0005-0000-0000-0000CE150000}"/>
    <cellStyle name="40% - Accent3 20 6" xfId="9018" xr:uid="{00000000-0005-0000-0000-0000CF150000}"/>
    <cellStyle name="40% - Accent3 21" xfId="2350" xr:uid="{00000000-0005-0000-0000-0000D0150000}"/>
    <cellStyle name="40% - Accent3 21 2" xfId="2351" xr:uid="{00000000-0005-0000-0000-0000D1150000}"/>
    <cellStyle name="40% - Accent3 21 2 2" xfId="4857" xr:uid="{00000000-0005-0000-0000-0000D2150000}"/>
    <cellStyle name="40% - Accent3 21 2 3" xfId="6974" xr:uid="{00000000-0005-0000-0000-0000D3150000}"/>
    <cellStyle name="40% - Accent3 21 2 4" xfId="9022" xr:uid="{00000000-0005-0000-0000-0000D4150000}"/>
    <cellStyle name="40% - Accent3 21 3" xfId="2352" xr:uid="{00000000-0005-0000-0000-0000D5150000}"/>
    <cellStyle name="40% - Accent3 21 3 2" xfId="4858" xr:uid="{00000000-0005-0000-0000-0000D6150000}"/>
    <cellStyle name="40% - Accent3 21 3 3" xfId="6975" xr:uid="{00000000-0005-0000-0000-0000D7150000}"/>
    <cellStyle name="40% - Accent3 21 3 4" xfId="9023" xr:uid="{00000000-0005-0000-0000-0000D8150000}"/>
    <cellStyle name="40% - Accent3 21 4" xfId="4856" xr:uid="{00000000-0005-0000-0000-0000D9150000}"/>
    <cellStyle name="40% - Accent3 21 5" xfId="6973" xr:uid="{00000000-0005-0000-0000-0000DA150000}"/>
    <cellStyle name="40% - Accent3 21 6" xfId="9021" xr:uid="{00000000-0005-0000-0000-0000DB150000}"/>
    <cellStyle name="40% - Accent3 22" xfId="2353" xr:uid="{00000000-0005-0000-0000-0000DC150000}"/>
    <cellStyle name="40% - Accent3 22 2" xfId="2354" xr:uid="{00000000-0005-0000-0000-0000DD150000}"/>
    <cellStyle name="40% - Accent3 22 2 2" xfId="4860" xr:uid="{00000000-0005-0000-0000-0000DE150000}"/>
    <cellStyle name="40% - Accent3 22 2 3" xfId="6977" xr:uid="{00000000-0005-0000-0000-0000DF150000}"/>
    <cellStyle name="40% - Accent3 22 2 4" xfId="9025" xr:uid="{00000000-0005-0000-0000-0000E0150000}"/>
    <cellStyle name="40% - Accent3 22 3" xfId="2355" xr:uid="{00000000-0005-0000-0000-0000E1150000}"/>
    <cellStyle name="40% - Accent3 22 3 2" xfId="4861" xr:uid="{00000000-0005-0000-0000-0000E2150000}"/>
    <cellStyle name="40% - Accent3 22 3 3" xfId="6978" xr:uid="{00000000-0005-0000-0000-0000E3150000}"/>
    <cellStyle name="40% - Accent3 22 3 4" xfId="9026" xr:uid="{00000000-0005-0000-0000-0000E4150000}"/>
    <cellStyle name="40% - Accent3 22 4" xfId="4859" xr:uid="{00000000-0005-0000-0000-0000E5150000}"/>
    <cellStyle name="40% - Accent3 22 5" xfId="6976" xr:uid="{00000000-0005-0000-0000-0000E6150000}"/>
    <cellStyle name="40% - Accent3 22 6" xfId="9024" xr:uid="{00000000-0005-0000-0000-0000E7150000}"/>
    <cellStyle name="40% - Accent3 23" xfId="2356" xr:uid="{00000000-0005-0000-0000-0000E8150000}"/>
    <cellStyle name="40% - Accent3 23 2" xfId="2357" xr:uid="{00000000-0005-0000-0000-0000E9150000}"/>
    <cellStyle name="40% - Accent3 23 2 2" xfId="4863" xr:uid="{00000000-0005-0000-0000-0000EA150000}"/>
    <cellStyle name="40% - Accent3 23 2 3" xfId="6980" xr:uid="{00000000-0005-0000-0000-0000EB150000}"/>
    <cellStyle name="40% - Accent3 23 2 4" xfId="9028" xr:uid="{00000000-0005-0000-0000-0000EC150000}"/>
    <cellStyle name="40% - Accent3 23 3" xfId="4862" xr:uid="{00000000-0005-0000-0000-0000ED150000}"/>
    <cellStyle name="40% - Accent3 23 4" xfId="6979" xr:uid="{00000000-0005-0000-0000-0000EE150000}"/>
    <cellStyle name="40% - Accent3 23 5" xfId="9027" xr:uid="{00000000-0005-0000-0000-0000EF150000}"/>
    <cellStyle name="40% - Accent3 24" xfId="2358" xr:uid="{00000000-0005-0000-0000-0000F0150000}"/>
    <cellStyle name="40% - Accent3 24 2" xfId="2359" xr:uid="{00000000-0005-0000-0000-0000F1150000}"/>
    <cellStyle name="40% - Accent3 24 2 2" xfId="4865" xr:uid="{00000000-0005-0000-0000-0000F2150000}"/>
    <cellStyle name="40% - Accent3 24 2 3" xfId="6982" xr:uid="{00000000-0005-0000-0000-0000F3150000}"/>
    <cellStyle name="40% - Accent3 24 2 4" xfId="9030" xr:uid="{00000000-0005-0000-0000-0000F4150000}"/>
    <cellStyle name="40% - Accent3 24 3" xfId="4864" xr:uid="{00000000-0005-0000-0000-0000F5150000}"/>
    <cellStyle name="40% - Accent3 24 4" xfId="6981" xr:uid="{00000000-0005-0000-0000-0000F6150000}"/>
    <cellStyle name="40% - Accent3 24 5" xfId="9029" xr:uid="{00000000-0005-0000-0000-0000F7150000}"/>
    <cellStyle name="40% - Accent3 25" xfId="2360" xr:uid="{00000000-0005-0000-0000-0000F8150000}"/>
    <cellStyle name="40% - Accent3 25 2" xfId="2361" xr:uid="{00000000-0005-0000-0000-0000F9150000}"/>
    <cellStyle name="40% - Accent3 25 2 2" xfId="4867" xr:uid="{00000000-0005-0000-0000-0000FA150000}"/>
    <cellStyle name="40% - Accent3 25 2 3" xfId="6984" xr:uid="{00000000-0005-0000-0000-0000FB150000}"/>
    <cellStyle name="40% - Accent3 25 2 4" xfId="9032" xr:uid="{00000000-0005-0000-0000-0000FC150000}"/>
    <cellStyle name="40% - Accent3 25 3" xfId="4866" xr:uid="{00000000-0005-0000-0000-0000FD150000}"/>
    <cellStyle name="40% - Accent3 25 4" xfId="6983" xr:uid="{00000000-0005-0000-0000-0000FE150000}"/>
    <cellStyle name="40% - Accent3 25 5" xfId="9031" xr:uid="{00000000-0005-0000-0000-0000FF150000}"/>
    <cellStyle name="40% - Accent3 26" xfId="2362" xr:uid="{00000000-0005-0000-0000-000000160000}"/>
    <cellStyle name="40% - Accent3 26 2" xfId="2363" xr:uid="{00000000-0005-0000-0000-000001160000}"/>
    <cellStyle name="40% - Accent3 26 2 2" xfId="4869" xr:uid="{00000000-0005-0000-0000-000002160000}"/>
    <cellStyle name="40% - Accent3 26 2 3" xfId="6986" xr:uid="{00000000-0005-0000-0000-000003160000}"/>
    <cellStyle name="40% - Accent3 26 2 4" xfId="9034" xr:uid="{00000000-0005-0000-0000-000004160000}"/>
    <cellStyle name="40% - Accent3 26 3" xfId="4868" xr:uid="{00000000-0005-0000-0000-000005160000}"/>
    <cellStyle name="40% - Accent3 26 4" xfId="6985" xr:uid="{00000000-0005-0000-0000-000006160000}"/>
    <cellStyle name="40% - Accent3 26 5" xfId="9033" xr:uid="{00000000-0005-0000-0000-000007160000}"/>
    <cellStyle name="40% - Accent3 27" xfId="2364" xr:uid="{00000000-0005-0000-0000-000008160000}"/>
    <cellStyle name="40% - Accent3 27 2" xfId="2365" xr:uid="{00000000-0005-0000-0000-000009160000}"/>
    <cellStyle name="40% - Accent3 27 2 2" xfId="4871" xr:uid="{00000000-0005-0000-0000-00000A160000}"/>
    <cellStyle name="40% - Accent3 27 2 3" xfId="6988" xr:uid="{00000000-0005-0000-0000-00000B160000}"/>
    <cellStyle name="40% - Accent3 27 2 4" xfId="9036" xr:uid="{00000000-0005-0000-0000-00000C160000}"/>
    <cellStyle name="40% - Accent3 27 3" xfId="4870" xr:uid="{00000000-0005-0000-0000-00000D160000}"/>
    <cellStyle name="40% - Accent3 27 4" xfId="6987" xr:uid="{00000000-0005-0000-0000-00000E160000}"/>
    <cellStyle name="40% - Accent3 27 5" xfId="9035" xr:uid="{00000000-0005-0000-0000-00000F160000}"/>
    <cellStyle name="40% - Accent3 28" xfId="2366" xr:uid="{00000000-0005-0000-0000-000010160000}"/>
    <cellStyle name="40% - Accent3 28 2" xfId="2367" xr:uid="{00000000-0005-0000-0000-000011160000}"/>
    <cellStyle name="40% - Accent3 28 2 2" xfId="4873" xr:uid="{00000000-0005-0000-0000-000012160000}"/>
    <cellStyle name="40% - Accent3 28 2 3" xfId="6990" xr:uid="{00000000-0005-0000-0000-000013160000}"/>
    <cellStyle name="40% - Accent3 28 2 4" xfId="9038" xr:uid="{00000000-0005-0000-0000-000014160000}"/>
    <cellStyle name="40% - Accent3 28 3" xfId="4872" xr:uid="{00000000-0005-0000-0000-000015160000}"/>
    <cellStyle name="40% - Accent3 28 4" xfId="6989" xr:uid="{00000000-0005-0000-0000-000016160000}"/>
    <cellStyle name="40% - Accent3 28 5" xfId="9037" xr:uid="{00000000-0005-0000-0000-000017160000}"/>
    <cellStyle name="40% - Accent3 29" xfId="2368" xr:uid="{00000000-0005-0000-0000-000018160000}"/>
    <cellStyle name="40% - Accent3 29 2" xfId="2369" xr:uid="{00000000-0005-0000-0000-000019160000}"/>
    <cellStyle name="40% - Accent3 29 2 2" xfId="4875" xr:uid="{00000000-0005-0000-0000-00001A160000}"/>
    <cellStyle name="40% - Accent3 29 2 3" xfId="6992" xr:uid="{00000000-0005-0000-0000-00001B160000}"/>
    <cellStyle name="40% - Accent3 29 2 4" xfId="9040" xr:uid="{00000000-0005-0000-0000-00001C160000}"/>
    <cellStyle name="40% - Accent3 29 3" xfId="4874" xr:uid="{00000000-0005-0000-0000-00001D160000}"/>
    <cellStyle name="40% - Accent3 29 4" xfId="6991" xr:uid="{00000000-0005-0000-0000-00001E160000}"/>
    <cellStyle name="40% - Accent3 29 5" xfId="9039" xr:uid="{00000000-0005-0000-0000-00001F160000}"/>
    <cellStyle name="40% - Accent3 3" xfId="2370" xr:uid="{00000000-0005-0000-0000-000020160000}"/>
    <cellStyle name="40% - Accent3 3 2" xfId="2371" xr:uid="{00000000-0005-0000-0000-000021160000}"/>
    <cellStyle name="40% - Accent3 3 2 2" xfId="4876" xr:uid="{00000000-0005-0000-0000-000022160000}"/>
    <cellStyle name="40% - Accent3 3 2 3" xfId="6993" xr:uid="{00000000-0005-0000-0000-000023160000}"/>
    <cellStyle name="40% - Accent3 3 2 4" xfId="9041" xr:uid="{00000000-0005-0000-0000-000024160000}"/>
    <cellStyle name="40% - Accent3 3 3" xfId="2372" xr:uid="{00000000-0005-0000-0000-000025160000}"/>
    <cellStyle name="40% - Accent3 3 3 2" xfId="4877" xr:uid="{00000000-0005-0000-0000-000026160000}"/>
    <cellStyle name="40% - Accent3 3 3 3" xfId="6994" xr:uid="{00000000-0005-0000-0000-000027160000}"/>
    <cellStyle name="40% - Accent3 3 3 4" xfId="9042" xr:uid="{00000000-0005-0000-0000-000028160000}"/>
    <cellStyle name="40% - Accent3 3 4" xfId="2373" xr:uid="{00000000-0005-0000-0000-000029160000}"/>
    <cellStyle name="40% - Accent3 3 4 2" xfId="4878" xr:uid="{00000000-0005-0000-0000-00002A160000}"/>
    <cellStyle name="40% - Accent3 3 4 3" xfId="6995" xr:uid="{00000000-0005-0000-0000-00002B160000}"/>
    <cellStyle name="40% - Accent3 3 4 4" xfId="9043" xr:uid="{00000000-0005-0000-0000-00002C160000}"/>
    <cellStyle name="40% - Accent3 3 5" xfId="2374" xr:uid="{00000000-0005-0000-0000-00002D160000}"/>
    <cellStyle name="40% - Accent3 3 5 2" xfId="4879" xr:uid="{00000000-0005-0000-0000-00002E160000}"/>
    <cellStyle name="40% - Accent3 3 5 3" xfId="6996" xr:uid="{00000000-0005-0000-0000-00002F160000}"/>
    <cellStyle name="40% - Accent3 3 5 4" xfId="9044" xr:uid="{00000000-0005-0000-0000-000030160000}"/>
    <cellStyle name="40% - Accent3 3 6" xfId="2375" xr:uid="{00000000-0005-0000-0000-000031160000}"/>
    <cellStyle name="40% - Accent3 3 6 2" xfId="4880" xr:uid="{00000000-0005-0000-0000-000032160000}"/>
    <cellStyle name="40% - Accent3 3 6 3" xfId="6997" xr:uid="{00000000-0005-0000-0000-000033160000}"/>
    <cellStyle name="40% - Accent3 3 6 4" xfId="9045" xr:uid="{00000000-0005-0000-0000-000034160000}"/>
    <cellStyle name="40% - Accent3 3 7" xfId="2376" xr:uid="{00000000-0005-0000-0000-000035160000}"/>
    <cellStyle name="40% - Accent3 3 7 2" xfId="4881" xr:uid="{00000000-0005-0000-0000-000036160000}"/>
    <cellStyle name="40% - Accent3 3 7 3" xfId="6998" xr:uid="{00000000-0005-0000-0000-000037160000}"/>
    <cellStyle name="40% - Accent3 3 7 4" xfId="9046" xr:uid="{00000000-0005-0000-0000-000038160000}"/>
    <cellStyle name="40% - Accent3 30" xfId="2377" xr:uid="{00000000-0005-0000-0000-000039160000}"/>
    <cellStyle name="40% - Accent3 30 2" xfId="2378" xr:uid="{00000000-0005-0000-0000-00003A160000}"/>
    <cellStyle name="40% - Accent3 30 2 2" xfId="4883" xr:uid="{00000000-0005-0000-0000-00003B160000}"/>
    <cellStyle name="40% - Accent3 30 2 3" xfId="7000" xr:uid="{00000000-0005-0000-0000-00003C160000}"/>
    <cellStyle name="40% - Accent3 30 2 4" xfId="9048" xr:uid="{00000000-0005-0000-0000-00003D160000}"/>
    <cellStyle name="40% - Accent3 30 3" xfId="4882" xr:uid="{00000000-0005-0000-0000-00003E160000}"/>
    <cellStyle name="40% - Accent3 30 4" xfId="6999" xr:uid="{00000000-0005-0000-0000-00003F160000}"/>
    <cellStyle name="40% - Accent3 30 5" xfId="9047" xr:uid="{00000000-0005-0000-0000-000040160000}"/>
    <cellStyle name="40% - Accent3 31" xfId="2379" xr:uid="{00000000-0005-0000-0000-000041160000}"/>
    <cellStyle name="40% - Accent3 31 2" xfId="2380" xr:uid="{00000000-0005-0000-0000-000042160000}"/>
    <cellStyle name="40% - Accent3 31 2 2" xfId="4885" xr:uid="{00000000-0005-0000-0000-000043160000}"/>
    <cellStyle name="40% - Accent3 31 2 3" xfId="7002" xr:uid="{00000000-0005-0000-0000-000044160000}"/>
    <cellStyle name="40% - Accent3 31 2 4" xfId="9050" xr:uid="{00000000-0005-0000-0000-000045160000}"/>
    <cellStyle name="40% - Accent3 31 3" xfId="4884" xr:uid="{00000000-0005-0000-0000-000046160000}"/>
    <cellStyle name="40% - Accent3 31 4" xfId="7001" xr:uid="{00000000-0005-0000-0000-000047160000}"/>
    <cellStyle name="40% - Accent3 31 5" xfId="9049" xr:uid="{00000000-0005-0000-0000-000048160000}"/>
    <cellStyle name="40% - Accent3 32" xfId="2381" xr:uid="{00000000-0005-0000-0000-000049160000}"/>
    <cellStyle name="40% - Accent3 32 2" xfId="2382" xr:uid="{00000000-0005-0000-0000-00004A160000}"/>
    <cellStyle name="40% - Accent3 32 2 2" xfId="4887" xr:uid="{00000000-0005-0000-0000-00004B160000}"/>
    <cellStyle name="40% - Accent3 32 2 3" xfId="7004" xr:uid="{00000000-0005-0000-0000-00004C160000}"/>
    <cellStyle name="40% - Accent3 32 2 4" xfId="9052" xr:uid="{00000000-0005-0000-0000-00004D160000}"/>
    <cellStyle name="40% - Accent3 32 3" xfId="4886" xr:uid="{00000000-0005-0000-0000-00004E160000}"/>
    <cellStyle name="40% - Accent3 32 4" xfId="7003" xr:uid="{00000000-0005-0000-0000-00004F160000}"/>
    <cellStyle name="40% - Accent3 32 5" xfId="9051" xr:uid="{00000000-0005-0000-0000-000050160000}"/>
    <cellStyle name="40% - Accent3 33" xfId="2383" xr:uid="{00000000-0005-0000-0000-000051160000}"/>
    <cellStyle name="40% - Accent3 33 2" xfId="4888" xr:uid="{00000000-0005-0000-0000-000052160000}"/>
    <cellStyle name="40% - Accent3 33 3" xfId="7005" xr:uid="{00000000-0005-0000-0000-000053160000}"/>
    <cellStyle name="40% - Accent3 33 4" xfId="9053" xr:uid="{00000000-0005-0000-0000-000054160000}"/>
    <cellStyle name="40% - Accent3 34" xfId="2384" xr:uid="{00000000-0005-0000-0000-000055160000}"/>
    <cellStyle name="40% - Accent3 34 2" xfId="4889" xr:uid="{00000000-0005-0000-0000-000056160000}"/>
    <cellStyle name="40% - Accent3 34 3" xfId="7006" xr:uid="{00000000-0005-0000-0000-000057160000}"/>
    <cellStyle name="40% - Accent3 34 4" xfId="9054" xr:uid="{00000000-0005-0000-0000-000058160000}"/>
    <cellStyle name="40% - Accent3 35" xfId="2385" xr:uid="{00000000-0005-0000-0000-000059160000}"/>
    <cellStyle name="40% - Accent3 35 2" xfId="4890" xr:uid="{00000000-0005-0000-0000-00005A160000}"/>
    <cellStyle name="40% - Accent3 35 3" xfId="7007" xr:uid="{00000000-0005-0000-0000-00005B160000}"/>
    <cellStyle name="40% - Accent3 35 4" xfId="9055" xr:uid="{00000000-0005-0000-0000-00005C160000}"/>
    <cellStyle name="40% - Accent3 36" xfId="2386" xr:uid="{00000000-0005-0000-0000-00005D160000}"/>
    <cellStyle name="40% - Accent3 36 2" xfId="4891" xr:uid="{00000000-0005-0000-0000-00005E160000}"/>
    <cellStyle name="40% - Accent3 36 3" xfId="7008" xr:uid="{00000000-0005-0000-0000-00005F160000}"/>
    <cellStyle name="40% - Accent3 36 4" xfId="9056" xr:uid="{00000000-0005-0000-0000-000060160000}"/>
    <cellStyle name="40% - Accent3 37" xfId="2387" xr:uid="{00000000-0005-0000-0000-000061160000}"/>
    <cellStyle name="40% - Accent3 37 2" xfId="4892" xr:uid="{00000000-0005-0000-0000-000062160000}"/>
    <cellStyle name="40% - Accent3 37 3" xfId="7009" xr:uid="{00000000-0005-0000-0000-000063160000}"/>
    <cellStyle name="40% - Accent3 37 4" xfId="9057" xr:uid="{00000000-0005-0000-0000-000064160000}"/>
    <cellStyle name="40% - Accent3 38" xfId="2388" xr:uid="{00000000-0005-0000-0000-000065160000}"/>
    <cellStyle name="40% - Accent3 38 2" xfId="4893" xr:uid="{00000000-0005-0000-0000-000066160000}"/>
    <cellStyle name="40% - Accent3 38 3" xfId="7010" xr:uid="{00000000-0005-0000-0000-000067160000}"/>
    <cellStyle name="40% - Accent3 38 4" xfId="9058" xr:uid="{00000000-0005-0000-0000-000068160000}"/>
    <cellStyle name="40% - Accent3 39" xfId="2389" xr:uid="{00000000-0005-0000-0000-000069160000}"/>
    <cellStyle name="40% - Accent3 39 2" xfId="4894" xr:uid="{00000000-0005-0000-0000-00006A160000}"/>
    <cellStyle name="40% - Accent3 39 3" xfId="7011" xr:uid="{00000000-0005-0000-0000-00006B160000}"/>
    <cellStyle name="40% - Accent3 39 4" xfId="9059" xr:uid="{00000000-0005-0000-0000-00006C160000}"/>
    <cellStyle name="40% - Accent3 4" xfId="2390" xr:uid="{00000000-0005-0000-0000-00006D160000}"/>
    <cellStyle name="40% - Accent3 4 2" xfId="2391" xr:uid="{00000000-0005-0000-0000-00006E160000}"/>
    <cellStyle name="40% - Accent3 4 2 2" xfId="4895" xr:uid="{00000000-0005-0000-0000-00006F160000}"/>
    <cellStyle name="40% - Accent3 4 2 3" xfId="7012" xr:uid="{00000000-0005-0000-0000-000070160000}"/>
    <cellStyle name="40% - Accent3 4 2 4" xfId="9060" xr:uid="{00000000-0005-0000-0000-000071160000}"/>
    <cellStyle name="40% - Accent3 4 3" xfId="2392" xr:uid="{00000000-0005-0000-0000-000072160000}"/>
    <cellStyle name="40% - Accent3 4 3 2" xfId="4896" xr:uid="{00000000-0005-0000-0000-000073160000}"/>
    <cellStyle name="40% - Accent3 4 3 3" xfId="7013" xr:uid="{00000000-0005-0000-0000-000074160000}"/>
    <cellStyle name="40% - Accent3 4 3 4" xfId="9061" xr:uid="{00000000-0005-0000-0000-000075160000}"/>
    <cellStyle name="40% - Accent3 4 4" xfId="2393" xr:uid="{00000000-0005-0000-0000-000076160000}"/>
    <cellStyle name="40% - Accent3 4 4 2" xfId="4897" xr:uid="{00000000-0005-0000-0000-000077160000}"/>
    <cellStyle name="40% - Accent3 4 4 3" xfId="7014" xr:uid="{00000000-0005-0000-0000-000078160000}"/>
    <cellStyle name="40% - Accent3 4 4 4" xfId="9062" xr:uid="{00000000-0005-0000-0000-000079160000}"/>
    <cellStyle name="40% - Accent3 4 5" xfId="2394" xr:uid="{00000000-0005-0000-0000-00007A160000}"/>
    <cellStyle name="40% - Accent3 4 5 2" xfId="4898" xr:uid="{00000000-0005-0000-0000-00007B160000}"/>
    <cellStyle name="40% - Accent3 4 5 3" xfId="7015" xr:uid="{00000000-0005-0000-0000-00007C160000}"/>
    <cellStyle name="40% - Accent3 4 5 4" xfId="9063" xr:uid="{00000000-0005-0000-0000-00007D160000}"/>
    <cellStyle name="40% - Accent3 4 6" xfId="2395" xr:uid="{00000000-0005-0000-0000-00007E160000}"/>
    <cellStyle name="40% - Accent3 4 6 2" xfId="4899" xr:uid="{00000000-0005-0000-0000-00007F160000}"/>
    <cellStyle name="40% - Accent3 4 6 3" xfId="7016" xr:uid="{00000000-0005-0000-0000-000080160000}"/>
    <cellStyle name="40% - Accent3 4 6 4" xfId="9064" xr:uid="{00000000-0005-0000-0000-000081160000}"/>
    <cellStyle name="40% - Accent3 4 7" xfId="2396" xr:uid="{00000000-0005-0000-0000-000082160000}"/>
    <cellStyle name="40% - Accent3 4 7 2" xfId="4900" xr:uid="{00000000-0005-0000-0000-000083160000}"/>
    <cellStyle name="40% - Accent3 4 7 3" xfId="7017" xr:uid="{00000000-0005-0000-0000-000084160000}"/>
    <cellStyle name="40% - Accent3 4 7 4" xfId="9065" xr:uid="{00000000-0005-0000-0000-000085160000}"/>
    <cellStyle name="40% - Accent3 40" xfId="2397" xr:uid="{00000000-0005-0000-0000-000086160000}"/>
    <cellStyle name="40% - Accent3 40 2" xfId="4901" xr:uid="{00000000-0005-0000-0000-000087160000}"/>
    <cellStyle name="40% - Accent3 40 3" xfId="7018" xr:uid="{00000000-0005-0000-0000-000088160000}"/>
    <cellStyle name="40% - Accent3 40 4" xfId="9066" xr:uid="{00000000-0005-0000-0000-000089160000}"/>
    <cellStyle name="40% - Accent3 41" xfId="2398" xr:uid="{00000000-0005-0000-0000-00008A160000}"/>
    <cellStyle name="40% - Accent3 41 2" xfId="4902" xr:uid="{00000000-0005-0000-0000-00008B160000}"/>
    <cellStyle name="40% - Accent3 41 3" xfId="7019" xr:uid="{00000000-0005-0000-0000-00008C160000}"/>
    <cellStyle name="40% - Accent3 41 4" xfId="9067" xr:uid="{00000000-0005-0000-0000-00008D160000}"/>
    <cellStyle name="40% - Accent3 42" xfId="2399" xr:uid="{00000000-0005-0000-0000-00008E160000}"/>
    <cellStyle name="40% - Accent3 42 2" xfId="4903" xr:uid="{00000000-0005-0000-0000-00008F160000}"/>
    <cellStyle name="40% - Accent3 42 3" xfId="7020" xr:uid="{00000000-0005-0000-0000-000090160000}"/>
    <cellStyle name="40% - Accent3 42 4" xfId="9068" xr:uid="{00000000-0005-0000-0000-000091160000}"/>
    <cellStyle name="40% - Accent3 43" xfId="2400" xr:uid="{00000000-0005-0000-0000-000092160000}"/>
    <cellStyle name="40% - Accent3 43 2" xfId="4904" xr:uid="{00000000-0005-0000-0000-000093160000}"/>
    <cellStyle name="40% - Accent3 43 3" xfId="7021" xr:uid="{00000000-0005-0000-0000-000094160000}"/>
    <cellStyle name="40% - Accent3 43 4" xfId="9069" xr:uid="{00000000-0005-0000-0000-000095160000}"/>
    <cellStyle name="40% - Accent3 44" xfId="2401" xr:uid="{00000000-0005-0000-0000-000096160000}"/>
    <cellStyle name="40% - Accent3 44 2" xfId="4905" xr:uid="{00000000-0005-0000-0000-000097160000}"/>
    <cellStyle name="40% - Accent3 44 3" xfId="7022" xr:uid="{00000000-0005-0000-0000-000098160000}"/>
    <cellStyle name="40% - Accent3 44 4" xfId="9070" xr:uid="{00000000-0005-0000-0000-000099160000}"/>
    <cellStyle name="40% - Accent3 45" xfId="2402" xr:uid="{00000000-0005-0000-0000-00009A160000}"/>
    <cellStyle name="40% - Accent3 45 2" xfId="4906" xr:uid="{00000000-0005-0000-0000-00009B160000}"/>
    <cellStyle name="40% - Accent3 45 3" xfId="7023" xr:uid="{00000000-0005-0000-0000-00009C160000}"/>
    <cellStyle name="40% - Accent3 45 4" xfId="9071" xr:uid="{00000000-0005-0000-0000-00009D160000}"/>
    <cellStyle name="40% - Accent3 46" xfId="2403" xr:uid="{00000000-0005-0000-0000-00009E160000}"/>
    <cellStyle name="40% - Accent3 46 2" xfId="4907" xr:uid="{00000000-0005-0000-0000-00009F160000}"/>
    <cellStyle name="40% - Accent3 46 3" xfId="7024" xr:uid="{00000000-0005-0000-0000-0000A0160000}"/>
    <cellStyle name="40% - Accent3 46 4" xfId="9072" xr:uid="{00000000-0005-0000-0000-0000A1160000}"/>
    <cellStyle name="40% - Accent3 47" xfId="2404" xr:uid="{00000000-0005-0000-0000-0000A2160000}"/>
    <cellStyle name="40% - Accent3 47 2" xfId="4908" xr:uid="{00000000-0005-0000-0000-0000A3160000}"/>
    <cellStyle name="40% - Accent3 47 3" xfId="7025" xr:uid="{00000000-0005-0000-0000-0000A4160000}"/>
    <cellStyle name="40% - Accent3 47 4" xfId="9073" xr:uid="{00000000-0005-0000-0000-0000A5160000}"/>
    <cellStyle name="40% - Accent3 48" xfId="2405" xr:uid="{00000000-0005-0000-0000-0000A6160000}"/>
    <cellStyle name="40% - Accent3 48 2" xfId="4909" xr:uid="{00000000-0005-0000-0000-0000A7160000}"/>
    <cellStyle name="40% - Accent3 48 3" xfId="7026" xr:uid="{00000000-0005-0000-0000-0000A8160000}"/>
    <cellStyle name="40% - Accent3 48 4" xfId="9074" xr:uid="{00000000-0005-0000-0000-0000A9160000}"/>
    <cellStyle name="40% - Accent3 49" xfId="2406" xr:uid="{00000000-0005-0000-0000-0000AA160000}"/>
    <cellStyle name="40% - Accent3 49 2" xfId="4910" xr:uid="{00000000-0005-0000-0000-0000AB160000}"/>
    <cellStyle name="40% - Accent3 49 3" xfId="7027" xr:uid="{00000000-0005-0000-0000-0000AC160000}"/>
    <cellStyle name="40% - Accent3 49 4" xfId="9075" xr:uid="{00000000-0005-0000-0000-0000AD160000}"/>
    <cellStyle name="40% - Accent3 5" xfId="2407" xr:uid="{00000000-0005-0000-0000-0000AE160000}"/>
    <cellStyle name="40% - Accent3 5 2" xfId="2408" xr:uid="{00000000-0005-0000-0000-0000AF160000}"/>
    <cellStyle name="40% - Accent3 5 2 2" xfId="4911" xr:uid="{00000000-0005-0000-0000-0000B0160000}"/>
    <cellStyle name="40% - Accent3 5 2 3" xfId="7028" xr:uid="{00000000-0005-0000-0000-0000B1160000}"/>
    <cellStyle name="40% - Accent3 5 2 4" xfId="9076" xr:uid="{00000000-0005-0000-0000-0000B2160000}"/>
    <cellStyle name="40% - Accent3 5 3" xfId="2409" xr:uid="{00000000-0005-0000-0000-0000B3160000}"/>
    <cellStyle name="40% - Accent3 5 3 2" xfId="4912" xr:uid="{00000000-0005-0000-0000-0000B4160000}"/>
    <cellStyle name="40% - Accent3 5 3 3" xfId="7029" xr:uid="{00000000-0005-0000-0000-0000B5160000}"/>
    <cellStyle name="40% - Accent3 5 3 4" xfId="9077" xr:uid="{00000000-0005-0000-0000-0000B6160000}"/>
    <cellStyle name="40% - Accent3 5 4" xfId="2410" xr:uid="{00000000-0005-0000-0000-0000B7160000}"/>
    <cellStyle name="40% - Accent3 5 4 2" xfId="4913" xr:uid="{00000000-0005-0000-0000-0000B8160000}"/>
    <cellStyle name="40% - Accent3 5 4 3" xfId="7030" xr:uid="{00000000-0005-0000-0000-0000B9160000}"/>
    <cellStyle name="40% - Accent3 5 4 4" xfId="9078" xr:uid="{00000000-0005-0000-0000-0000BA160000}"/>
    <cellStyle name="40% - Accent3 5 5" xfId="2411" xr:uid="{00000000-0005-0000-0000-0000BB160000}"/>
    <cellStyle name="40% - Accent3 5 5 2" xfId="4914" xr:uid="{00000000-0005-0000-0000-0000BC160000}"/>
    <cellStyle name="40% - Accent3 5 5 3" xfId="7031" xr:uid="{00000000-0005-0000-0000-0000BD160000}"/>
    <cellStyle name="40% - Accent3 5 5 4" xfId="9079" xr:uid="{00000000-0005-0000-0000-0000BE160000}"/>
    <cellStyle name="40% - Accent3 5 6" xfId="2412" xr:uid="{00000000-0005-0000-0000-0000BF160000}"/>
    <cellStyle name="40% - Accent3 5 6 2" xfId="4915" xr:uid="{00000000-0005-0000-0000-0000C0160000}"/>
    <cellStyle name="40% - Accent3 5 6 3" xfId="7032" xr:uid="{00000000-0005-0000-0000-0000C1160000}"/>
    <cellStyle name="40% - Accent3 5 6 4" xfId="9080" xr:uid="{00000000-0005-0000-0000-0000C2160000}"/>
    <cellStyle name="40% - Accent3 5 7" xfId="2413" xr:uid="{00000000-0005-0000-0000-0000C3160000}"/>
    <cellStyle name="40% - Accent3 5 7 2" xfId="4916" xr:uid="{00000000-0005-0000-0000-0000C4160000}"/>
    <cellStyle name="40% - Accent3 5 7 3" xfId="7033" xr:uid="{00000000-0005-0000-0000-0000C5160000}"/>
    <cellStyle name="40% - Accent3 5 7 4" xfId="9081" xr:uid="{00000000-0005-0000-0000-0000C6160000}"/>
    <cellStyle name="40% - Accent3 50" xfId="2414" xr:uid="{00000000-0005-0000-0000-0000C7160000}"/>
    <cellStyle name="40% - Accent3 50 2" xfId="4917" xr:uid="{00000000-0005-0000-0000-0000C8160000}"/>
    <cellStyle name="40% - Accent3 50 3" xfId="7034" xr:uid="{00000000-0005-0000-0000-0000C9160000}"/>
    <cellStyle name="40% - Accent3 50 4" xfId="9082" xr:uid="{00000000-0005-0000-0000-0000CA160000}"/>
    <cellStyle name="40% - Accent3 6" xfId="2415" xr:uid="{00000000-0005-0000-0000-0000CB160000}"/>
    <cellStyle name="40% - Accent3 6 2" xfId="2416" xr:uid="{00000000-0005-0000-0000-0000CC160000}"/>
    <cellStyle name="40% - Accent3 6 2 2" xfId="4918" xr:uid="{00000000-0005-0000-0000-0000CD160000}"/>
    <cellStyle name="40% - Accent3 6 2 3" xfId="7035" xr:uid="{00000000-0005-0000-0000-0000CE160000}"/>
    <cellStyle name="40% - Accent3 6 2 4" xfId="9083" xr:uid="{00000000-0005-0000-0000-0000CF160000}"/>
    <cellStyle name="40% - Accent3 6 3" xfId="2417" xr:uid="{00000000-0005-0000-0000-0000D0160000}"/>
    <cellStyle name="40% - Accent3 6 3 2" xfId="4919" xr:uid="{00000000-0005-0000-0000-0000D1160000}"/>
    <cellStyle name="40% - Accent3 6 3 3" xfId="7036" xr:uid="{00000000-0005-0000-0000-0000D2160000}"/>
    <cellStyle name="40% - Accent3 6 3 4" xfId="9084" xr:uid="{00000000-0005-0000-0000-0000D3160000}"/>
    <cellStyle name="40% - Accent3 6 4" xfId="2418" xr:uid="{00000000-0005-0000-0000-0000D4160000}"/>
    <cellStyle name="40% - Accent3 6 4 2" xfId="4920" xr:uid="{00000000-0005-0000-0000-0000D5160000}"/>
    <cellStyle name="40% - Accent3 6 4 3" xfId="7037" xr:uid="{00000000-0005-0000-0000-0000D6160000}"/>
    <cellStyle name="40% - Accent3 6 4 4" xfId="9085" xr:uid="{00000000-0005-0000-0000-0000D7160000}"/>
    <cellStyle name="40% - Accent3 6 5" xfId="2419" xr:uid="{00000000-0005-0000-0000-0000D8160000}"/>
    <cellStyle name="40% - Accent3 6 5 2" xfId="4921" xr:uid="{00000000-0005-0000-0000-0000D9160000}"/>
    <cellStyle name="40% - Accent3 6 5 3" xfId="7038" xr:uid="{00000000-0005-0000-0000-0000DA160000}"/>
    <cellStyle name="40% - Accent3 6 5 4" xfId="9086" xr:uid="{00000000-0005-0000-0000-0000DB160000}"/>
    <cellStyle name="40% - Accent3 6 6" xfId="2420" xr:uid="{00000000-0005-0000-0000-0000DC160000}"/>
    <cellStyle name="40% - Accent3 6 6 2" xfId="4922" xr:uid="{00000000-0005-0000-0000-0000DD160000}"/>
    <cellStyle name="40% - Accent3 6 6 3" xfId="7039" xr:uid="{00000000-0005-0000-0000-0000DE160000}"/>
    <cellStyle name="40% - Accent3 6 6 4" xfId="9087" xr:uid="{00000000-0005-0000-0000-0000DF160000}"/>
    <cellStyle name="40% - Accent3 6 7" xfId="2421" xr:uid="{00000000-0005-0000-0000-0000E0160000}"/>
    <cellStyle name="40% - Accent3 6 7 2" xfId="4923" xr:uid="{00000000-0005-0000-0000-0000E1160000}"/>
    <cellStyle name="40% - Accent3 6 7 3" xfId="7040" xr:uid="{00000000-0005-0000-0000-0000E2160000}"/>
    <cellStyle name="40% - Accent3 6 7 4" xfId="9088" xr:uid="{00000000-0005-0000-0000-0000E3160000}"/>
    <cellStyle name="40% - Accent3 7" xfId="2422" xr:uid="{00000000-0005-0000-0000-0000E4160000}"/>
    <cellStyle name="40% - Accent3 7 10" xfId="9089" xr:uid="{00000000-0005-0000-0000-0000E5160000}"/>
    <cellStyle name="40% - Accent3 7 2" xfId="2423" xr:uid="{00000000-0005-0000-0000-0000E6160000}"/>
    <cellStyle name="40% - Accent3 7 2 2" xfId="4925" xr:uid="{00000000-0005-0000-0000-0000E7160000}"/>
    <cellStyle name="40% - Accent3 7 2 3" xfId="7042" xr:uid="{00000000-0005-0000-0000-0000E8160000}"/>
    <cellStyle name="40% - Accent3 7 2 4" xfId="9090" xr:uid="{00000000-0005-0000-0000-0000E9160000}"/>
    <cellStyle name="40% - Accent3 7 3" xfId="2424" xr:uid="{00000000-0005-0000-0000-0000EA160000}"/>
    <cellStyle name="40% - Accent3 7 3 2" xfId="4926" xr:uid="{00000000-0005-0000-0000-0000EB160000}"/>
    <cellStyle name="40% - Accent3 7 3 3" xfId="7043" xr:uid="{00000000-0005-0000-0000-0000EC160000}"/>
    <cellStyle name="40% - Accent3 7 3 4" xfId="9091" xr:uid="{00000000-0005-0000-0000-0000ED160000}"/>
    <cellStyle name="40% - Accent3 7 4" xfId="2425" xr:uid="{00000000-0005-0000-0000-0000EE160000}"/>
    <cellStyle name="40% - Accent3 7 4 2" xfId="4927" xr:uid="{00000000-0005-0000-0000-0000EF160000}"/>
    <cellStyle name="40% - Accent3 7 4 3" xfId="7044" xr:uid="{00000000-0005-0000-0000-0000F0160000}"/>
    <cellStyle name="40% - Accent3 7 4 4" xfId="9092" xr:uid="{00000000-0005-0000-0000-0000F1160000}"/>
    <cellStyle name="40% - Accent3 7 5" xfId="2426" xr:uid="{00000000-0005-0000-0000-0000F2160000}"/>
    <cellStyle name="40% - Accent3 7 5 2" xfId="4928" xr:uid="{00000000-0005-0000-0000-0000F3160000}"/>
    <cellStyle name="40% - Accent3 7 5 3" xfId="7045" xr:uid="{00000000-0005-0000-0000-0000F4160000}"/>
    <cellStyle name="40% - Accent3 7 5 4" xfId="9093" xr:uid="{00000000-0005-0000-0000-0000F5160000}"/>
    <cellStyle name="40% - Accent3 7 6" xfId="2427" xr:uid="{00000000-0005-0000-0000-0000F6160000}"/>
    <cellStyle name="40% - Accent3 7 6 2" xfId="4929" xr:uid="{00000000-0005-0000-0000-0000F7160000}"/>
    <cellStyle name="40% - Accent3 7 6 3" xfId="7046" xr:uid="{00000000-0005-0000-0000-0000F8160000}"/>
    <cellStyle name="40% - Accent3 7 6 4" xfId="9094" xr:uid="{00000000-0005-0000-0000-0000F9160000}"/>
    <cellStyle name="40% - Accent3 7 7" xfId="2428" xr:uid="{00000000-0005-0000-0000-0000FA160000}"/>
    <cellStyle name="40% - Accent3 7 7 2" xfId="4930" xr:uid="{00000000-0005-0000-0000-0000FB160000}"/>
    <cellStyle name="40% - Accent3 7 7 3" xfId="7047" xr:uid="{00000000-0005-0000-0000-0000FC160000}"/>
    <cellStyle name="40% - Accent3 7 7 4" xfId="9095" xr:uid="{00000000-0005-0000-0000-0000FD160000}"/>
    <cellStyle name="40% - Accent3 7 8" xfId="4924" xr:uid="{00000000-0005-0000-0000-0000FE160000}"/>
    <cellStyle name="40% - Accent3 7 9" xfId="7041" xr:uid="{00000000-0005-0000-0000-0000FF160000}"/>
    <cellStyle name="40% - Accent3 8" xfId="2429" xr:uid="{00000000-0005-0000-0000-000000170000}"/>
    <cellStyle name="40% - Accent3 8 10" xfId="9096" xr:uid="{00000000-0005-0000-0000-000001170000}"/>
    <cellStyle name="40% - Accent3 8 2" xfId="2430" xr:uid="{00000000-0005-0000-0000-000002170000}"/>
    <cellStyle name="40% - Accent3 8 2 2" xfId="4932" xr:uid="{00000000-0005-0000-0000-000003170000}"/>
    <cellStyle name="40% - Accent3 8 2 3" xfId="7049" xr:uid="{00000000-0005-0000-0000-000004170000}"/>
    <cellStyle name="40% - Accent3 8 2 4" xfId="9097" xr:uid="{00000000-0005-0000-0000-000005170000}"/>
    <cellStyle name="40% - Accent3 8 3" xfId="2431" xr:uid="{00000000-0005-0000-0000-000006170000}"/>
    <cellStyle name="40% - Accent3 8 3 2" xfId="4933" xr:uid="{00000000-0005-0000-0000-000007170000}"/>
    <cellStyle name="40% - Accent3 8 3 3" xfId="7050" xr:uid="{00000000-0005-0000-0000-000008170000}"/>
    <cellStyle name="40% - Accent3 8 3 4" xfId="9098" xr:uid="{00000000-0005-0000-0000-000009170000}"/>
    <cellStyle name="40% - Accent3 8 4" xfId="2432" xr:uid="{00000000-0005-0000-0000-00000A170000}"/>
    <cellStyle name="40% - Accent3 8 4 2" xfId="4934" xr:uid="{00000000-0005-0000-0000-00000B170000}"/>
    <cellStyle name="40% - Accent3 8 4 3" xfId="7051" xr:uid="{00000000-0005-0000-0000-00000C170000}"/>
    <cellStyle name="40% - Accent3 8 4 4" xfId="9099" xr:uid="{00000000-0005-0000-0000-00000D170000}"/>
    <cellStyle name="40% - Accent3 8 5" xfId="2433" xr:uid="{00000000-0005-0000-0000-00000E170000}"/>
    <cellStyle name="40% - Accent3 8 5 2" xfId="4935" xr:uid="{00000000-0005-0000-0000-00000F170000}"/>
    <cellStyle name="40% - Accent3 8 5 3" xfId="7052" xr:uid="{00000000-0005-0000-0000-000010170000}"/>
    <cellStyle name="40% - Accent3 8 5 4" xfId="9100" xr:uid="{00000000-0005-0000-0000-000011170000}"/>
    <cellStyle name="40% - Accent3 8 6" xfId="2434" xr:uid="{00000000-0005-0000-0000-000012170000}"/>
    <cellStyle name="40% - Accent3 8 6 2" xfId="4936" xr:uid="{00000000-0005-0000-0000-000013170000}"/>
    <cellStyle name="40% - Accent3 8 6 3" xfId="7053" xr:uid="{00000000-0005-0000-0000-000014170000}"/>
    <cellStyle name="40% - Accent3 8 6 4" xfId="9101" xr:uid="{00000000-0005-0000-0000-000015170000}"/>
    <cellStyle name="40% - Accent3 8 7" xfId="2435" xr:uid="{00000000-0005-0000-0000-000016170000}"/>
    <cellStyle name="40% - Accent3 8 7 2" xfId="4937" xr:uid="{00000000-0005-0000-0000-000017170000}"/>
    <cellStyle name="40% - Accent3 8 7 3" xfId="7054" xr:uid="{00000000-0005-0000-0000-000018170000}"/>
    <cellStyle name="40% - Accent3 8 7 4" xfId="9102" xr:uid="{00000000-0005-0000-0000-000019170000}"/>
    <cellStyle name="40% - Accent3 8 8" xfId="4931" xr:uid="{00000000-0005-0000-0000-00001A170000}"/>
    <cellStyle name="40% - Accent3 8 9" xfId="7048" xr:uid="{00000000-0005-0000-0000-00001B170000}"/>
    <cellStyle name="40% - Accent3 9" xfId="2436" xr:uid="{00000000-0005-0000-0000-00001C170000}"/>
    <cellStyle name="40% - Accent3 9 10" xfId="9103" xr:uid="{00000000-0005-0000-0000-00001D170000}"/>
    <cellStyle name="40% - Accent3 9 2" xfId="2437" xr:uid="{00000000-0005-0000-0000-00001E170000}"/>
    <cellStyle name="40% - Accent3 9 2 2" xfId="4939" xr:uid="{00000000-0005-0000-0000-00001F170000}"/>
    <cellStyle name="40% - Accent3 9 2 3" xfId="7056" xr:uid="{00000000-0005-0000-0000-000020170000}"/>
    <cellStyle name="40% - Accent3 9 2 4" xfId="9104" xr:uid="{00000000-0005-0000-0000-000021170000}"/>
    <cellStyle name="40% - Accent3 9 3" xfId="2438" xr:uid="{00000000-0005-0000-0000-000022170000}"/>
    <cellStyle name="40% - Accent3 9 3 2" xfId="4940" xr:uid="{00000000-0005-0000-0000-000023170000}"/>
    <cellStyle name="40% - Accent3 9 3 3" xfId="7057" xr:uid="{00000000-0005-0000-0000-000024170000}"/>
    <cellStyle name="40% - Accent3 9 3 4" xfId="9105" xr:uid="{00000000-0005-0000-0000-000025170000}"/>
    <cellStyle name="40% - Accent3 9 4" xfId="2439" xr:uid="{00000000-0005-0000-0000-000026170000}"/>
    <cellStyle name="40% - Accent3 9 4 2" xfId="4941" xr:uid="{00000000-0005-0000-0000-000027170000}"/>
    <cellStyle name="40% - Accent3 9 4 3" xfId="7058" xr:uid="{00000000-0005-0000-0000-000028170000}"/>
    <cellStyle name="40% - Accent3 9 4 4" xfId="9106" xr:uid="{00000000-0005-0000-0000-000029170000}"/>
    <cellStyle name="40% - Accent3 9 5" xfId="2440" xr:uid="{00000000-0005-0000-0000-00002A170000}"/>
    <cellStyle name="40% - Accent3 9 5 2" xfId="4942" xr:uid="{00000000-0005-0000-0000-00002B170000}"/>
    <cellStyle name="40% - Accent3 9 5 3" xfId="7059" xr:uid="{00000000-0005-0000-0000-00002C170000}"/>
    <cellStyle name="40% - Accent3 9 5 4" xfId="9107" xr:uid="{00000000-0005-0000-0000-00002D170000}"/>
    <cellStyle name="40% - Accent3 9 6" xfId="2441" xr:uid="{00000000-0005-0000-0000-00002E170000}"/>
    <cellStyle name="40% - Accent3 9 6 2" xfId="4943" xr:uid="{00000000-0005-0000-0000-00002F170000}"/>
    <cellStyle name="40% - Accent3 9 6 3" xfId="7060" xr:uid="{00000000-0005-0000-0000-000030170000}"/>
    <cellStyle name="40% - Accent3 9 6 4" xfId="9108" xr:uid="{00000000-0005-0000-0000-000031170000}"/>
    <cellStyle name="40% - Accent3 9 7" xfId="2442" xr:uid="{00000000-0005-0000-0000-000032170000}"/>
    <cellStyle name="40% - Accent3 9 7 2" xfId="4944" xr:uid="{00000000-0005-0000-0000-000033170000}"/>
    <cellStyle name="40% - Accent3 9 7 3" xfId="7061" xr:uid="{00000000-0005-0000-0000-000034170000}"/>
    <cellStyle name="40% - Accent3 9 7 4" xfId="9109" xr:uid="{00000000-0005-0000-0000-000035170000}"/>
    <cellStyle name="40% - Accent3 9 8" xfId="4938" xr:uid="{00000000-0005-0000-0000-000036170000}"/>
    <cellStyle name="40% - Accent3 9 9" xfId="7055" xr:uid="{00000000-0005-0000-0000-000037170000}"/>
    <cellStyle name="40% - Accent4 10" xfId="2443" xr:uid="{00000000-0005-0000-0000-000038170000}"/>
    <cellStyle name="40% - Accent4 10 10" xfId="9110" xr:uid="{00000000-0005-0000-0000-000039170000}"/>
    <cellStyle name="40% - Accent4 10 2" xfId="2444" xr:uid="{00000000-0005-0000-0000-00003A170000}"/>
    <cellStyle name="40% - Accent4 10 2 2" xfId="4946" xr:uid="{00000000-0005-0000-0000-00003B170000}"/>
    <cellStyle name="40% - Accent4 10 2 3" xfId="7063" xr:uid="{00000000-0005-0000-0000-00003C170000}"/>
    <cellStyle name="40% - Accent4 10 2 4" xfId="9111" xr:uid="{00000000-0005-0000-0000-00003D170000}"/>
    <cellStyle name="40% - Accent4 10 3" xfId="2445" xr:uid="{00000000-0005-0000-0000-00003E170000}"/>
    <cellStyle name="40% - Accent4 10 3 2" xfId="4947" xr:uid="{00000000-0005-0000-0000-00003F170000}"/>
    <cellStyle name="40% - Accent4 10 3 3" xfId="7064" xr:uid="{00000000-0005-0000-0000-000040170000}"/>
    <cellStyle name="40% - Accent4 10 3 4" xfId="9112" xr:uid="{00000000-0005-0000-0000-000041170000}"/>
    <cellStyle name="40% - Accent4 10 4" xfId="2446" xr:uid="{00000000-0005-0000-0000-000042170000}"/>
    <cellStyle name="40% - Accent4 10 4 2" xfId="4948" xr:uid="{00000000-0005-0000-0000-000043170000}"/>
    <cellStyle name="40% - Accent4 10 4 3" xfId="7065" xr:uid="{00000000-0005-0000-0000-000044170000}"/>
    <cellStyle name="40% - Accent4 10 4 4" xfId="9113" xr:uid="{00000000-0005-0000-0000-000045170000}"/>
    <cellStyle name="40% - Accent4 10 5" xfId="2447" xr:uid="{00000000-0005-0000-0000-000046170000}"/>
    <cellStyle name="40% - Accent4 10 5 2" xfId="4949" xr:uid="{00000000-0005-0000-0000-000047170000}"/>
    <cellStyle name="40% - Accent4 10 5 3" xfId="7066" xr:uid="{00000000-0005-0000-0000-000048170000}"/>
    <cellStyle name="40% - Accent4 10 5 4" xfId="9114" xr:uid="{00000000-0005-0000-0000-000049170000}"/>
    <cellStyle name="40% - Accent4 10 6" xfId="2448" xr:uid="{00000000-0005-0000-0000-00004A170000}"/>
    <cellStyle name="40% - Accent4 10 6 2" xfId="4950" xr:uid="{00000000-0005-0000-0000-00004B170000}"/>
    <cellStyle name="40% - Accent4 10 6 3" xfId="7067" xr:uid="{00000000-0005-0000-0000-00004C170000}"/>
    <cellStyle name="40% - Accent4 10 6 4" xfId="9115" xr:uid="{00000000-0005-0000-0000-00004D170000}"/>
    <cellStyle name="40% - Accent4 10 7" xfId="2449" xr:uid="{00000000-0005-0000-0000-00004E170000}"/>
    <cellStyle name="40% - Accent4 10 7 2" xfId="4951" xr:uid="{00000000-0005-0000-0000-00004F170000}"/>
    <cellStyle name="40% - Accent4 10 7 3" xfId="7068" xr:uid="{00000000-0005-0000-0000-000050170000}"/>
    <cellStyle name="40% - Accent4 10 7 4" xfId="9116" xr:uid="{00000000-0005-0000-0000-000051170000}"/>
    <cellStyle name="40% - Accent4 10 8" xfId="4945" xr:uid="{00000000-0005-0000-0000-000052170000}"/>
    <cellStyle name="40% - Accent4 10 9" xfId="7062" xr:uid="{00000000-0005-0000-0000-000053170000}"/>
    <cellStyle name="40% - Accent4 11" xfId="2450" xr:uid="{00000000-0005-0000-0000-000054170000}"/>
    <cellStyle name="40% - Accent4 11 2" xfId="2451" xr:uid="{00000000-0005-0000-0000-000055170000}"/>
    <cellStyle name="40% - Accent4 11 2 2" xfId="4953" xr:uid="{00000000-0005-0000-0000-000056170000}"/>
    <cellStyle name="40% - Accent4 11 2 3" xfId="7070" xr:uid="{00000000-0005-0000-0000-000057170000}"/>
    <cellStyle name="40% - Accent4 11 2 4" xfId="9118" xr:uid="{00000000-0005-0000-0000-000058170000}"/>
    <cellStyle name="40% - Accent4 11 3" xfId="2452" xr:uid="{00000000-0005-0000-0000-000059170000}"/>
    <cellStyle name="40% - Accent4 11 3 2" xfId="4954" xr:uid="{00000000-0005-0000-0000-00005A170000}"/>
    <cellStyle name="40% - Accent4 11 3 3" xfId="7071" xr:uid="{00000000-0005-0000-0000-00005B170000}"/>
    <cellStyle name="40% - Accent4 11 3 4" xfId="9119" xr:uid="{00000000-0005-0000-0000-00005C170000}"/>
    <cellStyle name="40% - Accent4 11 4" xfId="2453" xr:uid="{00000000-0005-0000-0000-00005D170000}"/>
    <cellStyle name="40% - Accent4 11 4 2" xfId="4955" xr:uid="{00000000-0005-0000-0000-00005E170000}"/>
    <cellStyle name="40% - Accent4 11 4 3" xfId="7072" xr:uid="{00000000-0005-0000-0000-00005F170000}"/>
    <cellStyle name="40% - Accent4 11 4 4" xfId="9120" xr:uid="{00000000-0005-0000-0000-000060170000}"/>
    <cellStyle name="40% - Accent4 11 5" xfId="2454" xr:uid="{00000000-0005-0000-0000-000061170000}"/>
    <cellStyle name="40% - Accent4 11 5 2" xfId="4956" xr:uid="{00000000-0005-0000-0000-000062170000}"/>
    <cellStyle name="40% - Accent4 11 5 3" xfId="7073" xr:uid="{00000000-0005-0000-0000-000063170000}"/>
    <cellStyle name="40% - Accent4 11 5 4" xfId="9121" xr:uid="{00000000-0005-0000-0000-000064170000}"/>
    <cellStyle name="40% - Accent4 11 6" xfId="2455" xr:uid="{00000000-0005-0000-0000-000065170000}"/>
    <cellStyle name="40% - Accent4 11 6 2" xfId="4957" xr:uid="{00000000-0005-0000-0000-000066170000}"/>
    <cellStyle name="40% - Accent4 11 6 3" xfId="7074" xr:uid="{00000000-0005-0000-0000-000067170000}"/>
    <cellStyle name="40% - Accent4 11 6 4" xfId="9122" xr:uid="{00000000-0005-0000-0000-000068170000}"/>
    <cellStyle name="40% - Accent4 11 7" xfId="4952" xr:uid="{00000000-0005-0000-0000-000069170000}"/>
    <cellStyle name="40% - Accent4 11 8" xfId="7069" xr:uid="{00000000-0005-0000-0000-00006A170000}"/>
    <cellStyle name="40% - Accent4 11 9" xfId="9117" xr:uid="{00000000-0005-0000-0000-00006B170000}"/>
    <cellStyle name="40% - Accent4 12" xfId="2456" xr:uid="{00000000-0005-0000-0000-00006C170000}"/>
    <cellStyle name="40% - Accent4 12 2" xfId="2457" xr:uid="{00000000-0005-0000-0000-00006D170000}"/>
    <cellStyle name="40% - Accent4 12 2 2" xfId="4959" xr:uid="{00000000-0005-0000-0000-00006E170000}"/>
    <cellStyle name="40% - Accent4 12 2 3" xfId="7076" xr:uid="{00000000-0005-0000-0000-00006F170000}"/>
    <cellStyle name="40% - Accent4 12 2 4" xfId="9124" xr:uid="{00000000-0005-0000-0000-000070170000}"/>
    <cellStyle name="40% - Accent4 12 3" xfId="2458" xr:uid="{00000000-0005-0000-0000-000071170000}"/>
    <cellStyle name="40% - Accent4 12 3 2" xfId="4960" xr:uid="{00000000-0005-0000-0000-000072170000}"/>
    <cellStyle name="40% - Accent4 12 3 3" xfId="7077" xr:uid="{00000000-0005-0000-0000-000073170000}"/>
    <cellStyle name="40% - Accent4 12 3 4" xfId="9125" xr:uid="{00000000-0005-0000-0000-000074170000}"/>
    <cellStyle name="40% - Accent4 12 4" xfId="2459" xr:uid="{00000000-0005-0000-0000-000075170000}"/>
    <cellStyle name="40% - Accent4 12 4 2" xfId="4961" xr:uid="{00000000-0005-0000-0000-000076170000}"/>
    <cellStyle name="40% - Accent4 12 4 3" xfId="7078" xr:uid="{00000000-0005-0000-0000-000077170000}"/>
    <cellStyle name="40% - Accent4 12 4 4" xfId="9126" xr:uid="{00000000-0005-0000-0000-000078170000}"/>
    <cellStyle name="40% - Accent4 12 5" xfId="2460" xr:uid="{00000000-0005-0000-0000-000079170000}"/>
    <cellStyle name="40% - Accent4 12 5 2" xfId="4962" xr:uid="{00000000-0005-0000-0000-00007A170000}"/>
    <cellStyle name="40% - Accent4 12 5 3" xfId="7079" xr:uid="{00000000-0005-0000-0000-00007B170000}"/>
    <cellStyle name="40% - Accent4 12 5 4" xfId="9127" xr:uid="{00000000-0005-0000-0000-00007C170000}"/>
    <cellStyle name="40% - Accent4 12 6" xfId="4958" xr:uid="{00000000-0005-0000-0000-00007D170000}"/>
    <cellStyle name="40% - Accent4 12 7" xfId="7075" xr:uid="{00000000-0005-0000-0000-00007E170000}"/>
    <cellStyle name="40% - Accent4 12 8" xfId="9123" xr:uid="{00000000-0005-0000-0000-00007F170000}"/>
    <cellStyle name="40% - Accent4 13" xfId="2461" xr:uid="{00000000-0005-0000-0000-000080170000}"/>
    <cellStyle name="40% - Accent4 13 2" xfId="2462" xr:uid="{00000000-0005-0000-0000-000081170000}"/>
    <cellStyle name="40% - Accent4 13 2 2" xfId="4964" xr:uid="{00000000-0005-0000-0000-000082170000}"/>
    <cellStyle name="40% - Accent4 13 2 3" xfId="7081" xr:uid="{00000000-0005-0000-0000-000083170000}"/>
    <cellStyle name="40% - Accent4 13 2 4" xfId="9129" xr:uid="{00000000-0005-0000-0000-000084170000}"/>
    <cellStyle name="40% - Accent4 13 3" xfId="2463" xr:uid="{00000000-0005-0000-0000-000085170000}"/>
    <cellStyle name="40% - Accent4 13 3 2" xfId="4965" xr:uid="{00000000-0005-0000-0000-000086170000}"/>
    <cellStyle name="40% - Accent4 13 3 3" xfId="7082" xr:uid="{00000000-0005-0000-0000-000087170000}"/>
    <cellStyle name="40% - Accent4 13 3 4" xfId="9130" xr:uid="{00000000-0005-0000-0000-000088170000}"/>
    <cellStyle name="40% - Accent4 13 4" xfId="2464" xr:uid="{00000000-0005-0000-0000-000089170000}"/>
    <cellStyle name="40% - Accent4 13 4 2" xfId="4966" xr:uid="{00000000-0005-0000-0000-00008A170000}"/>
    <cellStyle name="40% - Accent4 13 4 3" xfId="7083" xr:uid="{00000000-0005-0000-0000-00008B170000}"/>
    <cellStyle name="40% - Accent4 13 4 4" xfId="9131" xr:uid="{00000000-0005-0000-0000-00008C170000}"/>
    <cellStyle name="40% - Accent4 13 5" xfId="2465" xr:uid="{00000000-0005-0000-0000-00008D170000}"/>
    <cellStyle name="40% - Accent4 13 5 2" xfId="4967" xr:uid="{00000000-0005-0000-0000-00008E170000}"/>
    <cellStyle name="40% - Accent4 13 5 3" xfId="7084" xr:uid="{00000000-0005-0000-0000-00008F170000}"/>
    <cellStyle name="40% - Accent4 13 5 4" xfId="9132" xr:uid="{00000000-0005-0000-0000-000090170000}"/>
    <cellStyle name="40% - Accent4 13 6" xfId="4963" xr:uid="{00000000-0005-0000-0000-000091170000}"/>
    <cellStyle name="40% - Accent4 13 7" xfId="7080" xr:uid="{00000000-0005-0000-0000-000092170000}"/>
    <cellStyle name="40% - Accent4 13 8" xfId="9128" xr:uid="{00000000-0005-0000-0000-000093170000}"/>
    <cellStyle name="40% - Accent4 14" xfId="2466" xr:uid="{00000000-0005-0000-0000-000094170000}"/>
    <cellStyle name="40% - Accent4 14 2" xfId="2467" xr:uid="{00000000-0005-0000-0000-000095170000}"/>
    <cellStyle name="40% - Accent4 14 2 2" xfId="4969" xr:uid="{00000000-0005-0000-0000-000096170000}"/>
    <cellStyle name="40% - Accent4 14 2 3" xfId="7086" xr:uid="{00000000-0005-0000-0000-000097170000}"/>
    <cellStyle name="40% - Accent4 14 2 4" xfId="9134" xr:uid="{00000000-0005-0000-0000-000098170000}"/>
    <cellStyle name="40% - Accent4 14 3" xfId="2468" xr:uid="{00000000-0005-0000-0000-000099170000}"/>
    <cellStyle name="40% - Accent4 14 3 2" xfId="4970" xr:uid="{00000000-0005-0000-0000-00009A170000}"/>
    <cellStyle name="40% - Accent4 14 3 3" xfId="7087" xr:uid="{00000000-0005-0000-0000-00009B170000}"/>
    <cellStyle name="40% - Accent4 14 3 4" xfId="9135" xr:uid="{00000000-0005-0000-0000-00009C170000}"/>
    <cellStyle name="40% - Accent4 14 4" xfId="2469" xr:uid="{00000000-0005-0000-0000-00009D170000}"/>
    <cellStyle name="40% - Accent4 14 4 2" xfId="4971" xr:uid="{00000000-0005-0000-0000-00009E170000}"/>
    <cellStyle name="40% - Accent4 14 4 3" xfId="7088" xr:uid="{00000000-0005-0000-0000-00009F170000}"/>
    <cellStyle name="40% - Accent4 14 4 4" xfId="9136" xr:uid="{00000000-0005-0000-0000-0000A0170000}"/>
    <cellStyle name="40% - Accent4 14 5" xfId="4968" xr:uid="{00000000-0005-0000-0000-0000A1170000}"/>
    <cellStyle name="40% - Accent4 14 6" xfId="7085" xr:uid="{00000000-0005-0000-0000-0000A2170000}"/>
    <cellStyle name="40% - Accent4 14 7" xfId="9133" xr:uid="{00000000-0005-0000-0000-0000A3170000}"/>
    <cellStyle name="40% - Accent4 15" xfId="2470" xr:uid="{00000000-0005-0000-0000-0000A4170000}"/>
    <cellStyle name="40% - Accent4 15 2" xfId="2471" xr:uid="{00000000-0005-0000-0000-0000A5170000}"/>
    <cellStyle name="40% - Accent4 15 2 2" xfId="4973" xr:uid="{00000000-0005-0000-0000-0000A6170000}"/>
    <cellStyle name="40% - Accent4 15 2 3" xfId="7090" xr:uid="{00000000-0005-0000-0000-0000A7170000}"/>
    <cellStyle name="40% - Accent4 15 2 4" xfId="9138" xr:uid="{00000000-0005-0000-0000-0000A8170000}"/>
    <cellStyle name="40% - Accent4 15 3" xfId="2472" xr:uid="{00000000-0005-0000-0000-0000A9170000}"/>
    <cellStyle name="40% - Accent4 15 3 2" xfId="4974" xr:uid="{00000000-0005-0000-0000-0000AA170000}"/>
    <cellStyle name="40% - Accent4 15 3 3" xfId="7091" xr:uid="{00000000-0005-0000-0000-0000AB170000}"/>
    <cellStyle name="40% - Accent4 15 3 4" xfId="9139" xr:uid="{00000000-0005-0000-0000-0000AC170000}"/>
    <cellStyle name="40% - Accent4 15 4" xfId="2473" xr:uid="{00000000-0005-0000-0000-0000AD170000}"/>
    <cellStyle name="40% - Accent4 15 4 2" xfId="4975" xr:uid="{00000000-0005-0000-0000-0000AE170000}"/>
    <cellStyle name="40% - Accent4 15 4 3" xfId="7092" xr:uid="{00000000-0005-0000-0000-0000AF170000}"/>
    <cellStyle name="40% - Accent4 15 4 4" xfId="9140" xr:uid="{00000000-0005-0000-0000-0000B0170000}"/>
    <cellStyle name="40% - Accent4 15 5" xfId="4972" xr:uid="{00000000-0005-0000-0000-0000B1170000}"/>
    <cellStyle name="40% - Accent4 15 6" xfId="7089" xr:uid="{00000000-0005-0000-0000-0000B2170000}"/>
    <cellStyle name="40% - Accent4 15 7" xfId="9137" xr:uid="{00000000-0005-0000-0000-0000B3170000}"/>
    <cellStyle name="40% - Accent4 16" xfId="2474" xr:uid="{00000000-0005-0000-0000-0000B4170000}"/>
    <cellStyle name="40% - Accent4 16 2" xfId="2475" xr:uid="{00000000-0005-0000-0000-0000B5170000}"/>
    <cellStyle name="40% - Accent4 16 2 2" xfId="4977" xr:uid="{00000000-0005-0000-0000-0000B6170000}"/>
    <cellStyle name="40% - Accent4 16 2 3" xfId="7094" xr:uid="{00000000-0005-0000-0000-0000B7170000}"/>
    <cellStyle name="40% - Accent4 16 2 4" xfId="9142" xr:uid="{00000000-0005-0000-0000-0000B8170000}"/>
    <cellStyle name="40% - Accent4 16 3" xfId="2476" xr:uid="{00000000-0005-0000-0000-0000B9170000}"/>
    <cellStyle name="40% - Accent4 16 3 2" xfId="4978" xr:uid="{00000000-0005-0000-0000-0000BA170000}"/>
    <cellStyle name="40% - Accent4 16 3 3" xfId="7095" xr:uid="{00000000-0005-0000-0000-0000BB170000}"/>
    <cellStyle name="40% - Accent4 16 3 4" xfId="9143" xr:uid="{00000000-0005-0000-0000-0000BC170000}"/>
    <cellStyle name="40% - Accent4 16 4" xfId="4976" xr:uid="{00000000-0005-0000-0000-0000BD170000}"/>
    <cellStyle name="40% - Accent4 16 5" xfId="7093" xr:uid="{00000000-0005-0000-0000-0000BE170000}"/>
    <cellStyle name="40% - Accent4 16 6" xfId="9141" xr:uid="{00000000-0005-0000-0000-0000BF170000}"/>
    <cellStyle name="40% - Accent4 17" xfId="2477" xr:uid="{00000000-0005-0000-0000-0000C0170000}"/>
    <cellStyle name="40% - Accent4 17 2" xfId="2478" xr:uid="{00000000-0005-0000-0000-0000C1170000}"/>
    <cellStyle name="40% - Accent4 17 2 2" xfId="4980" xr:uid="{00000000-0005-0000-0000-0000C2170000}"/>
    <cellStyle name="40% - Accent4 17 2 3" xfId="7097" xr:uid="{00000000-0005-0000-0000-0000C3170000}"/>
    <cellStyle name="40% - Accent4 17 2 4" xfId="9145" xr:uid="{00000000-0005-0000-0000-0000C4170000}"/>
    <cellStyle name="40% - Accent4 17 3" xfId="2479" xr:uid="{00000000-0005-0000-0000-0000C5170000}"/>
    <cellStyle name="40% - Accent4 17 3 2" xfId="4981" xr:uid="{00000000-0005-0000-0000-0000C6170000}"/>
    <cellStyle name="40% - Accent4 17 3 3" xfId="7098" xr:uid="{00000000-0005-0000-0000-0000C7170000}"/>
    <cellStyle name="40% - Accent4 17 3 4" xfId="9146" xr:uid="{00000000-0005-0000-0000-0000C8170000}"/>
    <cellStyle name="40% - Accent4 17 4" xfId="4979" xr:uid="{00000000-0005-0000-0000-0000C9170000}"/>
    <cellStyle name="40% - Accent4 17 5" xfId="7096" xr:uid="{00000000-0005-0000-0000-0000CA170000}"/>
    <cellStyle name="40% - Accent4 17 6" xfId="9144" xr:uid="{00000000-0005-0000-0000-0000CB170000}"/>
    <cellStyle name="40% - Accent4 18" xfId="2480" xr:uid="{00000000-0005-0000-0000-0000CC170000}"/>
    <cellStyle name="40% - Accent4 18 2" xfId="2481" xr:uid="{00000000-0005-0000-0000-0000CD170000}"/>
    <cellStyle name="40% - Accent4 18 2 2" xfId="4983" xr:uid="{00000000-0005-0000-0000-0000CE170000}"/>
    <cellStyle name="40% - Accent4 18 2 3" xfId="7100" xr:uid="{00000000-0005-0000-0000-0000CF170000}"/>
    <cellStyle name="40% - Accent4 18 2 4" xfId="9148" xr:uid="{00000000-0005-0000-0000-0000D0170000}"/>
    <cellStyle name="40% - Accent4 18 3" xfId="2482" xr:uid="{00000000-0005-0000-0000-0000D1170000}"/>
    <cellStyle name="40% - Accent4 18 3 2" xfId="4984" xr:uid="{00000000-0005-0000-0000-0000D2170000}"/>
    <cellStyle name="40% - Accent4 18 3 3" xfId="7101" xr:uid="{00000000-0005-0000-0000-0000D3170000}"/>
    <cellStyle name="40% - Accent4 18 3 4" xfId="9149" xr:uid="{00000000-0005-0000-0000-0000D4170000}"/>
    <cellStyle name="40% - Accent4 18 4" xfId="4982" xr:uid="{00000000-0005-0000-0000-0000D5170000}"/>
    <cellStyle name="40% - Accent4 18 5" xfId="7099" xr:uid="{00000000-0005-0000-0000-0000D6170000}"/>
    <cellStyle name="40% - Accent4 18 6" xfId="9147" xr:uid="{00000000-0005-0000-0000-0000D7170000}"/>
    <cellStyle name="40% - Accent4 19" xfId="2483" xr:uid="{00000000-0005-0000-0000-0000D8170000}"/>
    <cellStyle name="40% - Accent4 19 2" xfId="2484" xr:uid="{00000000-0005-0000-0000-0000D9170000}"/>
    <cellStyle name="40% - Accent4 19 2 2" xfId="4986" xr:uid="{00000000-0005-0000-0000-0000DA170000}"/>
    <cellStyle name="40% - Accent4 19 2 3" xfId="7103" xr:uid="{00000000-0005-0000-0000-0000DB170000}"/>
    <cellStyle name="40% - Accent4 19 2 4" xfId="9151" xr:uid="{00000000-0005-0000-0000-0000DC170000}"/>
    <cellStyle name="40% - Accent4 19 3" xfId="2485" xr:uid="{00000000-0005-0000-0000-0000DD170000}"/>
    <cellStyle name="40% - Accent4 19 3 2" xfId="4987" xr:uid="{00000000-0005-0000-0000-0000DE170000}"/>
    <cellStyle name="40% - Accent4 19 3 3" xfId="7104" xr:uid="{00000000-0005-0000-0000-0000DF170000}"/>
    <cellStyle name="40% - Accent4 19 3 4" xfId="9152" xr:uid="{00000000-0005-0000-0000-0000E0170000}"/>
    <cellStyle name="40% - Accent4 19 4" xfId="4985" xr:uid="{00000000-0005-0000-0000-0000E1170000}"/>
    <cellStyle name="40% - Accent4 19 5" xfId="7102" xr:uid="{00000000-0005-0000-0000-0000E2170000}"/>
    <cellStyle name="40% - Accent4 19 6" xfId="9150" xr:uid="{00000000-0005-0000-0000-0000E3170000}"/>
    <cellStyle name="40% - Accent4 2" xfId="2486" xr:uid="{00000000-0005-0000-0000-0000E4170000}"/>
    <cellStyle name="40% - Accent4 2 2" xfId="2487" xr:uid="{00000000-0005-0000-0000-0000E5170000}"/>
    <cellStyle name="40% - Accent4 2 2 2" xfId="2488" xr:uid="{00000000-0005-0000-0000-0000E6170000}"/>
    <cellStyle name="40% - Accent4 2 2 2 2" xfId="4988" xr:uid="{00000000-0005-0000-0000-0000E7170000}"/>
    <cellStyle name="40% - Accent4 2 2 2 3" xfId="7105" xr:uid="{00000000-0005-0000-0000-0000E8170000}"/>
    <cellStyle name="40% - Accent4 2 2 2 4" xfId="9153" xr:uid="{00000000-0005-0000-0000-0000E9170000}"/>
    <cellStyle name="40% - Accent4 2 3" xfId="2489" xr:uid="{00000000-0005-0000-0000-0000EA170000}"/>
    <cellStyle name="40% - Accent4 2 3 2" xfId="4989" xr:uid="{00000000-0005-0000-0000-0000EB170000}"/>
    <cellStyle name="40% - Accent4 2 3 3" xfId="7106" xr:uid="{00000000-0005-0000-0000-0000EC170000}"/>
    <cellStyle name="40% - Accent4 2 3 4" xfId="9154" xr:uid="{00000000-0005-0000-0000-0000ED170000}"/>
    <cellStyle name="40% - Accent4 2 4" xfId="2490" xr:uid="{00000000-0005-0000-0000-0000EE170000}"/>
    <cellStyle name="40% - Accent4 2 4 2" xfId="4990" xr:uid="{00000000-0005-0000-0000-0000EF170000}"/>
    <cellStyle name="40% - Accent4 2 4 3" xfId="7107" xr:uid="{00000000-0005-0000-0000-0000F0170000}"/>
    <cellStyle name="40% - Accent4 2 4 4" xfId="9155" xr:uid="{00000000-0005-0000-0000-0000F1170000}"/>
    <cellStyle name="40% - Accent4 2 5" xfId="2491" xr:uid="{00000000-0005-0000-0000-0000F2170000}"/>
    <cellStyle name="40% - Accent4 2 5 2" xfId="4991" xr:uid="{00000000-0005-0000-0000-0000F3170000}"/>
    <cellStyle name="40% - Accent4 2 5 3" xfId="7108" xr:uid="{00000000-0005-0000-0000-0000F4170000}"/>
    <cellStyle name="40% - Accent4 2 5 4" xfId="9156" xr:uid="{00000000-0005-0000-0000-0000F5170000}"/>
    <cellStyle name="40% - Accent4 2 6" xfId="2492" xr:uid="{00000000-0005-0000-0000-0000F6170000}"/>
    <cellStyle name="40% - Accent4 2 6 2" xfId="4992" xr:uid="{00000000-0005-0000-0000-0000F7170000}"/>
    <cellStyle name="40% - Accent4 2 6 3" xfId="7109" xr:uid="{00000000-0005-0000-0000-0000F8170000}"/>
    <cellStyle name="40% - Accent4 2 6 4" xfId="9157" xr:uid="{00000000-0005-0000-0000-0000F9170000}"/>
    <cellStyle name="40% - Accent4 2 7" xfId="2493" xr:uid="{00000000-0005-0000-0000-0000FA170000}"/>
    <cellStyle name="40% - Accent4 2 7 2" xfId="4993" xr:uid="{00000000-0005-0000-0000-0000FB170000}"/>
    <cellStyle name="40% - Accent4 2 7 3" xfId="7110" xr:uid="{00000000-0005-0000-0000-0000FC170000}"/>
    <cellStyle name="40% - Accent4 2 7 4" xfId="9158" xr:uid="{00000000-0005-0000-0000-0000FD170000}"/>
    <cellStyle name="40% - Accent4 2 8" xfId="2494" xr:uid="{00000000-0005-0000-0000-0000FE170000}"/>
    <cellStyle name="40% - Accent4 2 8 2" xfId="4994" xr:uid="{00000000-0005-0000-0000-0000FF170000}"/>
    <cellStyle name="40% - Accent4 2 8 3" xfId="7111" xr:uid="{00000000-0005-0000-0000-000000180000}"/>
    <cellStyle name="40% - Accent4 2 8 4" xfId="9159" xr:uid="{00000000-0005-0000-0000-000001180000}"/>
    <cellStyle name="40% - Accent4 2 9" xfId="2495" xr:uid="{00000000-0005-0000-0000-000002180000}"/>
    <cellStyle name="40% - Accent4 20" xfId="2496" xr:uid="{00000000-0005-0000-0000-000003180000}"/>
    <cellStyle name="40% - Accent4 20 2" xfId="2497" xr:uid="{00000000-0005-0000-0000-000004180000}"/>
    <cellStyle name="40% - Accent4 20 2 2" xfId="4996" xr:uid="{00000000-0005-0000-0000-000005180000}"/>
    <cellStyle name="40% - Accent4 20 2 3" xfId="7113" xr:uid="{00000000-0005-0000-0000-000006180000}"/>
    <cellStyle name="40% - Accent4 20 2 4" xfId="9161" xr:uid="{00000000-0005-0000-0000-000007180000}"/>
    <cellStyle name="40% - Accent4 20 3" xfId="2498" xr:uid="{00000000-0005-0000-0000-000008180000}"/>
    <cellStyle name="40% - Accent4 20 3 2" xfId="4997" xr:uid="{00000000-0005-0000-0000-000009180000}"/>
    <cellStyle name="40% - Accent4 20 3 3" xfId="7114" xr:uid="{00000000-0005-0000-0000-00000A180000}"/>
    <cellStyle name="40% - Accent4 20 3 4" xfId="9162" xr:uid="{00000000-0005-0000-0000-00000B180000}"/>
    <cellStyle name="40% - Accent4 20 4" xfId="4995" xr:uid="{00000000-0005-0000-0000-00000C180000}"/>
    <cellStyle name="40% - Accent4 20 5" xfId="7112" xr:uid="{00000000-0005-0000-0000-00000D180000}"/>
    <cellStyle name="40% - Accent4 20 6" xfId="9160" xr:uid="{00000000-0005-0000-0000-00000E180000}"/>
    <cellStyle name="40% - Accent4 21" xfId="2499" xr:uid="{00000000-0005-0000-0000-00000F180000}"/>
    <cellStyle name="40% - Accent4 21 2" xfId="2500" xr:uid="{00000000-0005-0000-0000-000010180000}"/>
    <cellStyle name="40% - Accent4 21 2 2" xfId="4999" xr:uid="{00000000-0005-0000-0000-000011180000}"/>
    <cellStyle name="40% - Accent4 21 2 3" xfId="7116" xr:uid="{00000000-0005-0000-0000-000012180000}"/>
    <cellStyle name="40% - Accent4 21 2 4" xfId="9164" xr:uid="{00000000-0005-0000-0000-000013180000}"/>
    <cellStyle name="40% - Accent4 21 3" xfId="2501" xr:uid="{00000000-0005-0000-0000-000014180000}"/>
    <cellStyle name="40% - Accent4 21 3 2" xfId="5000" xr:uid="{00000000-0005-0000-0000-000015180000}"/>
    <cellStyle name="40% - Accent4 21 3 3" xfId="7117" xr:uid="{00000000-0005-0000-0000-000016180000}"/>
    <cellStyle name="40% - Accent4 21 3 4" xfId="9165" xr:uid="{00000000-0005-0000-0000-000017180000}"/>
    <cellStyle name="40% - Accent4 21 4" xfId="4998" xr:uid="{00000000-0005-0000-0000-000018180000}"/>
    <cellStyle name="40% - Accent4 21 5" xfId="7115" xr:uid="{00000000-0005-0000-0000-000019180000}"/>
    <cellStyle name="40% - Accent4 21 6" xfId="9163" xr:uid="{00000000-0005-0000-0000-00001A180000}"/>
    <cellStyle name="40% - Accent4 22" xfId="2502" xr:uid="{00000000-0005-0000-0000-00001B180000}"/>
    <cellStyle name="40% - Accent4 22 2" xfId="2503" xr:uid="{00000000-0005-0000-0000-00001C180000}"/>
    <cellStyle name="40% - Accent4 22 2 2" xfId="5002" xr:uid="{00000000-0005-0000-0000-00001D180000}"/>
    <cellStyle name="40% - Accent4 22 2 3" xfId="7119" xr:uid="{00000000-0005-0000-0000-00001E180000}"/>
    <cellStyle name="40% - Accent4 22 2 4" xfId="9167" xr:uid="{00000000-0005-0000-0000-00001F180000}"/>
    <cellStyle name="40% - Accent4 22 3" xfId="2504" xr:uid="{00000000-0005-0000-0000-000020180000}"/>
    <cellStyle name="40% - Accent4 22 3 2" xfId="5003" xr:uid="{00000000-0005-0000-0000-000021180000}"/>
    <cellStyle name="40% - Accent4 22 3 3" xfId="7120" xr:uid="{00000000-0005-0000-0000-000022180000}"/>
    <cellStyle name="40% - Accent4 22 3 4" xfId="9168" xr:uid="{00000000-0005-0000-0000-000023180000}"/>
    <cellStyle name="40% - Accent4 22 4" xfId="5001" xr:uid="{00000000-0005-0000-0000-000024180000}"/>
    <cellStyle name="40% - Accent4 22 5" xfId="7118" xr:uid="{00000000-0005-0000-0000-000025180000}"/>
    <cellStyle name="40% - Accent4 22 6" xfId="9166" xr:uid="{00000000-0005-0000-0000-000026180000}"/>
    <cellStyle name="40% - Accent4 23" xfId="2505" xr:uid="{00000000-0005-0000-0000-000027180000}"/>
    <cellStyle name="40% - Accent4 23 2" xfId="2506" xr:uid="{00000000-0005-0000-0000-000028180000}"/>
    <cellStyle name="40% - Accent4 23 2 2" xfId="5005" xr:uid="{00000000-0005-0000-0000-000029180000}"/>
    <cellStyle name="40% - Accent4 23 2 3" xfId="7122" xr:uid="{00000000-0005-0000-0000-00002A180000}"/>
    <cellStyle name="40% - Accent4 23 2 4" xfId="9170" xr:uid="{00000000-0005-0000-0000-00002B180000}"/>
    <cellStyle name="40% - Accent4 23 3" xfId="5004" xr:uid="{00000000-0005-0000-0000-00002C180000}"/>
    <cellStyle name="40% - Accent4 23 4" xfId="7121" xr:uid="{00000000-0005-0000-0000-00002D180000}"/>
    <cellStyle name="40% - Accent4 23 5" xfId="9169" xr:uid="{00000000-0005-0000-0000-00002E180000}"/>
    <cellStyle name="40% - Accent4 24" xfId="2507" xr:uid="{00000000-0005-0000-0000-00002F180000}"/>
    <cellStyle name="40% - Accent4 24 2" xfId="2508" xr:uid="{00000000-0005-0000-0000-000030180000}"/>
    <cellStyle name="40% - Accent4 24 2 2" xfId="5007" xr:uid="{00000000-0005-0000-0000-000031180000}"/>
    <cellStyle name="40% - Accent4 24 2 3" xfId="7124" xr:uid="{00000000-0005-0000-0000-000032180000}"/>
    <cellStyle name="40% - Accent4 24 2 4" xfId="9172" xr:uid="{00000000-0005-0000-0000-000033180000}"/>
    <cellStyle name="40% - Accent4 24 3" xfId="5006" xr:uid="{00000000-0005-0000-0000-000034180000}"/>
    <cellStyle name="40% - Accent4 24 4" xfId="7123" xr:uid="{00000000-0005-0000-0000-000035180000}"/>
    <cellStyle name="40% - Accent4 24 5" xfId="9171" xr:uid="{00000000-0005-0000-0000-000036180000}"/>
    <cellStyle name="40% - Accent4 25" xfId="2509" xr:uid="{00000000-0005-0000-0000-000037180000}"/>
    <cellStyle name="40% - Accent4 25 2" xfId="2510" xr:uid="{00000000-0005-0000-0000-000038180000}"/>
    <cellStyle name="40% - Accent4 25 2 2" xfId="5009" xr:uid="{00000000-0005-0000-0000-000039180000}"/>
    <cellStyle name="40% - Accent4 25 2 3" xfId="7126" xr:uid="{00000000-0005-0000-0000-00003A180000}"/>
    <cellStyle name="40% - Accent4 25 2 4" xfId="9174" xr:uid="{00000000-0005-0000-0000-00003B180000}"/>
    <cellStyle name="40% - Accent4 25 3" xfId="5008" xr:uid="{00000000-0005-0000-0000-00003C180000}"/>
    <cellStyle name="40% - Accent4 25 4" xfId="7125" xr:uid="{00000000-0005-0000-0000-00003D180000}"/>
    <cellStyle name="40% - Accent4 25 5" xfId="9173" xr:uid="{00000000-0005-0000-0000-00003E180000}"/>
    <cellStyle name="40% - Accent4 26" xfId="2511" xr:uid="{00000000-0005-0000-0000-00003F180000}"/>
    <cellStyle name="40% - Accent4 26 2" xfId="2512" xr:uid="{00000000-0005-0000-0000-000040180000}"/>
    <cellStyle name="40% - Accent4 26 2 2" xfId="5011" xr:uid="{00000000-0005-0000-0000-000041180000}"/>
    <cellStyle name="40% - Accent4 26 2 3" xfId="7128" xr:uid="{00000000-0005-0000-0000-000042180000}"/>
    <cellStyle name="40% - Accent4 26 2 4" xfId="9176" xr:uid="{00000000-0005-0000-0000-000043180000}"/>
    <cellStyle name="40% - Accent4 26 3" xfId="5010" xr:uid="{00000000-0005-0000-0000-000044180000}"/>
    <cellStyle name="40% - Accent4 26 4" xfId="7127" xr:uid="{00000000-0005-0000-0000-000045180000}"/>
    <cellStyle name="40% - Accent4 26 5" xfId="9175" xr:uid="{00000000-0005-0000-0000-000046180000}"/>
    <cellStyle name="40% - Accent4 27" xfId="2513" xr:uid="{00000000-0005-0000-0000-000047180000}"/>
    <cellStyle name="40% - Accent4 27 2" xfId="2514" xr:uid="{00000000-0005-0000-0000-000048180000}"/>
    <cellStyle name="40% - Accent4 27 2 2" xfId="5013" xr:uid="{00000000-0005-0000-0000-000049180000}"/>
    <cellStyle name="40% - Accent4 27 2 3" xfId="7130" xr:uid="{00000000-0005-0000-0000-00004A180000}"/>
    <cellStyle name="40% - Accent4 27 2 4" xfId="9178" xr:uid="{00000000-0005-0000-0000-00004B180000}"/>
    <cellStyle name="40% - Accent4 27 3" xfId="5012" xr:uid="{00000000-0005-0000-0000-00004C180000}"/>
    <cellStyle name="40% - Accent4 27 4" xfId="7129" xr:uid="{00000000-0005-0000-0000-00004D180000}"/>
    <cellStyle name="40% - Accent4 27 5" xfId="9177" xr:uid="{00000000-0005-0000-0000-00004E180000}"/>
    <cellStyle name="40% - Accent4 28" xfId="2515" xr:uid="{00000000-0005-0000-0000-00004F180000}"/>
    <cellStyle name="40% - Accent4 28 2" xfId="2516" xr:uid="{00000000-0005-0000-0000-000050180000}"/>
    <cellStyle name="40% - Accent4 28 2 2" xfId="5015" xr:uid="{00000000-0005-0000-0000-000051180000}"/>
    <cellStyle name="40% - Accent4 28 2 3" xfId="7132" xr:uid="{00000000-0005-0000-0000-000052180000}"/>
    <cellStyle name="40% - Accent4 28 2 4" xfId="9180" xr:uid="{00000000-0005-0000-0000-000053180000}"/>
    <cellStyle name="40% - Accent4 28 3" xfId="5014" xr:uid="{00000000-0005-0000-0000-000054180000}"/>
    <cellStyle name="40% - Accent4 28 4" xfId="7131" xr:uid="{00000000-0005-0000-0000-000055180000}"/>
    <cellStyle name="40% - Accent4 28 5" xfId="9179" xr:uid="{00000000-0005-0000-0000-000056180000}"/>
    <cellStyle name="40% - Accent4 29" xfId="2517" xr:uid="{00000000-0005-0000-0000-000057180000}"/>
    <cellStyle name="40% - Accent4 29 2" xfId="2518" xr:uid="{00000000-0005-0000-0000-000058180000}"/>
    <cellStyle name="40% - Accent4 29 2 2" xfId="5017" xr:uid="{00000000-0005-0000-0000-000059180000}"/>
    <cellStyle name="40% - Accent4 29 2 3" xfId="7134" xr:uid="{00000000-0005-0000-0000-00005A180000}"/>
    <cellStyle name="40% - Accent4 29 2 4" xfId="9182" xr:uid="{00000000-0005-0000-0000-00005B180000}"/>
    <cellStyle name="40% - Accent4 29 3" xfId="5016" xr:uid="{00000000-0005-0000-0000-00005C180000}"/>
    <cellStyle name="40% - Accent4 29 4" xfId="7133" xr:uid="{00000000-0005-0000-0000-00005D180000}"/>
    <cellStyle name="40% - Accent4 29 5" xfId="9181" xr:uid="{00000000-0005-0000-0000-00005E180000}"/>
    <cellStyle name="40% - Accent4 3" xfId="2519" xr:uid="{00000000-0005-0000-0000-00005F180000}"/>
    <cellStyle name="40% - Accent4 3 2" xfId="2520" xr:uid="{00000000-0005-0000-0000-000060180000}"/>
    <cellStyle name="40% - Accent4 3 2 2" xfId="5018" xr:uid="{00000000-0005-0000-0000-000061180000}"/>
    <cellStyle name="40% - Accent4 3 2 3" xfId="7135" xr:uid="{00000000-0005-0000-0000-000062180000}"/>
    <cellStyle name="40% - Accent4 3 2 4" xfId="9183" xr:uid="{00000000-0005-0000-0000-000063180000}"/>
    <cellStyle name="40% - Accent4 3 3" xfId="2521" xr:uid="{00000000-0005-0000-0000-000064180000}"/>
    <cellStyle name="40% - Accent4 3 3 2" xfId="5019" xr:uid="{00000000-0005-0000-0000-000065180000}"/>
    <cellStyle name="40% - Accent4 3 3 3" xfId="7136" xr:uid="{00000000-0005-0000-0000-000066180000}"/>
    <cellStyle name="40% - Accent4 3 3 4" xfId="9184" xr:uid="{00000000-0005-0000-0000-000067180000}"/>
    <cellStyle name="40% - Accent4 3 4" xfId="2522" xr:uid="{00000000-0005-0000-0000-000068180000}"/>
    <cellStyle name="40% - Accent4 3 4 2" xfId="5020" xr:uid="{00000000-0005-0000-0000-000069180000}"/>
    <cellStyle name="40% - Accent4 3 4 3" xfId="7137" xr:uid="{00000000-0005-0000-0000-00006A180000}"/>
    <cellStyle name="40% - Accent4 3 4 4" xfId="9185" xr:uid="{00000000-0005-0000-0000-00006B180000}"/>
    <cellStyle name="40% - Accent4 3 5" xfId="2523" xr:uid="{00000000-0005-0000-0000-00006C180000}"/>
    <cellStyle name="40% - Accent4 3 5 2" xfId="5021" xr:uid="{00000000-0005-0000-0000-00006D180000}"/>
    <cellStyle name="40% - Accent4 3 5 3" xfId="7138" xr:uid="{00000000-0005-0000-0000-00006E180000}"/>
    <cellStyle name="40% - Accent4 3 5 4" xfId="9186" xr:uid="{00000000-0005-0000-0000-00006F180000}"/>
    <cellStyle name="40% - Accent4 3 6" xfId="2524" xr:uid="{00000000-0005-0000-0000-000070180000}"/>
    <cellStyle name="40% - Accent4 3 6 2" xfId="5022" xr:uid="{00000000-0005-0000-0000-000071180000}"/>
    <cellStyle name="40% - Accent4 3 6 3" xfId="7139" xr:uid="{00000000-0005-0000-0000-000072180000}"/>
    <cellStyle name="40% - Accent4 3 6 4" xfId="9187" xr:uid="{00000000-0005-0000-0000-000073180000}"/>
    <cellStyle name="40% - Accent4 3 7" xfId="2525" xr:uid="{00000000-0005-0000-0000-000074180000}"/>
    <cellStyle name="40% - Accent4 3 7 2" xfId="5023" xr:uid="{00000000-0005-0000-0000-000075180000}"/>
    <cellStyle name="40% - Accent4 3 7 3" xfId="7140" xr:uid="{00000000-0005-0000-0000-000076180000}"/>
    <cellStyle name="40% - Accent4 3 7 4" xfId="9188" xr:uid="{00000000-0005-0000-0000-000077180000}"/>
    <cellStyle name="40% - Accent4 30" xfId="2526" xr:uid="{00000000-0005-0000-0000-000078180000}"/>
    <cellStyle name="40% - Accent4 30 2" xfId="2527" xr:uid="{00000000-0005-0000-0000-000079180000}"/>
    <cellStyle name="40% - Accent4 30 2 2" xfId="5025" xr:uid="{00000000-0005-0000-0000-00007A180000}"/>
    <cellStyle name="40% - Accent4 30 2 3" xfId="7142" xr:uid="{00000000-0005-0000-0000-00007B180000}"/>
    <cellStyle name="40% - Accent4 30 2 4" xfId="9190" xr:uid="{00000000-0005-0000-0000-00007C180000}"/>
    <cellStyle name="40% - Accent4 30 3" xfId="5024" xr:uid="{00000000-0005-0000-0000-00007D180000}"/>
    <cellStyle name="40% - Accent4 30 4" xfId="7141" xr:uid="{00000000-0005-0000-0000-00007E180000}"/>
    <cellStyle name="40% - Accent4 30 5" xfId="9189" xr:uid="{00000000-0005-0000-0000-00007F180000}"/>
    <cellStyle name="40% - Accent4 31" xfId="2528" xr:uid="{00000000-0005-0000-0000-000080180000}"/>
    <cellStyle name="40% - Accent4 31 2" xfId="2529" xr:uid="{00000000-0005-0000-0000-000081180000}"/>
    <cellStyle name="40% - Accent4 31 2 2" xfId="5027" xr:uid="{00000000-0005-0000-0000-000082180000}"/>
    <cellStyle name="40% - Accent4 31 2 3" xfId="7144" xr:uid="{00000000-0005-0000-0000-000083180000}"/>
    <cellStyle name="40% - Accent4 31 2 4" xfId="9192" xr:uid="{00000000-0005-0000-0000-000084180000}"/>
    <cellStyle name="40% - Accent4 31 3" xfId="5026" xr:uid="{00000000-0005-0000-0000-000085180000}"/>
    <cellStyle name="40% - Accent4 31 4" xfId="7143" xr:uid="{00000000-0005-0000-0000-000086180000}"/>
    <cellStyle name="40% - Accent4 31 5" xfId="9191" xr:uid="{00000000-0005-0000-0000-000087180000}"/>
    <cellStyle name="40% - Accent4 32" xfId="2530" xr:uid="{00000000-0005-0000-0000-000088180000}"/>
    <cellStyle name="40% - Accent4 32 2" xfId="2531" xr:uid="{00000000-0005-0000-0000-000089180000}"/>
    <cellStyle name="40% - Accent4 32 2 2" xfId="5029" xr:uid="{00000000-0005-0000-0000-00008A180000}"/>
    <cellStyle name="40% - Accent4 32 2 3" xfId="7146" xr:uid="{00000000-0005-0000-0000-00008B180000}"/>
    <cellStyle name="40% - Accent4 32 2 4" xfId="9194" xr:uid="{00000000-0005-0000-0000-00008C180000}"/>
    <cellStyle name="40% - Accent4 32 3" xfId="5028" xr:uid="{00000000-0005-0000-0000-00008D180000}"/>
    <cellStyle name="40% - Accent4 32 4" xfId="7145" xr:uid="{00000000-0005-0000-0000-00008E180000}"/>
    <cellStyle name="40% - Accent4 32 5" xfId="9193" xr:uid="{00000000-0005-0000-0000-00008F180000}"/>
    <cellStyle name="40% - Accent4 33" xfId="2532" xr:uid="{00000000-0005-0000-0000-000090180000}"/>
    <cellStyle name="40% - Accent4 33 2" xfId="5030" xr:uid="{00000000-0005-0000-0000-000091180000}"/>
    <cellStyle name="40% - Accent4 33 3" xfId="7147" xr:uid="{00000000-0005-0000-0000-000092180000}"/>
    <cellStyle name="40% - Accent4 33 4" xfId="9195" xr:uid="{00000000-0005-0000-0000-000093180000}"/>
    <cellStyle name="40% - Accent4 34" xfId="2533" xr:uid="{00000000-0005-0000-0000-000094180000}"/>
    <cellStyle name="40% - Accent4 34 2" xfId="5031" xr:uid="{00000000-0005-0000-0000-000095180000}"/>
    <cellStyle name="40% - Accent4 34 3" xfId="7148" xr:uid="{00000000-0005-0000-0000-000096180000}"/>
    <cellStyle name="40% - Accent4 34 4" xfId="9196" xr:uid="{00000000-0005-0000-0000-000097180000}"/>
    <cellStyle name="40% - Accent4 35" xfId="2534" xr:uid="{00000000-0005-0000-0000-000098180000}"/>
    <cellStyle name="40% - Accent4 35 2" xfId="5032" xr:uid="{00000000-0005-0000-0000-000099180000}"/>
    <cellStyle name="40% - Accent4 35 3" xfId="7149" xr:uid="{00000000-0005-0000-0000-00009A180000}"/>
    <cellStyle name="40% - Accent4 35 4" xfId="9197" xr:uid="{00000000-0005-0000-0000-00009B180000}"/>
    <cellStyle name="40% - Accent4 36" xfId="2535" xr:uid="{00000000-0005-0000-0000-00009C180000}"/>
    <cellStyle name="40% - Accent4 36 2" xfId="5033" xr:uid="{00000000-0005-0000-0000-00009D180000}"/>
    <cellStyle name="40% - Accent4 36 3" xfId="7150" xr:uid="{00000000-0005-0000-0000-00009E180000}"/>
    <cellStyle name="40% - Accent4 36 4" xfId="9198" xr:uid="{00000000-0005-0000-0000-00009F180000}"/>
    <cellStyle name="40% - Accent4 37" xfId="2536" xr:uid="{00000000-0005-0000-0000-0000A0180000}"/>
    <cellStyle name="40% - Accent4 37 2" xfId="5034" xr:uid="{00000000-0005-0000-0000-0000A1180000}"/>
    <cellStyle name="40% - Accent4 37 3" xfId="7151" xr:uid="{00000000-0005-0000-0000-0000A2180000}"/>
    <cellStyle name="40% - Accent4 37 4" xfId="9199" xr:uid="{00000000-0005-0000-0000-0000A3180000}"/>
    <cellStyle name="40% - Accent4 38" xfId="2537" xr:uid="{00000000-0005-0000-0000-0000A4180000}"/>
    <cellStyle name="40% - Accent4 38 2" xfId="5035" xr:uid="{00000000-0005-0000-0000-0000A5180000}"/>
    <cellStyle name="40% - Accent4 38 3" xfId="7152" xr:uid="{00000000-0005-0000-0000-0000A6180000}"/>
    <cellStyle name="40% - Accent4 38 4" xfId="9200" xr:uid="{00000000-0005-0000-0000-0000A7180000}"/>
    <cellStyle name="40% - Accent4 39" xfId="2538" xr:uid="{00000000-0005-0000-0000-0000A8180000}"/>
    <cellStyle name="40% - Accent4 39 2" xfId="5036" xr:uid="{00000000-0005-0000-0000-0000A9180000}"/>
    <cellStyle name="40% - Accent4 39 3" xfId="7153" xr:uid="{00000000-0005-0000-0000-0000AA180000}"/>
    <cellStyle name="40% - Accent4 39 4" xfId="9201" xr:uid="{00000000-0005-0000-0000-0000AB180000}"/>
    <cellStyle name="40% - Accent4 4" xfId="2539" xr:uid="{00000000-0005-0000-0000-0000AC180000}"/>
    <cellStyle name="40% - Accent4 4 2" xfId="2540" xr:uid="{00000000-0005-0000-0000-0000AD180000}"/>
    <cellStyle name="40% - Accent4 4 2 2" xfId="5037" xr:uid="{00000000-0005-0000-0000-0000AE180000}"/>
    <cellStyle name="40% - Accent4 4 2 3" xfId="7154" xr:uid="{00000000-0005-0000-0000-0000AF180000}"/>
    <cellStyle name="40% - Accent4 4 2 4" xfId="9202" xr:uid="{00000000-0005-0000-0000-0000B0180000}"/>
    <cellStyle name="40% - Accent4 4 3" xfId="2541" xr:uid="{00000000-0005-0000-0000-0000B1180000}"/>
    <cellStyle name="40% - Accent4 4 3 2" xfId="5038" xr:uid="{00000000-0005-0000-0000-0000B2180000}"/>
    <cellStyle name="40% - Accent4 4 3 3" xfId="7155" xr:uid="{00000000-0005-0000-0000-0000B3180000}"/>
    <cellStyle name="40% - Accent4 4 3 4" xfId="9203" xr:uid="{00000000-0005-0000-0000-0000B4180000}"/>
    <cellStyle name="40% - Accent4 4 4" xfId="2542" xr:uid="{00000000-0005-0000-0000-0000B5180000}"/>
    <cellStyle name="40% - Accent4 4 4 2" xfId="5039" xr:uid="{00000000-0005-0000-0000-0000B6180000}"/>
    <cellStyle name="40% - Accent4 4 4 3" xfId="7156" xr:uid="{00000000-0005-0000-0000-0000B7180000}"/>
    <cellStyle name="40% - Accent4 4 4 4" xfId="9204" xr:uid="{00000000-0005-0000-0000-0000B8180000}"/>
    <cellStyle name="40% - Accent4 4 5" xfId="2543" xr:uid="{00000000-0005-0000-0000-0000B9180000}"/>
    <cellStyle name="40% - Accent4 4 5 2" xfId="5040" xr:uid="{00000000-0005-0000-0000-0000BA180000}"/>
    <cellStyle name="40% - Accent4 4 5 3" xfId="7157" xr:uid="{00000000-0005-0000-0000-0000BB180000}"/>
    <cellStyle name="40% - Accent4 4 5 4" xfId="9205" xr:uid="{00000000-0005-0000-0000-0000BC180000}"/>
    <cellStyle name="40% - Accent4 4 6" xfId="2544" xr:uid="{00000000-0005-0000-0000-0000BD180000}"/>
    <cellStyle name="40% - Accent4 4 6 2" xfId="5041" xr:uid="{00000000-0005-0000-0000-0000BE180000}"/>
    <cellStyle name="40% - Accent4 4 6 3" xfId="7158" xr:uid="{00000000-0005-0000-0000-0000BF180000}"/>
    <cellStyle name="40% - Accent4 4 6 4" xfId="9206" xr:uid="{00000000-0005-0000-0000-0000C0180000}"/>
    <cellStyle name="40% - Accent4 4 7" xfId="2545" xr:uid="{00000000-0005-0000-0000-0000C1180000}"/>
    <cellStyle name="40% - Accent4 4 7 2" xfId="5042" xr:uid="{00000000-0005-0000-0000-0000C2180000}"/>
    <cellStyle name="40% - Accent4 4 7 3" xfId="7159" xr:uid="{00000000-0005-0000-0000-0000C3180000}"/>
    <cellStyle name="40% - Accent4 4 7 4" xfId="9207" xr:uid="{00000000-0005-0000-0000-0000C4180000}"/>
    <cellStyle name="40% - Accent4 40" xfId="2546" xr:uid="{00000000-0005-0000-0000-0000C5180000}"/>
    <cellStyle name="40% - Accent4 40 2" xfId="5043" xr:uid="{00000000-0005-0000-0000-0000C6180000}"/>
    <cellStyle name="40% - Accent4 40 3" xfId="7160" xr:uid="{00000000-0005-0000-0000-0000C7180000}"/>
    <cellStyle name="40% - Accent4 40 4" xfId="9208" xr:uid="{00000000-0005-0000-0000-0000C8180000}"/>
    <cellStyle name="40% - Accent4 41" xfId="2547" xr:uid="{00000000-0005-0000-0000-0000C9180000}"/>
    <cellStyle name="40% - Accent4 41 2" xfId="5044" xr:uid="{00000000-0005-0000-0000-0000CA180000}"/>
    <cellStyle name="40% - Accent4 41 3" xfId="7161" xr:uid="{00000000-0005-0000-0000-0000CB180000}"/>
    <cellStyle name="40% - Accent4 41 4" xfId="9209" xr:uid="{00000000-0005-0000-0000-0000CC180000}"/>
    <cellStyle name="40% - Accent4 42" xfId="2548" xr:uid="{00000000-0005-0000-0000-0000CD180000}"/>
    <cellStyle name="40% - Accent4 42 2" xfId="5045" xr:uid="{00000000-0005-0000-0000-0000CE180000}"/>
    <cellStyle name="40% - Accent4 42 3" xfId="7162" xr:uid="{00000000-0005-0000-0000-0000CF180000}"/>
    <cellStyle name="40% - Accent4 42 4" xfId="9210" xr:uid="{00000000-0005-0000-0000-0000D0180000}"/>
    <cellStyle name="40% - Accent4 43" xfId="2549" xr:uid="{00000000-0005-0000-0000-0000D1180000}"/>
    <cellStyle name="40% - Accent4 43 2" xfId="5046" xr:uid="{00000000-0005-0000-0000-0000D2180000}"/>
    <cellStyle name="40% - Accent4 43 3" xfId="7163" xr:uid="{00000000-0005-0000-0000-0000D3180000}"/>
    <cellStyle name="40% - Accent4 43 4" xfId="9211" xr:uid="{00000000-0005-0000-0000-0000D4180000}"/>
    <cellStyle name="40% - Accent4 44" xfId="2550" xr:uid="{00000000-0005-0000-0000-0000D5180000}"/>
    <cellStyle name="40% - Accent4 44 2" xfId="5047" xr:uid="{00000000-0005-0000-0000-0000D6180000}"/>
    <cellStyle name="40% - Accent4 44 3" xfId="7164" xr:uid="{00000000-0005-0000-0000-0000D7180000}"/>
    <cellStyle name="40% - Accent4 44 4" xfId="9212" xr:uid="{00000000-0005-0000-0000-0000D8180000}"/>
    <cellStyle name="40% - Accent4 45" xfId="2551" xr:uid="{00000000-0005-0000-0000-0000D9180000}"/>
    <cellStyle name="40% - Accent4 45 2" xfId="5048" xr:uid="{00000000-0005-0000-0000-0000DA180000}"/>
    <cellStyle name="40% - Accent4 45 3" xfId="7165" xr:uid="{00000000-0005-0000-0000-0000DB180000}"/>
    <cellStyle name="40% - Accent4 45 4" xfId="9213" xr:uid="{00000000-0005-0000-0000-0000DC180000}"/>
    <cellStyle name="40% - Accent4 46" xfId="2552" xr:uid="{00000000-0005-0000-0000-0000DD180000}"/>
    <cellStyle name="40% - Accent4 46 2" xfId="5049" xr:uid="{00000000-0005-0000-0000-0000DE180000}"/>
    <cellStyle name="40% - Accent4 46 3" xfId="7166" xr:uid="{00000000-0005-0000-0000-0000DF180000}"/>
    <cellStyle name="40% - Accent4 46 4" xfId="9214" xr:uid="{00000000-0005-0000-0000-0000E0180000}"/>
    <cellStyle name="40% - Accent4 47" xfId="2553" xr:uid="{00000000-0005-0000-0000-0000E1180000}"/>
    <cellStyle name="40% - Accent4 47 2" xfId="5050" xr:uid="{00000000-0005-0000-0000-0000E2180000}"/>
    <cellStyle name="40% - Accent4 47 3" xfId="7167" xr:uid="{00000000-0005-0000-0000-0000E3180000}"/>
    <cellStyle name="40% - Accent4 47 4" xfId="9215" xr:uid="{00000000-0005-0000-0000-0000E4180000}"/>
    <cellStyle name="40% - Accent4 48" xfId="2554" xr:uid="{00000000-0005-0000-0000-0000E5180000}"/>
    <cellStyle name="40% - Accent4 48 2" xfId="5051" xr:uid="{00000000-0005-0000-0000-0000E6180000}"/>
    <cellStyle name="40% - Accent4 48 3" xfId="7168" xr:uid="{00000000-0005-0000-0000-0000E7180000}"/>
    <cellStyle name="40% - Accent4 48 4" xfId="9216" xr:uid="{00000000-0005-0000-0000-0000E8180000}"/>
    <cellStyle name="40% - Accent4 49" xfId="2555" xr:uid="{00000000-0005-0000-0000-0000E9180000}"/>
    <cellStyle name="40% - Accent4 49 2" xfId="5052" xr:uid="{00000000-0005-0000-0000-0000EA180000}"/>
    <cellStyle name="40% - Accent4 49 3" xfId="7169" xr:uid="{00000000-0005-0000-0000-0000EB180000}"/>
    <cellStyle name="40% - Accent4 49 4" xfId="9217" xr:uid="{00000000-0005-0000-0000-0000EC180000}"/>
    <cellStyle name="40% - Accent4 5" xfId="2556" xr:uid="{00000000-0005-0000-0000-0000ED180000}"/>
    <cellStyle name="40% - Accent4 5 2" xfId="2557" xr:uid="{00000000-0005-0000-0000-0000EE180000}"/>
    <cellStyle name="40% - Accent4 5 2 2" xfId="5053" xr:uid="{00000000-0005-0000-0000-0000EF180000}"/>
    <cellStyle name="40% - Accent4 5 2 3" xfId="7170" xr:uid="{00000000-0005-0000-0000-0000F0180000}"/>
    <cellStyle name="40% - Accent4 5 2 4" xfId="9218" xr:uid="{00000000-0005-0000-0000-0000F1180000}"/>
    <cellStyle name="40% - Accent4 5 3" xfId="2558" xr:uid="{00000000-0005-0000-0000-0000F2180000}"/>
    <cellStyle name="40% - Accent4 5 3 2" xfId="5054" xr:uid="{00000000-0005-0000-0000-0000F3180000}"/>
    <cellStyle name="40% - Accent4 5 3 3" xfId="7171" xr:uid="{00000000-0005-0000-0000-0000F4180000}"/>
    <cellStyle name="40% - Accent4 5 3 4" xfId="9219" xr:uid="{00000000-0005-0000-0000-0000F5180000}"/>
    <cellStyle name="40% - Accent4 5 4" xfId="2559" xr:uid="{00000000-0005-0000-0000-0000F6180000}"/>
    <cellStyle name="40% - Accent4 5 4 2" xfId="5055" xr:uid="{00000000-0005-0000-0000-0000F7180000}"/>
    <cellStyle name="40% - Accent4 5 4 3" xfId="7172" xr:uid="{00000000-0005-0000-0000-0000F8180000}"/>
    <cellStyle name="40% - Accent4 5 4 4" xfId="9220" xr:uid="{00000000-0005-0000-0000-0000F9180000}"/>
    <cellStyle name="40% - Accent4 5 5" xfId="2560" xr:uid="{00000000-0005-0000-0000-0000FA180000}"/>
    <cellStyle name="40% - Accent4 5 5 2" xfId="5056" xr:uid="{00000000-0005-0000-0000-0000FB180000}"/>
    <cellStyle name="40% - Accent4 5 5 3" xfId="7173" xr:uid="{00000000-0005-0000-0000-0000FC180000}"/>
    <cellStyle name="40% - Accent4 5 5 4" xfId="9221" xr:uid="{00000000-0005-0000-0000-0000FD180000}"/>
    <cellStyle name="40% - Accent4 5 6" xfId="2561" xr:uid="{00000000-0005-0000-0000-0000FE180000}"/>
    <cellStyle name="40% - Accent4 5 6 2" xfId="5057" xr:uid="{00000000-0005-0000-0000-0000FF180000}"/>
    <cellStyle name="40% - Accent4 5 6 3" xfId="7174" xr:uid="{00000000-0005-0000-0000-000000190000}"/>
    <cellStyle name="40% - Accent4 5 6 4" xfId="9222" xr:uid="{00000000-0005-0000-0000-000001190000}"/>
    <cellStyle name="40% - Accent4 5 7" xfId="2562" xr:uid="{00000000-0005-0000-0000-000002190000}"/>
    <cellStyle name="40% - Accent4 5 7 2" xfId="5058" xr:uid="{00000000-0005-0000-0000-000003190000}"/>
    <cellStyle name="40% - Accent4 5 7 3" xfId="7175" xr:uid="{00000000-0005-0000-0000-000004190000}"/>
    <cellStyle name="40% - Accent4 5 7 4" xfId="9223" xr:uid="{00000000-0005-0000-0000-000005190000}"/>
    <cellStyle name="40% - Accent4 50" xfId="2563" xr:uid="{00000000-0005-0000-0000-000006190000}"/>
    <cellStyle name="40% - Accent4 50 2" xfId="5059" xr:uid="{00000000-0005-0000-0000-000007190000}"/>
    <cellStyle name="40% - Accent4 50 3" xfId="7176" xr:uid="{00000000-0005-0000-0000-000008190000}"/>
    <cellStyle name="40% - Accent4 50 4" xfId="9224" xr:uid="{00000000-0005-0000-0000-000009190000}"/>
    <cellStyle name="40% - Accent4 6" xfId="2564" xr:uid="{00000000-0005-0000-0000-00000A190000}"/>
    <cellStyle name="40% - Accent4 6 2" xfId="2565" xr:uid="{00000000-0005-0000-0000-00000B190000}"/>
    <cellStyle name="40% - Accent4 6 2 2" xfId="5060" xr:uid="{00000000-0005-0000-0000-00000C190000}"/>
    <cellStyle name="40% - Accent4 6 2 3" xfId="7177" xr:uid="{00000000-0005-0000-0000-00000D190000}"/>
    <cellStyle name="40% - Accent4 6 2 4" xfId="9225" xr:uid="{00000000-0005-0000-0000-00000E190000}"/>
    <cellStyle name="40% - Accent4 6 3" xfId="2566" xr:uid="{00000000-0005-0000-0000-00000F190000}"/>
    <cellStyle name="40% - Accent4 6 3 2" xfId="5061" xr:uid="{00000000-0005-0000-0000-000010190000}"/>
    <cellStyle name="40% - Accent4 6 3 3" xfId="7178" xr:uid="{00000000-0005-0000-0000-000011190000}"/>
    <cellStyle name="40% - Accent4 6 3 4" xfId="9226" xr:uid="{00000000-0005-0000-0000-000012190000}"/>
    <cellStyle name="40% - Accent4 6 4" xfId="2567" xr:uid="{00000000-0005-0000-0000-000013190000}"/>
    <cellStyle name="40% - Accent4 6 4 2" xfId="5062" xr:uid="{00000000-0005-0000-0000-000014190000}"/>
    <cellStyle name="40% - Accent4 6 4 3" xfId="7179" xr:uid="{00000000-0005-0000-0000-000015190000}"/>
    <cellStyle name="40% - Accent4 6 4 4" xfId="9227" xr:uid="{00000000-0005-0000-0000-000016190000}"/>
    <cellStyle name="40% - Accent4 6 5" xfId="2568" xr:uid="{00000000-0005-0000-0000-000017190000}"/>
    <cellStyle name="40% - Accent4 6 5 2" xfId="5063" xr:uid="{00000000-0005-0000-0000-000018190000}"/>
    <cellStyle name="40% - Accent4 6 5 3" xfId="7180" xr:uid="{00000000-0005-0000-0000-000019190000}"/>
    <cellStyle name="40% - Accent4 6 5 4" xfId="9228" xr:uid="{00000000-0005-0000-0000-00001A190000}"/>
    <cellStyle name="40% - Accent4 6 6" xfId="2569" xr:uid="{00000000-0005-0000-0000-00001B190000}"/>
    <cellStyle name="40% - Accent4 6 6 2" xfId="5064" xr:uid="{00000000-0005-0000-0000-00001C190000}"/>
    <cellStyle name="40% - Accent4 6 6 3" xfId="7181" xr:uid="{00000000-0005-0000-0000-00001D190000}"/>
    <cellStyle name="40% - Accent4 6 6 4" xfId="9229" xr:uid="{00000000-0005-0000-0000-00001E190000}"/>
    <cellStyle name="40% - Accent4 6 7" xfId="2570" xr:uid="{00000000-0005-0000-0000-00001F190000}"/>
    <cellStyle name="40% - Accent4 6 7 2" xfId="5065" xr:uid="{00000000-0005-0000-0000-000020190000}"/>
    <cellStyle name="40% - Accent4 6 7 3" xfId="7182" xr:uid="{00000000-0005-0000-0000-000021190000}"/>
    <cellStyle name="40% - Accent4 6 7 4" xfId="9230" xr:uid="{00000000-0005-0000-0000-000022190000}"/>
    <cellStyle name="40% - Accent4 7" xfId="2571" xr:uid="{00000000-0005-0000-0000-000023190000}"/>
    <cellStyle name="40% - Accent4 7 10" xfId="9231" xr:uid="{00000000-0005-0000-0000-000024190000}"/>
    <cellStyle name="40% - Accent4 7 2" xfId="2572" xr:uid="{00000000-0005-0000-0000-000025190000}"/>
    <cellStyle name="40% - Accent4 7 2 2" xfId="5067" xr:uid="{00000000-0005-0000-0000-000026190000}"/>
    <cellStyle name="40% - Accent4 7 2 3" xfId="7184" xr:uid="{00000000-0005-0000-0000-000027190000}"/>
    <cellStyle name="40% - Accent4 7 2 4" xfId="9232" xr:uid="{00000000-0005-0000-0000-000028190000}"/>
    <cellStyle name="40% - Accent4 7 3" xfId="2573" xr:uid="{00000000-0005-0000-0000-000029190000}"/>
    <cellStyle name="40% - Accent4 7 3 2" xfId="5068" xr:uid="{00000000-0005-0000-0000-00002A190000}"/>
    <cellStyle name="40% - Accent4 7 3 3" xfId="7185" xr:uid="{00000000-0005-0000-0000-00002B190000}"/>
    <cellStyle name="40% - Accent4 7 3 4" xfId="9233" xr:uid="{00000000-0005-0000-0000-00002C190000}"/>
    <cellStyle name="40% - Accent4 7 4" xfId="2574" xr:uid="{00000000-0005-0000-0000-00002D190000}"/>
    <cellStyle name="40% - Accent4 7 4 2" xfId="5069" xr:uid="{00000000-0005-0000-0000-00002E190000}"/>
    <cellStyle name="40% - Accent4 7 4 3" xfId="7186" xr:uid="{00000000-0005-0000-0000-00002F190000}"/>
    <cellStyle name="40% - Accent4 7 4 4" xfId="9234" xr:uid="{00000000-0005-0000-0000-000030190000}"/>
    <cellStyle name="40% - Accent4 7 5" xfId="2575" xr:uid="{00000000-0005-0000-0000-000031190000}"/>
    <cellStyle name="40% - Accent4 7 5 2" xfId="5070" xr:uid="{00000000-0005-0000-0000-000032190000}"/>
    <cellStyle name="40% - Accent4 7 5 3" xfId="7187" xr:uid="{00000000-0005-0000-0000-000033190000}"/>
    <cellStyle name="40% - Accent4 7 5 4" xfId="9235" xr:uid="{00000000-0005-0000-0000-000034190000}"/>
    <cellStyle name="40% - Accent4 7 6" xfId="2576" xr:uid="{00000000-0005-0000-0000-000035190000}"/>
    <cellStyle name="40% - Accent4 7 6 2" xfId="5071" xr:uid="{00000000-0005-0000-0000-000036190000}"/>
    <cellStyle name="40% - Accent4 7 6 3" xfId="7188" xr:uid="{00000000-0005-0000-0000-000037190000}"/>
    <cellStyle name="40% - Accent4 7 6 4" xfId="9236" xr:uid="{00000000-0005-0000-0000-000038190000}"/>
    <cellStyle name="40% - Accent4 7 7" xfId="2577" xr:uid="{00000000-0005-0000-0000-000039190000}"/>
    <cellStyle name="40% - Accent4 7 7 2" xfId="5072" xr:uid="{00000000-0005-0000-0000-00003A190000}"/>
    <cellStyle name="40% - Accent4 7 7 3" xfId="7189" xr:uid="{00000000-0005-0000-0000-00003B190000}"/>
    <cellStyle name="40% - Accent4 7 7 4" xfId="9237" xr:uid="{00000000-0005-0000-0000-00003C190000}"/>
    <cellStyle name="40% - Accent4 7 8" xfId="5066" xr:uid="{00000000-0005-0000-0000-00003D190000}"/>
    <cellStyle name="40% - Accent4 7 9" xfId="7183" xr:uid="{00000000-0005-0000-0000-00003E190000}"/>
    <cellStyle name="40% - Accent4 8" xfId="2578" xr:uid="{00000000-0005-0000-0000-00003F190000}"/>
    <cellStyle name="40% - Accent4 8 10" xfId="9238" xr:uid="{00000000-0005-0000-0000-000040190000}"/>
    <cellStyle name="40% - Accent4 8 2" xfId="2579" xr:uid="{00000000-0005-0000-0000-000041190000}"/>
    <cellStyle name="40% - Accent4 8 2 2" xfId="5074" xr:uid="{00000000-0005-0000-0000-000042190000}"/>
    <cellStyle name="40% - Accent4 8 2 3" xfId="7191" xr:uid="{00000000-0005-0000-0000-000043190000}"/>
    <cellStyle name="40% - Accent4 8 2 4" xfId="9239" xr:uid="{00000000-0005-0000-0000-000044190000}"/>
    <cellStyle name="40% - Accent4 8 3" xfId="2580" xr:uid="{00000000-0005-0000-0000-000045190000}"/>
    <cellStyle name="40% - Accent4 8 3 2" xfId="5075" xr:uid="{00000000-0005-0000-0000-000046190000}"/>
    <cellStyle name="40% - Accent4 8 3 3" xfId="7192" xr:uid="{00000000-0005-0000-0000-000047190000}"/>
    <cellStyle name="40% - Accent4 8 3 4" xfId="9240" xr:uid="{00000000-0005-0000-0000-000048190000}"/>
    <cellStyle name="40% - Accent4 8 4" xfId="2581" xr:uid="{00000000-0005-0000-0000-000049190000}"/>
    <cellStyle name="40% - Accent4 8 4 2" xfId="5076" xr:uid="{00000000-0005-0000-0000-00004A190000}"/>
    <cellStyle name="40% - Accent4 8 4 3" xfId="7193" xr:uid="{00000000-0005-0000-0000-00004B190000}"/>
    <cellStyle name="40% - Accent4 8 4 4" xfId="9241" xr:uid="{00000000-0005-0000-0000-00004C190000}"/>
    <cellStyle name="40% - Accent4 8 5" xfId="2582" xr:uid="{00000000-0005-0000-0000-00004D190000}"/>
    <cellStyle name="40% - Accent4 8 5 2" xfId="5077" xr:uid="{00000000-0005-0000-0000-00004E190000}"/>
    <cellStyle name="40% - Accent4 8 5 3" xfId="7194" xr:uid="{00000000-0005-0000-0000-00004F190000}"/>
    <cellStyle name="40% - Accent4 8 5 4" xfId="9242" xr:uid="{00000000-0005-0000-0000-000050190000}"/>
    <cellStyle name="40% - Accent4 8 6" xfId="2583" xr:uid="{00000000-0005-0000-0000-000051190000}"/>
    <cellStyle name="40% - Accent4 8 6 2" xfId="5078" xr:uid="{00000000-0005-0000-0000-000052190000}"/>
    <cellStyle name="40% - Accent4 8 6 3" xfId="7195" xr:uid="{00000000-0005-0000-0000-000053190000}"/>
    <cellStyle name="40% - Accent4 8 6 4" xfId="9243" xr:uid="{00000000-0005-0000-0000-000054190000}"/>
    <cellStyle name="40% - Accent4 8 7" xfId="2584" xr:uid="{00000000-0005-0000-0000-000055190000}"/>
    <cellStyle name="40% - Accent4 8 7 2" xfId="5079" xr:uid="{00000000-0005-0000-0000-000056190000}"/>
    <cellStyle name="40% - Accent4 8 7 3" xfId="7196" xr:uid="{00000000-0005-0000-0000-000057190000}"/>
    <cellStyle name="40% - Accent4 8 7 4" xfId="9244" xr:uid="{00000000-0005-0000-0000-000058190000}"/>
    <cellStyle name="40% - Accent4 8 8" xfId="5073" xr:uid="{00000000-0005-0000-0000-000059190000}"/>
    <cellStyle name="40% - Accent4 8 9" xfId="7190" xr:uid="{00000000-0005-0000-0000-00005A190000}"/>
    <cellStyle name="40% - Accent4 9" xfId="2585" xr:uid="{00000000-0005-0000-0000-00005B190000}"/>
    <cellStyle name="40% - Accent4 9 10" xfId="9245" xr:uid="{00000000-0005-0000-0000-00005C190000}"/>
    <cellStyle name="40% - Accent4 9 2" xfId="2586" xr:uid="{00000000-0005-0000-0000-00005D190000}"/>
    <cellStyle name="40% - Accent4 9 2 2" xfId="5081" xr:uid="{00000000-0005-0000-0000-00005E190000}"/>
    <cellStyle name="40% - Accent4 9 2 3" xfId="7198" xr:uid="{00000000-0005-0000-0000-00005F190000}"/>
    <cellStyle name="40% - Accent4 9 2 4" xfId="9246" xr:uid="{00000000-0005-0000-0000-000060190000}"/>
    <cellStyle name="40% - Accent4 9 3" xfId="2587" xr:uid="{00000000-0005-0000-0000-000061190000}"/>
    <cellStyle name="40% - Accent4 9 3 2" xfId="5082" xr:uid="{00000000-0005-0000-0000-000062190000}"/>
    <cellStyle name="40% - Accent4 9 3 3" xfId="7199" xr:uid="{00000000-0005-0000-0000-000063190000}"/>
    <cellStyle name="40% - Accent4 9 3 4" xfId="9247" xr:uid="{00000000-0005-0000-0000-000064190000}"/>
    <cellStyle name="40% - Accent4 9 4" xfId="2588" xr:uid="{00000000-0005-0000-0000-000065190000}"/>
    <cellStyle name="40% - Accent4 9 4 2" xfId="5083" xr:uid="{00000000-0005-0000-0000-000066190000}"/>
    <cellStyle name="40% - Accent4 9 4 3" xfId="7200" xr:uid="{00000000-0005-0000-0000-000067190000}"/>
    <cellStyle name="40% - Accent4 9 4 4" xfId="9248" xr:uid="{00000000-0005-0000-0000-000068190000}"/>
    <cellStyle name="40% - Accent4 9 5" xfId="2589" xr:uid="{00000000-0005-0000-0000-000069190000}"/>
    <cellStyle name="40% - Accent4 9 5 2" xfId="5084" xr:uid="{00000000-0005-0000-0000-00006A190000}"/>
    <cellStyle name="40% - Accent4 9 5 3" xfId="7201" xr:uid="{00000000-0005-0000-0000-00006B190000}"/>
    <cellStyle name="40% - Accent4 9 5 4" xfId="9249" xr:uid="{00000000-0005-0000-0000-00006C190000}"/>
    <cellStyle name="40% - Accent4 9 6" xfId="2590" xr:uid="{00000000-0005-0000-0000-00006D190000}"/>
    <cellStyle name="40% - Accent4 9 6 2" xfId="5085" xr:uid="{00000000-0005-0000-0000-00006E190000}"/>
    <cellStyle name="40% - Accent4 9 6 3" xfId="7202" xr:uid="{00000000-0005-0000-0000-00006F190000}"/>
    <cellStyle name="40% - Accent4 9 6 4" xfId="9250" xr:uid="{00000000-0005-0000-0000-000070190000}"/>
    <cellStyle name="40% - Accent4 9 7" xfId="2591" xr:uid="{00000000-0005-0000-0000-000071190000}"/>
    <cellStyle name="40% - Accent4 9 7 2" xfId="5086" xr:uid="{00000000-0005-0000-0000-000072190000}"/>
    <cellStyle name="40% - Accent4 9 7 3" xfId="7203" xr:uid="{00000000-0005-0000-0000-000073190000}"/>
    <cellStyle name="40% - Accent4 9 7 4" xfId="9251" xr:uid="{00000000-0005-0000-0000-000074190000}"/>
    <cellStyle name="40% - Accent4 9 8" xfId="5080" xr:uid="{00000000-0005-0000-0000-000075190000}"/>
    <cellStyle name="40% - Accent4 9 9" xfId="7197" xr:uid="{00000000-0005-0000-0000-000076190000}"/>
    <cellStyle name="40% - Accent5 10" xfId="2592" xr:uid="{00000000-0005-0000-0000-000077190000}"/>
    <cellStyle name="40% - Accent5 10 10" xfId="9252" xr:uid="{00000000-0005-0000-0000-000078190000}"/>
    <cellStyle name="40% - Accent5 10 2" xfId="2593" xr:uid="{00000000-0005-0000-0000-000079190000}"/>
    <cellStyle name="40% - Accent5 10 2 2" xfId="5088" xr:uid="{00000000-0005-0000-0000-00007A190000}"/>
    <cellStyle name="40% - Accent5 10 2 3" xfId="7205" xr:uid="{00000000-0005-0000-0000-00007B190000}"/>
    <cellStyle name="40% - Accent5 10 2 4" xfId="9253" xr:uid="{00000000-0005-0000-0000-00007C190000}"/>
    <cellStyle name="40% - Accent5 10 3" xfId="2594" xr:uid="{00000000-0005-0000-0000-00007D190000}"/>
    <cellStyle name="40% - Accent5 10 3 2" xfId="5089" xr:uid="{00000000-0005-0000-0000-00007E190000}"/>
    <cellStyle name="40% - Accent5 10 3 3" xfId="7206" xr:uid="{00000000-0005-0000-0000-00007F190000}"/>
    <cellStyle name="40% - Accent5 10 3 4" xfId="9254" xr:uid="{00000000-0005-0000-0000-000080190000}"/>
    <cellStyle name="40% - Accent5 10 4" xfId="2595" xr:uid="{00000000-0005-0000-0000-000081190000}"/>
    <cellStyle name="40% - Accent5 10 4 2" xfId="5090" xr:uid="{00000000-0005-0000-0000-000082190000}"/>
    <cellStyle name="40% - Accent5 10 4 3" xfId="7207" xr:uid="{00000000-0005-0000-0000-000083190000}"/>
    <cellStyle name="40% - Accent5 10 4 4" xfId="9255" xr:uid="{00000000-0005-0000-0000-000084190000}"/>
    <cellStyle name="40% - Accent5 10 5" xfId="2596" xr:uid="{00000000-0005-0000-0000-000085190000}"/>
    <cellStyle name="40% - Accent5 10 5 2" xfId="5091" xr:uid="{00000000-0005-0000-0000-000086190000}"/>
    <cellStyle name="40% - Accent5 10 5 3" xfId="7208" xr:uid="{00000000-0005-0000-0000-000087190000}"/>
    <cellStyle name="40% - Accent5 10 5 4" xfId="9256" xr:uid="{00000000-0005-0000-0000-000088190000}"/>
    <cellStyle name="40% - Accent5 10 6" xfId="2597" xr:uid="{00000000-0005-0000-0000-000089190000}"/>
    <cellStyle name="40% - Accent5 10 6 2" xfId="5092" xr:uid="{00000000-0005-0000-0000-00008A190000}"/>
    <cellStyle name="40% - Accent5 10 6 3" xfId="7209" xr:uid="{00000000-0005-0000-0000-00008B190000}"/>
    <cellStyle name="40% - Accent5 10 6 4" xfId="9257" xr:uid="{00000000-0005-0000-0000-00008C190000}"/>
    <cellStyle name="40% - Accent5 10 7" xfId="2598" xr:uid="{00000000-0005-0000-0000-00008D190000}"/>
    <cellStyle name="40% - Accent5 10 7 2" xfId="5093" xr:uid="{00000000-0005-0000-0000-00008E190000}"/>
    <cellStyle name="40% - Accent5 10 7 3" xfId="7210" xr:uid="{00000000-0005-0000-0000-00008F190000}"/>
    <cellStyle name="40% - Accent5 10 7 4" xfId="9258" xr:uid="{00000000-0005-0000-0000-000090190000}"/>
    <cellStyle name="40% - Accent5 10 8" xfId="5087" xr:uid="{00000000-0005-0000-0000-000091190000}"/>
    <cellStyle name="40% - Accent5 10 9" xfId="7204" xr:uid="{00000000-0005-0000-0000-000092190000}"/>
    <cellStyle name="40% - Accent5 11" xfId="2599" xr:uid="{00000000-0005-0000-0000-000093190000}"/>
    <cellStyle name="40% - Accent5 11 2" xfId="2600" xr:uid="{00000000-0005-0000-0000-000094190000}"/>
    <cellStyle name="40% - Accent5 11 2 2" xfId="5095" xr:uid="{00000000-0005-0000-0000-000095190000}"/>
    <cellStyle name="40% - Accent5 11 2 3" xfId="7212" xr:uid="{00000000-0005-0000-0000-000096190000}"/>
    <cellStyle name="40% - Accent5 11 2 4" xfId="9260" xr:uid="{00000000-0005-0000-0000-000097190000}"/>
    <cellStyle name="40% - Accent5 11 3" xfId="2601" xr:uid="{00000000-0005-0000-0000-000098190000}"/>
    <cellStyle name="40% - Accent5 11 3 2" xfId="5096" xr:uid="{00000000-0005-0000-0000-000099190000}"/>
    <cellStyle name="40% - Accent5 11 3 3" xfId="7213" xr:uid="{00000000-0005-0000-0000-00009A190000}"/>
    <cellStyle name="40% - Accent5 11 3 4" xfId="9261" xr:uid="{00000000-0005-0000-0000-00009B190000}"/>
    <cellStyle name="40% - Accent5 11 4" xfId="2602" xr:uid="{00000000-0005-0000-0000-00009C190000}"/>
    <cellStyle name="40% - Accent5 11 4 2" xfId="5097" xr:uid="{00000000-0005-0000-0000-00009D190000}"/>
    <cellStyle name="40% - Accent5 11 4 3" xfId="7214" xr:uid="{00000000-0005-0000-0000-00009E190000}"/>
    <cellStyle name="40% - Accent5 11 4 4" xfId="9262" xr:uid="{00000000-0005-0000-0000-00009F190000}"/>
    <cellStyle name="40% - Accent5 11 5" xfId="2603" xr:uid="{00000000-0005-0000-0000-0000A0190000}"/>
    <cellStyle name="40% - Accent5 11 5 2" xfId="5098" xr:uid="{00000000-0005-0000-0000-0000A1190000}"/>
    <cellStyle name="40% - Accent5 11 5 3" xfId="7215" xr:uid="{00000000-0005-0000-0000-0000A2190000}"/>
    <cellStyle name="40% - Accent5 11 5 4" xfId="9263" xr:uid="{00000000-0005-0000-0000-0000A3190000}"/>
    <cellStyle name="40% - Accent5 11 6" xfId="2604" xr:uid="{00000000-0005-0000-0000-0000A4190000}"/>
    <cellStyle name="40% - Accent5 11 6 2" xfId="5099" xr:uid="{00000000-0005-0000-0000-0000A5190000}"/>
    <cellStyle name="40% - Accent5 11 6 3" xfId="7216" xr:uid="{00000000-0005-0000-0000-0000A6190000}"/>
    <cellStyle name="40% - Accent5 11 6 4" xfId="9264" xr:uid="{00000000-0005-0000-0000-0000A7190000}"/>
    <cellStyle name="40% - Accent5 11 7" xfId="5094" xr:uid="{00000000-0005-0000-0000-0000A8190000}"/>
    <cellStyle name="40% - Accent5 11 8" xfId="7211" xr:uid="{00000000-0005-0000-0000-0000A9190000}"/>
    <cellStyle name="40% - Accent5 11 9" xfId="9259" xr:uid="{00000000-0005-0000-0000-0000AA190000}"/>
    <cellStyle name="40% - Accent5 12" xfId="2605" xr:uid="{00000000-0005-0000-0000-0000AB190000}"/>
    <cellStyle name="40% - Accent5 12 2" xfId="2606" xr:uid="{00000000-0005-0000-0000-0000AC190000}"/>
    <cellStyle name="40% - Accent5 12 2 2" xfId="5101" xr:uid="{00000000-0005-0000-0000-0000AD190000}"/>
    <cellStyle name="40% - Accent5 12 2 3" xfId="7218" xr:uid="{00000000-0005-0000-0000-0000AE190000}"/>
    <cellStyle name="40% - Accent5 12 2 4" xfId="9266" xr:uid="{00000000-0005-0000-0000-0000AF190000}"/>
    <cellStyle name="40% - Accent5 12 3" xfId="2607" xr:uid="{00000000-0005-0000-0000-0000B0190000}"/>
    <cellStyle name="40% - Accent5 12 3 2" xfId="5102" xr:uid="{00000000-0005-0000-0000-0000B1190000}"/>
    <cellStyle name="40% - Accent5 12 3 3" xfId="7219" xr:uid="{00000000-0005-0000-0000-0000B2190000}"/>
    <cellStyle name="40% - Accent5 12 3 4" xfId="9267" xr:uid="{00000000-0005-0000-0000-0000B3190000}"/>
    <cellStyle name="40% - Accent5 12 4" xfId="2608" xr:uid="{00000000-0005-0000-0000-0000B4190000}"/>
    <cellStyle name="40% - Accent5 12 4 2" xfId="5103" xr:uid="{00000000-0005-0000-0000-0000B5190000}"/>
    <cellStyle name="40% - Accent5 12 4 3" xfId="7220" xr:uid="{00000000-0005-0000-0000-0000B6190000}"/>
    <cellStyle name="40% - Accent5 12 4 4" xfId="9268" xr:uid="{00000000-0005-0000-0000-0000B7190000}"/>
    <cellStyle name="40% - Accent5 12 5" xfId="2609" xr:uid="{00000000-0005-0000-0000-0000B8190000}"/>
    <cellStyle name="40% - Accent5 12 5 2" xfId="5104" xr:uid="{00000000-0005-0000-0000-0000B9190000}"/>
    <cellStyle name="40% - Accent5 12 5 3" xfId="7221" xr:uid="{00000000-0005-0000-0000-0000BA190000}"/>
    <cellStyle name="40% - Accent5 12 5 4" xfId="9269" xr:uid="{00000000-0005-0000-0000-0000BB190000}"/>
    <cellStyle name="40% - Accent5 12 6" xfId="5100" xr:uid="{00000000-0005-0000-0000-0000BC190000}"/>
    <cellStyle name="40% - Accent5 12 7" xfId="7217" xr:uid="{00000000-0005-0000-0000-0000BD190000}"/>
    <cellStyle name="40% - Accent5 12 8" xfId="9265" xr:uid="{00000000-0005-0000-0000-0000BE190000}"/>
    <cellStyle name="40% - Accent5 13" xfId="2610" xr:uid="{00000000-0005-0000-0000-0000BF190000}"/>
    <cellStyle name="40% - Accent5 13 2" xfId="2611" xr:uid="{00000000-0005-0000-0000-0000C0190000}"/>
    <cellStyle name="40% - Accent5 13 2 2" xfId="5106" xr:uid="{00000000-0005-0000-0000-0000C1190000}"/>
    <cellStyle name="40% - Accent5 13 2 3" xfId="7223" xr:uid="{00000000-0005-0000-0000-0000C2190000}"/>
    <cellStyle name="40% - Accent5 13 2 4" xfId="9271" xr:uid="{00000000-0005-0000-0000-0000C3190000}"/>
    <cellStyle name="40% - Accent5 13 3" xfId="2612" xr:uid="{00000000-0005-0000-0000-0000C4190000}"/>
    <cellStyle name="40% - Accent5 13 3 2" xfId="5107" xr:uid="{00000000-0005-0000-0000-0000C5190000}"/>
    <cellStyle name="40% - Accent5 13 3 3" xfId="7224" xr:uid="{00000000-0005-0000-0000-0000C6190000}"/>
    <cellStyle name="40% - Accent5 13 3 4" xfId="9272" xr:uid="{00000000-0005-0000-0000-0000C7190000}"/>
    <cellStyle name="40% - Accent5 13 4" xfId="2613" xr:uid="{00000000-0005-0000-0000-0000C8190000}"/>
    <cellStyle name="40% - Accent5 13 4 2" xfId="5108" xr:uid="{00000000-0005-0000-0000-0000C9190000}"/>
    <cellStyle name="40% - Accent5 13 4 3" xfId="7225" xr:uid="{00000000-0005-0000-0000-0000CA190000}"/>
    <cellStyle name="40% - Accent5 13 4 4" xfId="9273" xr:uid="{00000000-0005-0000-0000-0000CB190000}"/>
    <cellStyle name="40% - Accent5 13 5" xfId="2614" xr:uid="{00000000-0005-0000-0000-0000CC190000}"/>
    <cellStyle name="40% - Accent5 13 5 2" xfId="5109" xr:uid="{00000000-0005-0000-0000-0000CD190000}"/>
    <cellStyle name="40% - Accent5 13 5 3" xfId="7226" xr:uid="{00000000-0005-0000-0000-0000CE190000}"/>
    <cellStyle name="40% - Accent5 13 5 4" xfId="9274" xr:uid="{00000000-0005-0000-0000-0000CF190000}"/>
    <cellStyle name="40% - Accent5 13 6" xfId="5105" xr:uid="{00000000-0005-0000-0000-0000D0190000}"/>
    <cellStyle name="40% - Accent5 13 7" xfId="7222" xr:uid="{00000000-0005-0000-0000-0000D1190000}"/>
    <cellStyle name="40% - Accent5 13 8" xfId="9270" xr:uid="{00000000-0005-0000-0000-0000D2190000}"/>
    <cellStyle name="40% - Accent5 14" xfId="2615" xr:uid="{00000000-0005-0000-0000-0000D3190000}"/>
    <cellStyle name="40% - Accent5 14 2" xfId="2616" xr:uid="{00000000-0005-0000-0000-0000D4190000}"/>
    <cellStyle name="40% - Accent5 14 2 2" xfId="5111" xr:uid="{00000000-0005-0000-0000-0000D5190000}"/>
    <cellStyle name="40% - Accent5 14 2 3" xfId="7228" xr:uid="{00000000-0005-0000-0000-0000D6190000}"/>
    <cellStyle name="40% - Accent5 14 2 4" xfId="9276" xr:uid="{00000000-0005-0000-0000-0000D7190000}"/>
    <cellStyle name="40% - Accent5 14 3" xfId="2617" xr:uid="{00000000-0005-0000-0000-0000D8190000}"/>
    <cellStyle name="40% - Accent5 14 3 2" xfId="5112" xr:uid="{00000000-0005-0000-0000-0000D9190000}"/>
    <cellStyle name="40% - Accent5 14 3 3" xfId="7229" xr:uid="{00000000-0005-0000-0000-0000DA190000}"/>
    <cellStyle name="40% - Accent5 14 3 4" xfId="9277" xr:uid="{00000000-0005-0000-0000-0000DB190000}"/>
    <cellStyle name="40% - Accent5 14 4" xfId="2618" xr:uid="{00000000-0005-0000-0000-0000DC190000}"/>
    <cellStyle name="40% - Accent5 14 4 2" xfId="5113" xr:uid="{00000000-0005-0000-0000-0000DD190000}"/>
    <cellStyle name="40% - Accent5 14 4 3" xfId="7230" xr:uid="{00000000-0005-0000-0000-0000DE190000}"/>
    <cellStyle name="40% - Accent5 14 4 4" xfId="9278" xr:uid="{00000000-0005-0000-0000-0000DF190000}"/>
    <cellStyle name="40% - Accent5 14 5" xfId="5110" xr:uid="{00000000-0005-0000-0000-0000E0190000}"/>
    <cellStyle name="40% - Accent5 14 6" xfId="7227" xr:uid="{00000000-0005-0000-0000-0000E1190000}"/>
    <cellStyle name="40% - Accent5 14 7" xfId="9275" xr:uid="{00000000-0005-0000-0000-0000E2190000}"/>
    <cellStyle name="40% - Accent5 15" xfId="2619" xr:uid="{00000000-0005-0000-0000-0000E3190000}"/>
    <cellStyle name="40% - Accent5 15 2" xfId="2620" xr:uid="{00000000-0005-0000-0000-0000E4190000}"/>
    <cellStyle name="40% - Accent5 15 2 2" xfId="5115" xr:uid="{00000000-0005-0000-0000-0000E5190000}"/>
    <cellStyle name="40% - Accent5 15 2 3" xfId="7232" xr:uid="{00000000-0005-0000-0000-0000E6190000}"/>
    <cellStyle name="40% - Accent5 15 2 4" xfId="9280" xr:uid="{00000000-0005-0000-0000-0000E7190000}"/>
    <cellStyle name="40% - Accent5 15 3" xfId="2621" xr:uid="{00000000-0005-0000-0000-0000E8190000}"/>
    <cellStyle name="40% - Accent5 15 3 2" xfId="5116" xr:uid="{00000000-0005-0000-0000-0000E9190000}"/>
    <cellStyle name="40% - Accent5 15 3 3" xfId="7233" xr:uid="{00000000-0005-0000-0000-0000EA190000}"/>
    <cellStyle name="40% - Accent5 15 3 4" xfId="9281" xr:uid="{00000000-0005-0000-0000-0000EB190000}"/>
    <cellStyle name="40% - Accent5 15 4" xfId="2622" xr:uid="{00000000-0005-0000-0000-0000EC190000}"/>
    <cellStyle name="40% - Accent5 15 4 2" xfId="5117" xr:uid="{00000000-0005-0000-0000-0000ED190000}"/>
    <cellStyle name="40% - Accent5 15 4 3" xfId="7234" xr:uid="{00000000-0005-0000-0000-0000EE190000}"/>
    <cellStyle name="40% - Accent5 15 4 4" xfId="9282" xr:uid="{00000000-0005-0000-0000-0000EF190000}"/>
    <cellStyle name="40% - Accent5 15 5" xfId="5114" xr:uid="{00000000-0005-0000-0000-0000F0190000}"/>
    <cellStyle name="40% - Accent5 15 6" xfId="7231" xr:uid="{00000000-0005-0000-0000-0000F1190000}"/>
    <cellStyle name="40% - Accent5 15 7" xfId="9279" xr:uid="{00000000-0005-0000-0000-0000F2190000}"/>
    <cellStyle name="40% - Accent5 16" xfId="2623" xr:uid="{00000000-0005-0000-0000-0000F3190000}"/>
    <cellStyle name="40% - Accent5 16 2" xfId="2624" xr:uid="{00000000-0005-0000-0000-0000F4190000}"/>
    <cellStyle name="40% - Accent5 16 2 2" xfId="5119" xr:uid="{00000000-0005-0000-0000-0000F5190000}"/>
    <cellStyle name="40% - Accent5 16 2 3" xfId="7236" xr:uid="{00000000-0005-0000-0000-0000F6190000}"/>
    <cellStyle name="40% - Accent5 16 2 4" xfId="9284" xr:uid="{00000000-0005-0000-0000-0000F7190000}"/>
    <cellStyle name="40% - Accent5 16 3" xfId="2625" xr:uid="{00000000-0005-0000-0000-0000F8190000}"/>
    <cellStyle name="40% - Accent5 16 3 2" xfId="5120" xr:uid="{00000000-0005-0000-0000-0000F9190000}"/>
    <cellStyle name="40% - Accent5 16 3 3" xfId="7237" xr:uid="{00000000-0005-0000-0000-0000FA190000}"/>
    <cellStyle name="40% - Accent5 16 3 4" xfId="9285" xr:uid="{00000000-0005-0000-0000-0000FB190000}"/>
    <cellStyle name="40% - Accent5 16 4" xfId="5118" xr:uid="{00000000-0005-0000-0000-0000FC190000}"/>
    <cellStyle name="40% - Accent5 16 5" xfId="7235" xr:uid="{00000000-0005-0000-0000-0000FD190000}"/>
    <cellStyle name="40% - Accent5 16 6" xfId="9283" xr:uid="{00000000-0005-0000-0000-0000FE190000}"/>
    <cellStyle name="40% - Accent5 17" xfId="2626" xr:uid="{00000000-0005-0000-0000-0000FF190000}"/>
    <cellStyle name="40% - Accent5 17 2" xfId="2627" xr:uid="{00000000-0005-0000-0000-0000001A0000}"/>
    <cellStyle name="40% - Accent5 17 2 2" xfId="5122" xr:uid="{00000000-0005-0000-0000-0000011A0000}"/>
    <cellStyle name="40% - Accent5 17 2 3" xfId="7239" xr:uid="{00000000-0005-0000-0000-0000021A0000}"/>
    <cellStyle name="40% - Accent5 17 2 4" xfId="9287" xr:uid="{00000000-0005-0000-0000-0000031A0000}"/>
    <cellStyle name="40% - Accent5 17 3" xfId="2628" xr:uid="{00000000-0005-0000-0000-0000041A0000}"/>
    <cellStyle name="40% - Accent5 17 3 2" xfId="5123" xr:uid="{00000000-0005-0000-0000-0000051A0000}"/>
    <cellStyle name="40% - Accent5 17 3 3" xfId="7240" xr:uid="{00000000-0005-0000-0000-0000061A0000}"/>
    <cellStyle name="40% - Accent5 17 3 4" xfId="9288" xr:uid="{00000000-0005-0000-0000-0000071A0000}"/>
    <cellStyle name="40% - Accent5 17 4" xfId="5121" xr:uid="{00000000-0005-0000-0000-0000081A0000}"/>
    <cellStyle name="40% - Accent5 17 5" xfId="7238" xr:uid="{00000000-0005-0000-0000-0000091A0000}"/>
    <cellStyle name="40% - Accent5 17 6" xfId="9286" xr:uid="{00000000-0005-0000-0000-00000A1A0000}"/>
    <cellStyle name="40% - Accent5 18" xfId="2629" xr:uid="{00000000-0005-0000-0000-00000B1A0000}"/>
    <cellStyle name="40% - Accent5 18 2" xfId="2630" xr:uid="{00000000-0005-0000-0000-00000C1A0000}"/>
    <cellStyle name="40% - Accent5 18 2 2" xfId="5125" xr:uid="{00000000-0005-0000-0000-00000D1A0000}"/>
    <cellStyle name="40% - Accent5 18 2 3" xfId="7242" xr:uid="{00000000-0005-0000-0000-00000E1A0000}"/>
    <cellStyle name="40% - Accent5 18 2 4" xfId="9290" xr:uid="{00000000-0005-0000-0000-00000F1A0000}"/>
    <cellStyle name="40% - Accent5 18 3" xfId="2631" xr:uid="{00000000-0005-0000-0000-0000101A0000}"/>
    <cellStyle name="40% - Accent5 18 3 2" xfId="5126" xr:uid="{00000000-0005-0000-0000-0000111A0000}"/>
    <cellStyle name="40% - Accent5 18 3 3" xfId="7243" xr:uid="{00000000-0005-0000-0000-0000121A0000}"/>
    <cellStyle name="40% - Accent5 18 3 4" xfId="9291" xr:uid="{00000000-0005-0000-0000-0000131A0000}"/>
    <cellStyle name="40% - Accent5 18 4" xfId="5124" xr:uid="{00000000-0005-0000-0000-0000141A0000}"/>
    <cellStyle name="40% - Accent5 18 5" xfId="7241" xr:uid="{00000000-0005-0000-0000-0000151A0000}"/>
    <cellStyle name="40% - Accent5 18 6" xfId="9289" xr:uid="{00000000-0005-0000-0000-0000161A0000}"/>
    <cellStyle name="40% - Accent5 19" xfId="2632" xr:uid="{00000000-0005-0000-0000-0000171A0000}"/>
    <cellStyle name="40% - Accent5 19 2" xfId="2633" xr:uid="{00000000-0005-0000-0000-0000181A0000}"/>
    <cellStyle name="40% - Accent5 19 2 2" xfId="5128" xr:uid="{00000000-0005-0000-0000-0000191A0000}"/>
    <cellStyle name="40% - Accent5 19 2 3" xfId="7245" xr:uid="{00000000-0005-0000-0000-00001A1A0000}"/>
    <cellStyle name="40% - Accent5 19 2 4" xfId="9293" xr:uid="{00000000-0005-0000-0000-00001B1A0000}"/>
    <cellStyle name="40% - Accent5 19 3" xfId="2634" xr:uid="{00000000-0005-0000-0000-00001C1A0000}"/>
    <cellStyle name="40% - Accent5 19 3 2" xfId="5129" xr:uid="{00000000-0005-0000-0000-00001D1A0000}"/>
    <cellStyle name="40% - Accent5 19 3 3" xfId="7246" xr:uid="{00000000-0005-0000-0000-00001E1A0000}"/>
    <cellStyle name="40% - Accent5 19 3 4" xfId="9294" xr:uid="{00000000-0005-0000-0000-00001F1A0000}"/>
    <cellStyle name="40% - Accent5 19 4" xfId="5127" xr:uid="{00000000-0005-0000-0000-0000201A0000}"/>
    <cellStyle name="40% - Accent5 19 5" xfId="7244" xr:uid="{00000000-0005-0000-0000-0000211A0000}"/>
    <cellStyle name="40% - Accent5 19 6" xfId="9292" xr:uid="{00000000-0005-0000-0000-0000221A0000}"/>
    <cellStyle name="40% - Accent5 2" xfId="2635" xr:uid="{00000000-0005-0000-0000-0000231A0000}"/>
    <cellStyle name="40% - Accent5 2 2" xfId="2636" xr:uid="{00000000-0005-0000-0000-0000241A0000}"/>
    <cellStyle name="40% - Accent5 2 2 2" xfId="2637" xr:uid="{00000000-0005-0000-0000-0000251A0000}"/>
    <cellStyle name="40% - Accent5 2 2 2 2" xfId="5130" xr:uid="{00000000-0005-0000-0000-0000261A0000}"/>
    <cellStyle name="40% - Accent5 2 2 2 3" xfId="7247" xr:uid="{00000000-0005-0000-0000-0000271A0000}"/>
    <cellStyle name="40% - Accent5 2 2 2 4" xfId="9295" xr:uid="{00000000-0005-0000-0000-0000281A0000}"/>
    <cellStyle name="40% - Accent5 2 3" xfId="2638" xr:uid="{00000000-0005-0000-0000-0000291A0000}"/>
    <cellStyle name="40% - Accent5 2 3 2" xfId="5131" xr:uid="{00000000-0005-0000-0000-00002A1A0000}"/>
    <cellStyle name="40% - Accent5 2 3 3" xfId="7248" xr:uid="{00000000-0005-0000-0000-00002B1A0000}"/>
    <cellStyle name="40% - Accent5 2 3 4" xfId="9296" xr:uid="{00000000-0005-0000-0000-00002C1A0000}"/>
    <cellStyle name="40% - Accent5 2 4" xfId="2639" xr:uid="{00000000-0005-0000-0000-00002D1A0000}"/>
    <cellStyle name="40% - Accent5 2 4 2" xfId="5132" xr:uid="{00000000-0005-0000-0000-00002E1A0000}"/>
    <cellStyle name="40% - Accent5 2 4 3" xfId="7249" xr:uid="{00000000-0005-0000-0000-00002F1A0000}"/>
    <cellStyle name="40% - Accent5 2 4 4" xfId="9297" xr:uid="{00000000-0005-0000-0000-0000301A0000}"/>
    <cellStyle name="40% - Accent5 2 5" xfId="2640" xr:uid="{00000000-0005-0000-0000-0000311A0000}"/>
    <cellStyle name="40% - Accent5 2 5 2" xfId="5133" xr:uid="{00000000-0005-0000-0000-0000321A0000}"/>
    <cellStyle name="40% - Accent5 2 5 3" xfId="7250" xr:uid="{00000000-0005-0000-0000-0000331A0000}"/>
    <cellStyle name="40% - Accent5 2 5 4" xfId="9298" xr:uid="{00000000-0005-0000-0000-0000341A0000}"/>
    <cellStyle name="40% - Accent5 2 6" xfId="2641" xr:uid="{00000000-0005-0000-0000-0000351A0000}"/>
    <cellStyle name="40% - Accent5 2 6 2" xfId="5134" xr:uid="{00000000-0005-0000-0000-0000361A0000}"/>
    <cellStyle name="40% - Accent5 2 6 3" xfId="7251" xr:uid="{00000000-0005-0000-0000-0000371A0000}"/>
    <cellStyle name="40% - Accent5 2 6 4" xfId="9299" xr:uid="{00000000-0005-0000-0000-0000381A0000}"/>
    <cellStyle name="40% - Accent5 2 7" xfId="2642" xr:uid="{00000000-0005-0000-0000-0000391A0000}"/>
    <cellStyle name="40% - Accent5 2 7 2" xfId="5135" xr:uid="{00000000-0005-0000-0000-00003A1A0000}"/>
    <cellStyle name="40% - Accent5 2 7 3" xfId="7252" xr:uid="{00000000-0005-0000-0000-00003B1A0000}"/>
    <cellStyle name="40% - Accent5 2 7 4" xfId="9300" xr:uid="{00000000-0005-0000-0000-00003C1A0000}"/>
    <cellStyle name="40% - Accent5 2 8" xfId="2643" xr:uid="{00000000-0005-0000-0000-00003D1A0000}"/>
    <cellStyle name="40% - Accent5 2 8 2" xfId="5136" xr:uid="{00000000-0005-0000-0000-00003E1A0000}"/>
    <cellStyle name="40% - Accent5 2 8 3" xfId="7253" xr:uid="{00000000-0005-0000-0000-00003F1A0000}"/>
    <cellStyle name="40% - Accent5 2 8 4" xfId="9301" xr:uid="{00000000-0005-0000-0000-0000401A0000}"/>
    <cellStyle name="40% - Accent5 2 9" xfId="2644" xr:uid="{00000000-0005-0000-0000-0000411A0000}"/>
    <cellStyle name="40% - Accent5 20" xfId="2645" xr:uid="{00000000-0005-0000-0000-0000421A0000}"/>
    <cellStyle name="40% - Accent5 20 2" xfId="2646" xr:uid="{00000000-0005-0000-0000-0000431A0000}"/>
    <cellStyle name="40% - Accent5 20 2 2" xfId="5138" xr:uid="{00000000-0005-0000-0000-0000441A0000}"/>
    <cellStyle name="40% - Accent5 20 2 3" xfId="7255" xr:uid="{00000000-0005-0000-0000-0000451A0000}"/>
    <cellStyle name="40% - Accent5 20 2 4" xfId="9303" xr:uid="{00000000-0005-0000-0000-0000461A0000}"/>
    <cellStyle name="40% - Accent5 20 3" xfId="2647" xr:uid="{00000000-0005-0000-0000-0000471A0000}"/>
    <cellStyle name="40% - Accent5 20 3 2" xfId="5139" xr:uid="{00000000-0005-0000-0000-0000481A0000}"/>
    <cellStyle name="40% - Accent5 20 3 3" xfId="7256" xr:uid="{00000000-0005-0000-0000-0000491A0000}"/>
    <cellStyle name="40% - Accent5 20 3 4" xfId="9304" xr:uid="{00000000-0005-0000-0000-00004A1A0000}"/>
    <cellStyle name="40% - Accent5 20 4" xfId="5137" xr:uid="{00000000-0005-0000-0000-00004B1A0000}"/>
    <cellStyle name="40% - Accent5 20 5" xfId="7254" xr:uid="{00000000-0005-0000-0000-00004C1A0000}"/>
    <cellStyle name="40% - Accent5 20 6" xfId="9302" xr:uid="{00000000-0005-0000-0000-00004D1A0000}"/>
    <cellStyle name="40% - Accent5 21" xfId="2648" xr:uid="{00000000-0005-0000-0000-00004E1A0000}"/>
    <cellStyle name="40% - Accent5 21 2" xfId="2649" xr:uid="{00000000-0005-0000-0000-00004F1A0000}"/>
    <cellStyle name="40% - Accent5 21 2 2" xfId="5141" xr:uid="{00000000-0005-0000-0000-0000501A0000}"/>
    <cellStyle name="40% - Accent5 21 2 3" xfId="7258" xr:uid="{00000000-0005-0000-0000-0000511A0000}"/>
    <cellStyle name="40% - Accent5 21 2 4" xfId="9306" xr:uid="{00000000-0005-0000-0000-0000521A0000}"/>
    <cellStyle name="40% - Accent5 21 3" xfId="2650" xr:uid="{00000000-0005-0000-0000-0000531A0000}"/>
    <cellStyle name="40% - Accent5 21 3 2" xfId="5142" xr:uid="{00000000-0005-0000-0000-0000541A0000}"/>
    <cellStyle name="40% - Accent5 21 3 3" xfId="7259" xr:uid="{00000000-0005-0000-0000-0000551A0000}"/>
    <cellStyle name="40% - Accent5 21 3 4" xfId="9307" xr:uid="{00000000-0005-0000-0000-0000561A0000}"/>
    <cellStyle name="40% - Accent5 21 4" xfId="5140" xr:uid="{00000000-0005-0000-0000-0000571A0000}"/>
    <cellStyle name="40% - Accent5 21 5" xfId="7257" xr:uid="{00000000-0005-0000-0000-0000581A0000}"/>
    <cellStyle name="40% - Accent5 21 6" xfId="9305" xr:uid="{00000000-0005-0000-0000-0000591A0000}"/>
    <cellStyle name="40% - Accent5 22" xfId="2651" xr:uid="{00000000-0005-0000-0000-00005A1A0000}"/>
    <cellStyle name="40% - Accent5 22 2" xfId="2652" xr:uid="{00000000-0005-0000-0000-00005B1A0000}"/>
    <cellStyle name="40% - Accent5 22 2 2" xfId="5144" xr:uid="{00000000-0005-0000-0000-00005C1A0000}"/>
    <cellStyle name="40% - Accent5 22 2 3" xfId="7261" xr:uid="{00000000-0005-0000-0000-00005D1A0000}"/>
    <cellStyle name="40% - Accent5 22 2 4" xfId="9309" xr:uid="{00000000-0005-0000-0000-00005E1A0000}"/>
    <cellStyle name="40% - Accent5 22 3" xfId="2653" xr:uid="{00000000-0005-0000-0000-00005F1A0000}"/>
    <cellStyle name="40% - Accent5 22 3 2" xfId="5145" xr:uid="{00000000-0005-0000-0000-0000601A0000}"/>
    <cellStyle name="40% - Accent5 22 3 3" xfId="7262" xr:uid="{00000000-0005-0000-0000-0000611A0000}"/>
    <cellStyle name="40% - Accent5 22 3 4" xfId="9310" xr:uid="{00000000-0005-0000-0000-0000621A0000}"/>
    <cellStyle name="40% - Accent5 22 4" xfId="5143" xr:uid="{00000000-0005-0000-0000-0000631A0000}"/>
    <cellStyle name="40% - Accent5 22 5" xfId="7260" xr:uid="{00000000-0005-0000-0000-0000641A0000}"/>
    <cellStyle name="40% - Accent5 22 6" xfId="9308" xr:uid="{00000000-0005-0000-0000-0000651A0000}"/>
    <cellStyle name="40% - Accent5 23" xfId="2654" xr:uid="{00000000-0005-0000-0000-0000661A0000}"/>
    <cellStyle name="40% - Accent5 23 2" xfId="2655" xr:uid="{00000000-0005-0000-0000-0000671A0000}"/>
    <cellStyle name="40% - Accent5 23 2 2" xfId="5147" xr:uid="{00000000-0005-0000-0000-0000681A0000}"/>
    <cellStyle name="40% - Accent5 23 2 3" xfId="7264" xr:uid="{00000000-0005-0000-0000-0000691A0000}"/>
    <cellStyle name="40% - Accent5 23 2 4" xfId="9312" xr:uid="{00000000-0005-0000-0000-00006A1A0000}"/>
    <cellStyle name="40% - Accent5 23 3" xfId="5146" xr:uid="{00000000-0005-0000-0000-00006B1A0000}"/>
    <cellStyle name="40% - Accent5 23 4" xfId="7263" xr:uid="{00000000-0005-0000-0000-00006C1A0000}"/>
    <cellStyle name="40% - Accent5 23 5" xfId="9311" xr:uid="{00000000-0005-0000-0000-00006D1A0000}"/>
    <cellStyle name="40% - Accent5 24" xfId="2656" xr:uid="{00000000-0005-0000-0000-00006E1A0000}"/>
    <cellStyle name="40% - Accent5 24 2" xfId="2657" xr:uid="{00000000-0005-0000-0000-00006F1A0000}"/>
    <cellStyle name="40% - Accent5 24 2 2" xfId="5149" xr:uid="{00000000-0005-0000-0000-0000701A0000}"/>
    <cellStyle name="40% - Accent5 24 2 3" xfId="7266" xr:uid="{00000000-0005-0000-0000-0000711A0000}"/>
    <cellStyle name="40% - Accent5 24 2 4" xfId="9314" xr:uid="{00000000-0005-0000-0000-0000721A0000}"/>
    <cellStyle name="40% - Accent5 24 3" xfId="5148" xr:uid="{00000000-0005-0000-0000-0000731A0000}"/>
    <cellStyle name="40% - Accent5 24 4" xfId="7265" xr:uid="{00000000-0005-0000-0000-0000741A0000}"/>
    <cellStyle name="40% - Accent5 24 5" xfId="9313" xr:uid="{00000000-0005-0000-0000-0000751A0000}"/>
    <cellStyle name="40% - Accent5 25" xfId="2658" xr:uid="{00000000-0005-0000-0000-0000761A0000}"/>
    <cellStyle name="40% - Accent5 25 2" xfId="2659" xr:uid="{00000000-0005-0000-0000-0000771A0000}"/>
    <cellStyle name="40% - Accent5 25 2 2" xfId="5151" xr:uid="{00000000-0005-0000-0000-0000781A0000}"/>
    <cellStyle name="40% - Accent5 25 2 3" xfId="7268" xr:uid="{00000000-0005-0000-0000-0000791A0000}"/>
    <cellStyle name="40% - Accent5 25 2 4" xfId="9316" xr:uid="{00000000-0005-0000-0000-00007A1A0000}"/>
    <cellStyle name="40% - Accent5 25 3" xfId="5150" xr:uid="{00000000-0005-0000-0000-00007B1A0000}"/>
    <cellStyle name="40% - Accent5 25 4" xfId="7267" xr:uid="{00000000-0005-0000-0000-00007C1A0000}"/>
    <cellStyle name="40% - Accent5 25 5" xfId="9315" xr:uid="{00000000-0005-0000-0000-00007D1A0000}"/>
    <cellStyle name="40% - Accent5 26" xfId="2660" xr:uid="{00000000-0005-0000-0000-00007E1A0000}"/>
    <cellStyle name="40% - Accent5 26 2" xfId="2661" xr:uid="{00000000-0005-0000-0000-00007F1A0000}"/>
    <cellStyle name="40% - Accent5 26 2 2" xfId="5153" xr:uid="{00000000-0005-0000-0000-0000801A0000}"/>
    <cellStyle name="40% - Accent5 26 2 3" xfId="7270" xr:uid="{00000000-0005-0000-0000-0000811A0000}"/>
    <cellStyle name="40% - Accent5 26 2 4" xfId="9318" xr:uid="{00000000-0005-0000-0000-0000821A0000}"/>
    <cellStyle name="40% - Accent5 26 3" xfId="5152" xr:uid="{00000000-0005-0000-0000-0000831A0000}"/>
    <cellStyle name="40% - Accent5 26 4" xfId="7269" xr:uid="{00000000-0005-0000-0000-0000841A0000}"/>
    <cellStyle name="40% - Accent5 26 5" xfId="9317" xr:uid="{00000000-0005-0000-0000-0000851A0000}"/>
    <cellStyle name="40% - Accent5 27" xfId="2662" xr:uid="{00000000-0005-0000-0000-0000861A0000}"/>
    <cellStyle name="40% - Accent5 27 2" xfId="2663" xr:uid="{00000000-0005-0000-0000-0000871A0000}"/>
    <cellStyle name="40% - Accent5 27 2 2" xfId="5155" xr:uid="{00000000-0005-0000-0000-0000881A0000}"/>
    <cellStyle name="40% - Accent5 27 2 3" xfId="7272" xr:uid="{00000000-0005-0000-0000-0000891A0000}"/>
    <cellStyle name="40% - Accent5 27 2 4" xfId="9320" xr:uid="{00000000-0005-0000-0000-00008A1A0000}"/>
    <cellStyle name="40% - Accent5 27 3" xfId="5154" xr:uid="{00000000-0005-0000-0000-00008B1A0000}"/>
    <cellStyle name="40% - Accent5 27 4" xfId="7271" xr:uid="{00000000-0005-0000-0000-00008C1A0000}"/>
    <cellStyle name="40% - Accent5 27 5" xfId="9319" xr:uid="{00000000-0005-0000-0000-00008D1A0000}"/>
    <cellStyle name="40% - Accent5 28" xfId="2664" xr:uid="{00000000-0005-0000-0000-00008E1A0000}"/>
    <cellStyle name="40% - Accent5 28 2" xfId="2665" xr:uid="{00000000-0005-0000-0000-00008F1A0000}"/>
    <cellStyle name="40% - Accent5 28 2 2" xfId="5157" xr:uid="{00000000-0005-0000-0000-0000901A0000}"/>
    <cellStyle name="40% - Accent5 28 2 3" xfId="7274" xr:uid="{00000000-0005-0000-0000-0000911A0000}"/>
    <cellStyle name="40% - Accent5 28 2 4" xfId="9322" xr:uid="{00000000-0005-0000-0000-0000921A0000}"/>
    <cellStyle name="40% - Accent5 28 3" xfId="5156" xr:uid="{00000000-0005-0000-0000-0000931A0000}"/>
    <cellStyle name="40% - Accent5 28 4" xfId="7273" xr:uid="{00000000-0005-0000-0000-0000941A0000}"/>
    <cellStyle name="40% - Accent5 28 5" xfId="9321" xr:uid="{00000000-0005-0000-0000-0000951A0000}"/>
    <cellStyle name="40% - Accent5 29" xfId="2666" xr:uid="{00000000-0005-0000-0000-0000961A0000}"/>
    <cellStyle name="40% - Accent5 29 2" xfId="2667" xr:uid="{00000000-0005-0000-0000-0000971A0000}"/>
    <cellStyle name="40% - Accent5 29 2 2" xfId="5159" xr:uid="{00000000-0005-0000-0000-0000981A0000}"/>
    <cellStyle name="40% - Accent5 29 2 3" xfId="7276" xr:uid="{00000000-0005-0000-0000-0000991A0000}"/>
    <cellStyle name="40% - Accent5 29 2 4" xfId="9324" xr:uid="{00000000-0005-0000-0000-00009A1A0000}"/>
    <cellStyle name="40% - Accent5 29 3" xfId="5158" xr:uid="{00000000-0005-0000-0000-00009B1A0000}"/>
    <cellStyle name="40% - Accent5 29 4" xfId="7275" xr:uid="{00000000-0005-0000-0000-00009C1A0000}"/>
    <cellStyle name="40% - Accent5 29 5" xfId="9323" xr:uid="{00000000-0005-0000-0000-00009D1A0000}"/>
    <cellStyle name="40% - Accent5 3" xfId="2668" xr:uid="{00000000-0005-0000-0000-00009E1A0000}"/>
    <cellStyle name="40% - Accent5 3 2" xfId="2669" xr:uid="{00000000-0005-0000-0000-00009F1A0000}"/>
    <cellStyle name="40% - Accent5 3 2 2" xfId="5160" xr:uid="{00000000-0005-0000-0000-0000A01A0000}"/>
    <cellStyle name="40% - Accent5 3 2 3" xfId="7277" xr:uid="{00000000-0005-0000-0000-0000A11A0000}"/>
    <cellStyle name="40% - Accent5 3 2 4" xfId="9325" xr:uid="{00000000-0005-0000-0000-0000A21A0000}"/>
    <cellStyle name="40% - Accent5 3 3" xfId="2670" xr:uid="{00000000-0005-0000-0000-0000A31A0000}"/>
    <cellStyle name="40% - Accent5 3 3 2" xfId="5161" xr:uid="{00000000-0005-0000-0000-0000A41A0000}"/>
    <cellStyle name="40% - Accent5 3 3 3" xfId="7278" xr:uid="{00000000-0005-0000-0000-0000A51A0000}"/>
    <cellStyle name="40% - Accent5 3 3 4" xfId="9326" xr:uid="{00000000-0005-0000-0000-0000A61A0000}"/>
    <cellStyle name="40% - Accent5 3 4" xfId="2671" xr:uid="{00000000-0005-0000-0000-0000A71A0000}"/>
    <cellStyle name="40% - Accent5 3 4 2" xfId="5162" xr:uid="{00000000-0005-0000-0000-0000A81A0000}"/>
    <cellStyle name="40% - Accent5 3 4 3" xfId="7279" xr:uid="{00000000-0005-0000-0000-0000A91A0000}"/>
    <cellStyle name="40% - Accent5 3 4 4" xfId="9327" xr:uid="{00000000-0005-0000-0000-0000AA1A0000}"/>
    <cellStyle name="40% - Accent5 3 5" xfId="2672" xr:uid="{00000000-0005-0000-0000-0000AB1A0000}"/>
    <cellStyle name="40% - Accent5 3 5 2" xfId="5163" xr:uid="{00000000-0005-0000-0000-0000AC1A0000}"/>
    <cellStyle name="40% - Accent5 3 5 3" xfId="7280" xr:uid="{00000000-0005-0000-0000-0000AD1A0000}"/>
    <cellStyle name="40% - Accent5 3 5 4" xfId="9328" xr:uid="{00000000-0005-0000-0000-0000AE1A0000}"/>
    <cellStyle name="40% - Accent5 3 6" xfId="2673" xr:uid="{00000000-0005-0000-0000-0000AF1A0000}"/>
    <cellStyle name="40% - Accent5 3 6 2" xfId="5164" xr:uid="{00000000-0005-0000-0000-0000B01A0000}"/>
    <cellStyle name="40% - Accent5 3 6 3" xfId="7281" xr:uid="{00000000-0005-0000-0000-0000B11A0000}"/>
    <cellStyle name="40% - Accent5 3 6 4" xfId="9329" xr:uid="{00000000-0005-0000-0000-0000B21A0000}"/>
    <cellStyle name="40% - Accent5 3 7" xfId="2674" xr:uid="{00000000-0005-0000-0000-0000B31A0000}"/>
    <cellStyle name="40% - Accent5 3 7 2" xfId="5165" xr:uid="{00000000-0005-0000-0000-0000B41A0000}"/>
    <cellStyle name="40% - Accent5 3 7 3" xfId="7282" xr:uid="{00000000-0005-0000-0000-0000B51A0000}"/>
    <cellStyle name="40% - Accent5 3 7 4" xfId="9330" xr:uid="{00000000-0005-0000-0000-0000B61A0000}"/>
    <cellStyle name="40% - Accent5 30" xfId="2675" xr:uid="{00000000-0005-0000-0000-0000B71A0000}"/>
    <cellStyle name="40% - Accent5 30 2" xfId="2676" xr:uid="{00000000-0005-0000-0000-0000B81A0000}"/>
    <cellStyle name="40% - Accent5 30 2 2" xfId="5167" xr:uid="{00000000-0005-0000-0000-0000B91A0000}"/>
    <cellStyle name="40% - Accent5 30 2 3" xfId="7284" xr:uid="{00000000-0005-0000-0000-0000BA1A0000}"/>
    <cellStyle name="40% - Accent5 30 2 4" xfId="9332" xr:uid="{00000000-0005-0000-0000-0000BB1A0000}"/>
    <cellStyle name="40% - Accent5 30 3" xfId="5166" xr:uid="{00000000-0005-0000-0000-0000BC1A0000}"/>
    <cellStyle name="40% - Accent5 30 4" xfId="7283" xr:uid="{00000000-0005-0000-0000-0000BD1A0000}"/>
    <cellStyle name="40% - Accent5 30 5" xfId="9331" xr:uid="{00000000-0005-0000-0000-0000BE1A0000}"/>
    <cellStyle name="40% - Accent5 31" xfId="2677" xr:uid="{00000000-0005-0000-0000-0000BF1A0000}"/>
    <cellStyle name="40% - Accent5 31 2" xfId="2678" xr:uid="{00000000-0005-0000-0000-0000C01A0000}"/>
    <cellStyle name="40% - Accent5 31 2 2" xfId="5169" xr:uid="{00000000-0005-0000-0000-0000C11A0000}"/>
    <cellStyle name="40% - Accent5 31 2 3" xfId="7286" xr:uid="{00000000-0005-0000-0000-0000C21A0000}"/>
    <cellStyle name="40% - Accent5 31 2 4" xfId="9334" xr:uid="{00000000-0005-0000-0000-0000C31A0000}"/>
    <cellStyle name="40% - Accent5 31 3" xfId="5168" xr:uid="{00000000-0005-0000-0000-0000C41A0000}"/>
    <cellStyle name="40% - Accent5 31 4" xfId="7285" xr:uid="{00000000-0005-0000-0000-0000C51A0000}"/>
    <cellStyle name="40% - Accent5 31 5" xfId="9333" xr:uid="{00000000-0005-0000-0000-0000C61A0000}"/>
    <cellStyle name="40% - Accent5 32" xfId="2679" xr:uid="{00000000-0005-0000-0000-0000C71A0000}"/>
    <cellStyle name="40% - Accent5 32 2" xfId="2680" xr:uid="{00000000-0005-0000-0000-0000C81A0000}"/>
    <cellStyle name="40% - Accent5 32 2 2" xfId="5171" xr:uid="{00000000-0005-0000-0000-0000C91A0000}"/>
    <cellStyle name="40% - Accent5 32 2 3" xfId="7288" xr:uid="{00000000-0005-0000-0000-0000CA1A0000}"/>
    <cellStyle name="40% - Accent5 32 2 4" xfId="9336" xr:uid="{00000000-0005-0000-0000-0000CB1A0000}"/>
    <cellStyle name="40% - Accent5 32 3" xfId="5170" xr:uid="{00000000-0005-0000-0000-0000CC1A0000}"/>
    <cellStyle name="40% - Accent5 32 4" xfId="7287" xr:uid="{00000000-0005-0000-0000-0000CD1A0000}"/>
    <cellStyle name="40% - Accent5 32 5" xfId="9335" xr:uid="{00000000-0005-0000-0000-0000CE1A0000}"/>
    <cellStyle name="40% - Accent5 33" xfId="2681" xr:uid="{00000000-0005-0000-0000-0000CF1A0000}"/>
    <cellStyle name="40% - Accent5 33 2" xfId="5172" xr:uid="{00000000-0005-0000-0000-0000D01A0000}"/>
    <cellStyle name="40% - Accent5 33 3" xfId="7289" xr:uid="{00000000-0005-0000-0000-0000D11A0000}"/>
    <cellStyle name="40% - Accent5 33 4" xfId="9337" xr:uid="{00000000-0005-0000-0000-0000D21A0000}"/>
    <cellStyle name="40% - Accent5 34" xfId="2682" xr:uid="{00000000-0005-0000-0000-0000D31A0000}"/>
    <cellStyle name="40% - Accent5 34 2" xfId="5173" xr:uid="{00000000-0005-0000-0000-0000D41A0000}"/>
    <cellStyle name="40% - Accent5 34 3" xfId="7290" xr:uid="{00000000-0005-0000-0000-0000D51A0000}"/>
    <cellStyle name="40% - Accent5 34 4" xfId="9338" xr:uid="{00000000-0005-0000-0000-0000D61A0000}"/>
    <cellStyle name="40% - Accent5 35" xfId="2683" xr:uid="{00000000-0005-0000-0000-0000D71A0000}"/>
    <cellStyle name="40% - Accent5 35 2" xfId="5174" xr:uid="{00000000-0005-0000-0000-0000D81A0000}"/>
    <cellStyle name="40% - Accent5 35 3" xfId="7291" xr:uid="{00000000-0005-0000-0000-0000D91A0000}"/>
    <cellStyle name="40% - Accent5 35 4" xfId="9339" xr:uid="{00000000-0005-0000-0000-0000DA1A0000}"/>
    <cellStyle name="40% - Accent5 36" xfId="2684" xr:uid="{00000000-0005-0000-0000-0000DB1A0000}"/>
    <cellStyle name="40% - Accent5 36 2" xfId="5175" xr:uid="{00000000-0005-0000-0000-0000DC1A0000}"/>
    <cellStyle name="40% - Accent5 36 3" xfId="7292" xr:uid="{00000000-0005-0000-0000-0000DD1A0000}"/>
    <cellStyle name="40% - Accent5 36 4" xfId="9340" xr:uid="{00000000-0005-0000-0000-0000DE1A0000}"/>
    <cellStyle name="40% - Accent5 37" xfId="2685" xr:uid="{00000000-0005-0000-0000-0000DF1A0000}"/>
    <cellStyle name="40% - Accent5 37 2" xfId="5176" xr:uid="{00000000-0005-0000-0000-0000E01A0000}"/>
    <cellStyle name="40% - Accent5 37 3" xfId="7293" xr:uid="{00000000-0005-0000-0000-0000E11A0000}"/>
    <cellStyle name="40% - Accent5 37 4" xfId="9341" xr:uid="{00000000-0005-0000-0000-0000E21A0000}"/>
    <cellStyle name="40% - Accent5 38" xfId="2686" xr:uid="{00000000-0005-0000-0000-0000E31A0000}"/>
    <cellStyle name="40% - Accent5 38 2" xfId="5177" xr:uid="{00000000-0005-0000-0000-0000E41A0000}"/>
    <cellStyle name="40% - Accent5 38 3" xfId="7294" xr:uid="{00000000-0005-0000-0000-0000E51A0000}"/>
    <cellStyle name="40% - Accent5 38 4" xfId="9342" xr:uid="{00000000-0005-0000-0000-0000E61A0000}"/>
    <cellStyle name="40% - Accent5 39" xfId="2687" xr:uid="{00000000-0005-0000-0000-0000E71A0000}"/>
    <cellStyle name="40% - Accent5 39 2" xfId="5178" xr:uid="{00000000-0005-0000-0000-0000E81A0000}"/>
    <cellStyle name="40% - Accent5 39 3" xfId="7295" xr:uid="{00000000-0005-0000-0000-0000E91A0000}"/>
    <cellStyle name="40% - Accent5 39 4" xfId="9343" xr:uid="{00000000-0005-0000-0000-0000EA1A0000}"/>
    <cellStyle name="40% - Accent5 4" xfId="2688" xr:uid="{00000000-0005-0000-0000-0000EB1A0000}"/>
    <cellStyle name="40% - Accent5 4 2" xfId="2689" xr:uid="{00000000-0005-0000-0000-0000EC1A0000}"/>
    <cellStyle name="40% - Accent5 4 2 2" xfId="5179" xr:uid="{00000000-0005-0000-0000-0000ED1A0000}"/>
    <cellStyle name="40% - Accent5 4 2 3" xfId="7296" xr:uid="{00000000-0005-0000-0000-0000EE1A0000}"/>
    <cellStyle name="40% - Accent5 4 2 4" xfId="9344" xr:uid="{00000000-0005-0000-0000-0000EF1A0000}"/>
    <cellStyle name="40% - Accent5 4 3" xfId="2690" xr:uid="{00000000-0005-0000-0000-0000F01A0000}"/>
    <cellStyle name="40% - Accent5 4 3 2" xfId="5180" xr:uid="{00000000-0005-0000-0000-0000F11A0000}"/>
    <cellStyle name="40% - Accent5 4 3 3" xfId="7297" xr:uid="{00000000-0005-0000-0000-0000F21A0000}"/>
    <cellStyle name="40% - Accent5 4 3 4" xfId="9345" xr:uid="{00000000-0005-0000-0000-0000F31A0000}"/>
    <cellStyle name="40% - Accent5 4 4" xfId="2691" xr:uid="{00000000-0005-0000-0000-0000F41A0000}"/>
    <cellStyle name="40% - Accent5 4 4 2" xfId="5181" xr:uid="{00000000-0005-0000-0000-0000F51A0000}"/>
    <cellStyle name="40% - Accent5 4 4 3" xfId="7298" xr:uid="{00000000-0005-0000-0000-0000F61A0000}"/>
    <cellStyle name="40% - Accent5 4 4 4" xfId="9346" xr:uid="{00000000-0005-0000-0000-0000F71A0000}"/>
    <cellStyle name="40% - Accent5 4 5" xfId="2692" xr:uid="{00000000-0005-0000-0000-0000F81A0000}"/>
    <cellStyle name="40% - Accent5 4 5 2" xfId="5182" xr:uid="{00000000-0005-0000-0000-0000F91A0000}"/>
    <cellStyle name="40% - Accent5 4 5 3" xfId="7299" xr:uid="{00000000-0005-0000-0000-0000FA1A0000}"/>
    <cellStyle name="40% - Accent5 4 5 4" xfId="9347" xr:uid="{00000000-0005-0000-0000-0000FB1A0000}"/>
    <cellStyle name="40% - Accent5 4 6" xfId="2693" xr:uid="{00000000-0005-0000-0000-0000FC1A0000}"/>
    <cellStyle name="40% - Accent5 4 6 2" xfId="5183" xr:uid="{00000000-0005-0000-0000-0000FD1A0000}"/>
    <cellStyle name="40% - Accent5 4 6 3" xfId="7300" xr:uid="{00000000-0005-0000-0000-0000FE1A0000}"/>
    <cellStyle name="40% - Accent5 4 6 4" xfId="9348" xr:uid="{00000000-0005-0000-0000-0000FF1A0000}"/>
    <cellStyle name="40% - Accent5 4 7" xfId="2694" xr:uid="{00000000-0005-0000-0000-0000001B0000}"/>
    <cellStyle name="40% - Accent5 4 7 2" xfId="5184" xr:uid="{00000000-0005-0000-0000-0000011B0000}"/>
    <cellStyle name="40% - Accent5 4 7 3" xfId="7301" xr:uid="{00000000-0005-0000-0000-0000021B0000}"/>
    <cellStyle name="40% - Accent5 4 7 4" xfId="9349" xr:uid="{00000000-0005-0000-0000-0000031B0000}"/>
    <cellStyle name="40% - Accent5 40" xfId="2695" xr:uid="{00000000-0005-0000-0000-0000041B0000}"/>
    <cellStyle name="40% - Accent5 40 2" xfId="5185" xr:uid="{00000000-0005-0000-0000-0000051B0000}"/>
    <cellStyle name="40% - Accent5 40 3" xfId="7302" xr:uid="{00000000-0005-0000-0000-0000061B0000}"/>
    <cellStyle name="40% - Accent5 40 4" xfId="9350" xr:uid="{00000000-0005-0000-0000-0000071B0000}"/>
    <cellStyle name="40% - Accent5 41" xfId="2696" xr:uid="{00000000-0005-0000-0000-0000081B0000}"/>
    <cellStyle name="40% - Accent5 41 2" xfId="5186" xr:uid="{00000000-0005-0000-0000-0000091B0000}"/>
    <cellStyle name="40% - Accent5 41 3" xfId="7303" xr:uid="{00000000-0005-0000-0000-00000A1B0000}"/>
    <cellStyle name="40% - Accent5 41 4" xfId="9351" xr:uid="{00000000-0005-0000-0000-00000B1B0000}"/>
    <cellStyle name="40% - Accent5 42" xfId="2697" xr:uid="{00000000-0005-0000-0000-00000C1B0000}"/>
    <cellStyle name="40% - Accent5 42 2" xfId="5187" xr:uid="{00000000-0005-0000-0000-00000D1B0000}"/>
    <cellStyle name="40% - Accent5 42 3" xfId="7304" xr:uid="{00000000-0005-0000-0000-00000E1B0000}"/>
    <cellStyle name="40% - Accent5 42 4" xfId="9352" xr:uid="{00000000-0005-0000-0000-00000F1B0000}"/>
    <cellStyle name="40% - Accent5 43" xfId="2698" xr:uid="{00000000-0005-0000-0000-0000101B0000}"/>
    <cellStyle name="40% - Accent5 43 2" xfId="5188" xr:uid="{00000000-0005-0000-0000-0000111B0000}"/>
    <cellStyle name="40% - Accent5 43 3" xfId="7305" xr:uid="{00000000-0005-0000-0000-0000121B0000}"/>
    <cellStyle name="40% - Accent5 43 4" xfId="9353" xr:uid="{00000000-0005-0000-0000-0000131B0000}"/>
    <cellStyle name="40% - Accent5 44" xfId="2699" xr:uid="{00000000-0005-0000-0000-0000141B0000}"/>
    <cellStyle name="40% - Accent5 44 2" xfId="5189" xr:uid="{00000000-0005-0000-0000-0000151B0000}"/>
    <cellStyle name="40% - Accent5 44 3" xfId="7306" xr:uid="{00000000-0005-0000-0000-0000161B0000}"/>
    <cellStyle name="40% - Accent5 44 4" xfId="9354" xr:uid="{00000000-0005-0000-0000-0000171B0000}"/>
    <cellStyle name="40% - Accent5 45" xfId="2700" xr:uid="{00000000-0005-0000-0000-0000181B0000}"/>
    <cellStyle name="40% - Accent5 45 2" xfId="5190" xr:uid="{00000000-0005-0000-0000-0000191B0000}"/>
    <cellStyle name="40% - Accent5 45 3" xfId="7307" xr:uid="{00000000-0005-0000-0000-00001A1B0000}"/>
    <cellStyle name="40% - Accent5 45 4" xfId="9355" xr:uid="{00000000-0005-0000-0000-00001B1B0000}"/>
    <cellStyle name="40% - Accent5 46" xfId="2701" xr:uid="{00000000-0005-0000-0000-00001C1B0000}"/>
    <cellStyle name="40% - Accent5 46 2" xfId="5191" xr:uid="{00000000-0005-0000-0000-00001D1B0000}"/>
    <cellStyle name="40% - Accent5 46 3" xfId="7308" xr:uid="{00000000-0005-0000-0000-00001E1B0000}"/>
    <cellStyle name="40% - Accent5 46 4" xfId="9356" xr:uid="{00000000-0005-0000-0000-00001F1B0000}"/>
    <cellStyle name="40% - Accent5 47" xfId="2702" xr:uid="{00000000-0005-0000-0000-0000201B0000}"/>
    <cellStyle name="40% - Accent5 47 2" xfId="5192" xr:uid="{00000000-0005-0000-0000-0000211B0000}"/>
    <cellStyle name="40% - Accent5 47 3" xfId="7309" xr:uid="{00000000-0005-0000-0000-0000221B0000}"/>
    <cellStyle name="40% - Accent5 47 4" xfId="9357" xr:uid="{00000000-0005-0000-0000-0000231B0000}"/>
    <cellStyle name="40% - Accent5 48" xfId="2703" xr:uid="{00000000-0005-0000-0000-0000241B0000}"/>
    <cellStyle name="40% - Accent5 48 2" xfId="5193" xr:uid="{00000000-0005-0000-0000-0000251B0000}"/>
    <cellStyle name="40% - Accent5 48 3" xfId="7310" xr:uid="{00000000-0005-0000-0000-0000261B0000}"/>
    <cellStyle name="40% - Accent5 48 4" xfId="9358" xr:uid="{00000000-0005-0000-0000-0000271B0000}"/>
    <cellStyle name="40% - Accent5 49" xfId="2704" xr:uid="{00000000-0005-0000-0000-0000281B0000}"/>
    <cellStyle name="40% - Accent5 49 2" xfId="5194" xr:uid="{00000000-0005-0000-0000-0000291B0000}"/>
    <cellStyle name="40% - Accent5 49 3" xfId="7311" xr:uid="{00000000-0005-0000-0000-00002A1B0000}"/>
    <cellStyle name="40% - Accent5 49 4" xfId="9359" xr:uid="{00000000-0005-0000-0000-00002B1B0000}"/>
    <cellStyle name="40% - Accent5 5" xfId="2705" xr:uid="{00000000-0005-0000-0000-00002C1B0000}"/>
    <cellStyle name="40% - Accent5 5 2" xfId="2706" xr:uid="{00000000-0005-0000-0000-00002D1B0000}"/>
    <cellStyle name="40% - Accent5 5 2 2" xfId="5195" xr:uid="{00000000-0005-0000-0000-00002E1B0000}"/>
    <cellStyle name="40% - Accent5 5 2 3" xfId="7312" xr:uid="{00000000-0005-0000-0000-00002F1B0000}"/>
    <cellStyle name="40% - Accent5 5 2 4" xfId="9360" xr:uid="{00000000-0005-0000-0000-0000301B0000}"/>
    <cellStyle name="40% - Accent5 5 3" xfId="2707" xr:uid="{00000000-0005-0000-0000-0000311B0000}"/>
    <cellStyle name="40% - Accent5 5 3 2" xfId="5196" xr:uid="{00000000-0005-0000-0000-0000321B0000}"/>
    <cellStyle name="40% - Accent5 5 3 3" xfId="7313" xr:uid="{00000000-0005-0000-0000-0000331B0000}"/>
    <cellStyle name="40% - Accent5 5 3 4" xfId="9361" xr:uid="{00000000-0005-0000-0000-0000341B0000}"/>
    <cellStyle name="40% - Accent5 5 4" xfId="2708" xr:uid="{00000000-0005-0000-0000-0000351B0000}"/>
    <cellStyle name="40% - Accent5 5 4 2" xfId="5197" xr:uid="{00000000-0005-0000-0000-0000361B0000}"/>
    <cellStyle name="40% - Accent5 5 4 3" xfId="7314" xr:uid="{00000000-0005-0000-0000-0000371B0000}"/>
    <cellStyle name="40% - Accent5 5 4 4" xfId="9362" xr:uid="{00000000-0005-0000-0000-0000381B0000}"/>
    <cellStyle name="40% - Accent5 5 5" xfId="2709" xr:uid="{00000000-0005-0000-0000-0000391B0000}"/>
    <cellStyle name="40% - Accent5 5 5 2" xfId="5198" xr:uid="{00000000-0005-0000-0000-00003A1B0000}"/>
    <cellStyle name="40% - Accent5 5 5 3" xfId="7315" xr:uid="{00000000-0005-0000-0000-00003B1B0000}"/>
    <cellStyle name="40% - Accent5 5 5 4" xfId="9363" xr:uid="{00000000-0005-0000-0000-00003C1B0000}"/>
    <cellStyle name="40% - Accent5 5 6" xfId="2710" xr:uid="{00000000-0005-0000-0000-00003D1B0000}"/>
    <cellStyle name="40% - Accent5 5 6 2" xfId="5199" xr:uid="{00000000-0005-0000-0000-00003E1B0000}"/>
    <cellStyle name="40% - Accent5 5 6 3" xfId="7316" xr:uid="{00000000-0005-0000-0000-00003F1B0000}"/>
    <cellStyle name="40% - Accent5 5 6 4" xfId="9364" xr:uid="{00000000-0005-0000-0000-0000401B0000}"/>
    <cellStyle name="40% - Accent5 5 7" xfId="2711" xr:uid="{00000000-0005-0000-0000-0000411B0000}"/>
    <cellStyle name="40% - Accent5 5 7 2" xfId="5200" xr:uid="{00000000-0005-0000-0000-0000421B0000}"/>
    <cellStyle name="40% - Accent5 5 7 3" xfId="7317" xr:uid="{00000000-0005-0000-0000-0000431B0000}"/>
    <cellStyle name="40% - Accent5 5 7 4" xfId="9365" xr:uid="{00000000-0005-0000-0000-0000441B0000}"/>
    <cellStyle name="40% - Accent5 50" xfId="2712" xr:uid="{00000000-0005-0000-0000-0000451B0000}"/>
    <cellStyle name="40% - Accent5 50 2" xfId="5201" xr:uid="{00000000-0005-0000-0000-0000461B0000}"/>
    <cellStyle name="40% - Accent5 50 3" xfId="7318" xr:uid="{00000000-0005-0000-0000-0000471B0000}"/>
    <cellStyle name="40% - Accent5 50 4" xfId="9366" xr:uid="{00000000-0005-0000-0000-0000481B0000}"/>
    <cellStyle name="40% - Accent5 6" xfId="2713" xr:uid="{00000000-0005-0000-0000-0000491B0000}"/>
    <cellStyle name="40% - Accent5 6 2" xfId="2714" xr:uid="{00000000-0005-0000-0000-00004A1B0000}"/>
    <cellStyle name="40% - Accent5 6 2 2" xfId="5202" xr:uid="{00000000-0005-0000-0000-00004B1B0000}"/>
    <cellStyle name="40% - Accent5 6 2 3" xfId="7319" xr:uid="{00000000-0005-0000-0000-00004C1B0000}"/>
    <cellStyle name="40% - Accent5 6 2 4" xfId="9367" xr:uid="{00000000-0005-0000-0000-00004D1B0000}"/>
    <cellStyle name="40% - Accent5 6 3" xfId="2715" xr:uid="{00000000-0005-0000-0000-00004E1B0000}"/>
    <cellStyle name="40% - Accent5 6 3 2" xfId="5203" xr:uid="{00000000-0005-0000-0000-00004F1B0000}"/>
    <cellStyle name="40% - Accent5 6 3 3" xfId="7320" xr:uid="{00000000-0005-0000-0000-0000501B0000}"/>
    <cellStyle name="40% - Accent5 6 3 4" xfId="9368" xr:uid="{00000000-0005-0000-0000-0000511B0000}"/>
    <cellStyle name="40% - Accent5 6 4" xfId="2716" xr:uid="{00000000-0005-0000-0000-0000521B0000}"/>
    <cellStyle name="40% - Accent5 6 4 2" xfId="5204" xr:uid="{00000000-0005-0000-0000-0000531B0000}"/>
    <cellStyle name="40% - Accent5 6 4 3" xfId="7321" xr:uid="{00000000-0005-0000-0000-0000541B0000}"/>
    <cellStyle name="40% - Accent5 6 4 4" xfId="9369" xr:uid="{00000000-0005-0000-0000-0000551B0000}"/>
    <cellStyle name="40% - Accent5 6 5" xfId="2717" xr:uid="{00000000-0005-0000-0000-0000561B0000}"/>
    <cellStyle name="40% - Accent5 6 5 2" xfId="5205" xr:uid="{00000000-0005-0000-0000-0000571B0000}"/>
    <cellStyle name="40% - Accent5 6 5 3" xfId="7322" xr:uid="{00000000-0005-0000-0000-0000581B0000}"/>
    <cellStyle name="40% - Accent5 6 5 4" xfId="9370" xr:uid="{00000000-0005-0000-0000-0000591B0000}"/>
    <cellStyle name="40% - Accent5 6 6" xfId="2718" xr:uid="{00000000-0005-0000-0000-00005A1B0000}"/>
    <cellStyle name="40% - Accent5 6 6 2" xfId="5206" xr:uid="{00000000-0005-0000-0000-00005B1B0000}"/>
    <cellStyle name="40% - Accent5 6 6 3" xfId="7323" xr:uid="{00000000-0005-0000-0000-00005C1B0000}"/>
    <cellStyle name="40% - Accent5 6 6 4" xfId="9371" xr:uid="{00000000-0005-0000-0000-00005D1B0000}"/>
    <cellStyle name="40% - Accent5 6 7" xfId="2719" xr:uid="{00000000-0005-0000-0000-00005E1B0000}"/>
    <cellStyle name="40% - Accent5 6 7 2" xfId="5207" xr:uid="{00000000-0005-0000-0000-00005F1B0000}"/>
    <cellStyle name="40% - Accent5 6 7 3" xfId="7324" xr:uid="{00000000-0005-0000-0000-0000601B0000}"/>
    <cellStyle name="40% - Accent5 6 7 4" xfId="9372" xr:uid="{00000000-0005-0000-0000-0000611B0000}"/>
    <cellStyle name="40% - Accent5 7" xfId="2720" xr:uid="{00000000-0005-0000-0000-0000621B0000}"/>
    <cellStyle name="40% - Accent5 7 10" xfId="9373" xr:uid="{00000000-0005-0000-0000-0000631B0000}"/>
    <cellStyle name="40% - Accent5 7 2" xfId="2721" xr:uid="{00000000-0005-0000-0000-0000641B0000}"/>
    <cellStyle name="40% - Accent5 7 2 2" xfId="5209" xr:uid="{00000000-0005-0000-0000-0000651B0000}"/>
    <cellStyle name="40% - Accent5 7 2 3" xfId="7326" xr:uid="{00000000-0005-0000-0000-0000661B0000}"/>
    <cellStyle name="40% - Accent5 7 2 4" xfId="9374" xr:uid="{00000000-0005-0000-0000-0000671B0000}"/>
    <cellStyle name="40% - Accent5 7 3" xfId="2722" xr:uid="{00000000-0005-0000-0000-0000681B0000}"/>
    <cellStyle name="40% - Accent5 7 3 2" xfId="5210" xr:uid="{00000000-0005-0000-0000-0000691B0000}"/>
    <cellStyle name="40% - Accent5 7 3 3" xfId="7327" xr:uid="{00000000-0005-0000-0000-00006A1B0000}"/>
    <cellStyle name="40% - Accent5 7 3 4" xfId="9375" xr:uid="{00000000-0005-0000-0000-00006B1B0000}"/>
    <cellStyle name="40% - Accent5 7 4" xfId="2723" xr:uid="{00000000-0005-0000-0000-00006C1B0000}"/>
    <cellStyle name="40% - Accent5 7 4 2" xfId="5211" xr:uid="{00000000-0005-0000-0000-00006D1B0000}"/>
    <cellStyle name="40% - Accent5 7 4 3" xfId="7328" xr:uid="{00000000-0005-0000-0000-00006E1B0000}"/>
    <cellStyle name="40% - Accent5 7 4 4" xfId="9376" xr:uid="{00000000-0005-0000-0000-00006F1B0000}"/>
    <cellStyle name="40% - Accent5 7 5" xfId="2724" xr:uid="{00000000-0005-0000-0000-0000701B0000}"/>
    <cellStyle name="40% - Accent5 7 5 2" xfId="5212" xr:uid="{00000000-0005-0000-0000-0000711B0000}"/>
    <cellStyle name="40% - Accent5 7 5 3" xfId="7329" xr:uid="{00000000-0005-0000-0000-0000721B0000}"/>
    <cellStyle name="40% - Accent5 7 5 4" xfId="9377" xr:uid="{00000000-0005-0000-0000-0000731B0000}"/>
    <cellStyle name="40% - Accent5 7 6" xfId="2725" xr:uid="{00000000-0005-0000-0000-0000741B0000}"/>
    <cellStyle name="40% - Accent5 7 6 2" xfId="5213" xr:uid="{00000000-0005-0000-0000-0000751B0000}"/>
    <cellStyle name="40% - Accent5 7 6 3" xfId="7330" xr:uid="{00000000-0005-0000-0000-0000761B0000}"/>
    <cellStyle name="40% - Accent5 7 6 4" xfId="9378" xr:uid="{00000000-0005-0000-0000-0000771B0000}"/>
    <cellStyle name="40% - Accent5 7 7" xfId="2726" xr:uid="{00000000-0005-0000-0000-0000781B0000}"/>
    <cellStyle name="40% - Accent5 7 7 2" xfId="5214" xr:uid="{00000000-0005-0000-0000-0000791B0000}"/>
    <cellStyle name="40% - Accent5 7 7 3" xfId="7331" xr:uid="{00000000-0005-0000-0000-00007A1B0000}"/>
    <cellStyle name="40% - Accent5 7 7 4" xfId="9379" xr:uid="{00000000-0005-0000-0000-00007B1B0000}"/>
    <cellStyle name="40% - Accent5 7 8" xfId="5208" xr:uid="{00000000-0005-0000-0000-00007C1B0000}"/>
    <cellStyle name="40% - Accent5 7 9" xfId="7325" xr:uid="{00000000-0005-0000-0000-00007D1B0000}"/>
    <cellStyle name="40% - Accent5 8" xfId="2727" xr:uid="{00000000-0005-0000-0000-00007E1B0000}"/>
    <cellStyle name="40% - Accent5 8 10" xfId="9380" xr:uid="{00000000-0005-0000-0000-00007F1B0000}"/>
    <cellStyle name="40% - Accent5 8 2" xfId="2728" xr:uid="{00000000-0005-0000-0000-0000801B0000}"/>
    <cellStyle name="40% - Accent5 8 2 2" xfId="5216" xr:uid="{00000000-0005-0000-0000-0000811B0000}"/>
    <cellStyle name="40% - Accent5 8 2 3" xfId="7333" xr:uid="{00000000-0005-0000-0000-0000821B0000}"/>
    <cellStyle name="40% - Accent5 8 2 4" xfId="9381" xr:uid="{00000000-0005-0000-0000-0000831B0000}"/>
    <cellStyle name="40% - Accent5 8 3" xfId="2729" xr:uid="{00000000-0005-0000-0000-0000841B0000}"/>
    <cellStyle name="40% - Accent5 8 3 2" xfId="5217" xr:uid="{00000000-0005-0000-0000-0000851B0000}"/>
    <cellStyle name="40% - Accent5 8 3 3" xfId="7334" xr:uid="{00000000-0005-0000-0000-0000861B0000}"/>
    <cellStyle name="40% - Accent5 8 3 4" xfId="9382" xr:uid="{00000000-0005-0000-0000-0000871B0000}"/>
    <cellStyle name="40% - Accent5 8 4" xfId="2730" xr:uid="{00000000-0005-0000-0000-0000881B0000}"/>
    <cellStyle name="40% - Accent5 8 4 2" xfId="5218" xr:uid="{00000000-0005-0000-0000-0000891B0000}"/>
    <cellStyle name="40% - Accent5 8 4 3" xfId="7335" xr:uid="{00000000-0005-0000-0000-00008A1B0000}"/>
    <cellStyle name="40% - Accent5 8 4 4" xfId="9383" xr:uid="{00000000-0005-0000-0000-00008B1B0000}"/>
    <cellStyle name="40% - Accent5 8 5" xfId="2731" xr:uid="{00000000-0005-0000-0000-00008C1B0000}"/>
    <cellStyle name="40% - Accent5 8 5 2" xfId="5219" xr:uid="{00000000-0005-0000-0000-00008D1B0000}"/>
    <cellStyle name="40% - Accent5 8 5 3" xfId="7336" xr:uid="{00000000-0005-0000-0000-00008E1B0000}"/>
    <cellStyle name="40% - Accent5 8 5 4" xfId="9384" xr:uid="{00000000-0005-0000-0000-00008F1B0000}"/>
    <cellStyle name="40% - Accent5 8 6" xfId="2732" xr:uid="{00000000-0005-0000-0000-0000901B0000}"/>
    <cellStyle name="40% - Accent5 8 6 2" xfId="5220" xr:uid="{00000000-0005-0000-0000-0000911B0000}"/>
    <cellStyle name="40% - Accent5 8 6 3" xfId="7337" xr:uid="{00000000-0005-0000-0000-0000921B0000}"/>
    <cellStyle name="40% - Accent5 8 6 4" xfId="9385" xr:uid="{00000000-0005-0000-0000-0000931B0000}"/>
    <cellStyle name="40% - Accent5 8 7" xfId="2733" xr:uid="{00000000-0005-0000-0000-0000941B0000}"/>
    <cellStyle name="40% - Accent5 8 7 2" xfId="5221" xr:uid="{00000000-0005-0000-0000-0000951B0000}"/>
    <cellStyle name="40% - Accent5 8 7 3" xfId="7338" xr:uid="{00000000-0005-0000-0000-0000961B0000}"/>
    <cellStyle name="40% - Accent5 8 7 4" xfId="9386" xr:uid="{00000000-0005-0000-0000-0000971B0000}"/>
    <cellStyle name="40% - Accent5 8 8" xfId="5215" xr:uid="{00000000-0005-0000-0000-0000981B0000}"/>
    <cellStyle name="40% - Accent5 8 9" xfId="7332" xr:uid="{00000000-0005-0000-0000-0000991B0000}"/>
    <cellStyle name="40% - Accent5 9" xfId="2734" xr:uid="{00000000-0005-0000-0000-00009A1B0000}"/>
    <cellStyle name="40% - Accent5 9 10" xfId="9387" xr:uid="{00000000-0005-0000-0000-00009B1B0000}"/>
    <cellStyle name="40% - Accent5 9 2" xfId="2735" xr:uid="{00000000-0005-0000-0000-00009C1B0000}"/>
    <cellStyle name="40% - Accent5 9 2 2" xfId="5223" xr:uid="{00000000-0005-0000-0000-00009D1B0000}"/>
    <cellStyle name="40% - Accent5 9 2 3" xfId="7340" xr:uid="{00000000-0005-0000-0000-00009E1B0000}"/>
    <cellStyle name="40% - Accent5 9 2 4" xfId="9388" xr:uid="{00000000-0005-0000-0000-00009F1B0000}"/>
    <cellStyle name="40% - Accent5 9 3" xfId="2736" xr:uid="{00000000-0005-0000-0000-0000A01B0000}"/>
    <cellStyle name="40% - Accent5 9 3 2" xfId="5224" xr:uid="{00000000-0005-0000-0000-0000A11B0000}"/>
    <cellStyle name="40% - Accent5 9 3 3" xfId="7341" xr:uid="{00000000-0005-0000-0000-0000A21B0000}"/>
    <cellStyle name="40% - Accent5 9 3 4" xfId="9389" xr:uid="{00000000-0005-0000-0000-0000A31B0000}"/>
    <cellStyle name="40% - Accent5 9 4" xfId="2737" xr:uid="{00000000-0005-0000-0000-0000A41B0000}"/>
    <cellStyle name="40% - Accent5 9 4 2" xfId="5225" xr:uid="{00000000-0005-0000-0000-0000A51B0000}"/>
    <cellStyle name="40% - Accent5 9 4 3" xfId="7342" xr:uid="{00000000-0005-0000-0000-0000A61B0000}"/>
    <cellStyle name="40% - Accent5 9 4 4" xfId="9390" xr:uid="{00000000-0005-0000-0000-0000A71B0000}"/>
    <cellStyle name="40% - Accent5 9 5" xfId="2738" xr:uid="{00000000-0005-0000-0000-0000A81B0000}"/>
    <cellStyle name="40% - Accent5 9 5 2" xfId="5226" xr:uid="{00000000-0005-0000-0000-0000A91B0000}"/>
    <cellStyle name="40% - Accent5 9 5 3" xfId="7343" xr:uid="{00000000-0005-0000-0000-0000AA1B0000}"/>
    <cellStyle name="40% - Accent5 9 5 4" xfId="9391" xr:uid="{00000000-0005-0000-0000-0000AB1B0000}"/>
    <cellStyle name="40% - Accent5 9 6" xfId="2739" xr:uid="{00000000-0005-0000-0000-0000AC1B0000}"/>
    <cellStyle name="40% - Accent5 9 6 2" xfId="5227" xr:uid="{00000000-0005-0000-0000-0000AD1B0000}"/>
    <cellStyle name="40% - Accent5 9 6 3" xfId="7344" xr:uid="{00000000-0005-0000-0000-0000AE1B0000}"/>
    <cellStyle name="40% - Accent5 9 6 4" xfId="9392" xr:uid="{00000000-0005-0000-0000-0000AF1B0000}"/>
    <cellStyle name="40% - Accent5 9 7" xfId="2740" xr:uid="{00000000-0005-0000-0000-0000B01B0000}"/>
    <cellStyle name="40% - Accent5 9 7 2" xfId="5228" xr:uid="{00000000-0005-0000-0000-0000B11B0000}"/>
    <cellStyle name="40% - Accent5 9 7 3" xfId="7345" xr:uid="{00000000-0005-0000-0000-0000B21B0000}"/>
    <cellStyle name="40% - Accent5 9 7 4" xfId="9393" xr:uid="{00000000-0005-0000-0000-0000B31B0000}"/>
    <cellStyle name="40% - Accent5 9 8" xfId="5222" xr:uid="{00000000-0005-0000-0000-0000B41B0000}"/>
    <cellStyle name="40% - Accent5 9 9" xfId="7339" xr:uid="{00000000-0005-0000-0000-0000B51B0000}"/>
    <cellStyle name="40% - Accent6 10" xfId="2741" xr:uid="{00000000-0005-0000-0000-0000B61B0000}"/>
    <cellStyle name="40% - Accent6 10 10" xfId="9394" xr:uid="{00000000-0005-0000-0000-0000B71B0000}"/>
    <cellStyle name="40% - Accent6 10 2" xfId="2742" xr:uid="{00000000-0005-0000-0000-0000B81B0000}"/>
    <cellStyle name="40% - Accent6 10 2 2" xfId="5230" xr:uid="{00000000-0005-0000-0000-0000B91B0000}"/>
    <cellStyle name="40% - Accent6 10 2 3" xfId="7347" xr:uid="{00000000-0005-0000-0000-0000BA1B0000}"/>
    <cellStyle name="40% - Accent6 10 2 4" xfId="9395" xr:uid="{00000000-0005-0000-0000-0000BB1B0000}"/>
    <cellStyle name="40% - Accent6 10 3" xfId="2743" xr:uid="{00000000-0005-0000-0000-0000BC1B0000}"/>
    <cellStyle name="40% - Accent6 10 3 2" xfId="5231" xr:uid="{00000000-0005-0000-0000-0000BD1B0000}"/>
    <cellStyle name="40% - Accent6 10 3 3" xfId="7348" xr:uid="{00000000-0005-0000-0000-0000BE1B0000}"/>
    <cellStyle name="40% - Accent6 10 3 4" xfId="9396" xr:uid="{00000000-0005-0000-0000-0000BF1B0000}"/>
    <cellStyle name="40% - Accent6 10 4" xfId="2744" xr:uid="{00000000-0005-0000-0000-0000C01B0000}"/>
    <cellStyle name="40% - Accent6 10 4 2" xfId="5232" xr:uid="{00000000-0005-0000-0000-0000C11B0000}"/>
    <cellStyle name="40% - Accent6 10 4 3" xfId="7349" xr:uid="{00000000-0005-0000-0000-0000C21B0000}"/>
    <cellStyle name="40% - Accent6 10 4 4" xfId="9397" xr:uid="{00000000-0005-0000-0000-0000C31B0000}"/>
    <cellStyle name="40% - Accent6 10 5" xfId="2745" xr:uid="{00000000-0005-0000-0000-0000C41B0000}"/>
    <cellStyle name="40% - Accent6 10 5 2" xfId="5233" xr:uid="{00000000-0005-0000-0000-0000C51B0000}"/>
    <cellStyle name="40% - Accent6 10 5 3" xfId="7350" xr:uid="{00000000-0005-0000-0000-0000C61B0000}"/>
    <cellStyle name="40% - Accent6 10 5 4" xfId="9398" xr:uid="{00000000-0005-0000-0000-0000C71B0000}"/>
    <cellStyle name="40% - Accent6 10 6" xfId="2746" xr:uid="{00000000-0005-0000-0000-0000C81B0000}"/>
    <cellStyle name="40% - Accent6 10 6 2" xfId="5234" xr:uid="{00000000-0005-0000-0000-0000C91B0000}"/>
    <cellStyle name="40% - Accent6 10 6 3" xfId="7351" xr:uid="{00000000-0005-0000-0000-0000CA1B0000}"/>
    <cellStyle name="40% - Accent6 10 6 4" xfId="9399" xr:uid="{00000000-0005-0000-0000-0000CB1B0000}"/>
    <cellStyle name="40% - Accent6 10 7" xfId="2747" xr:uid="{00000000-0005-0000-0000-0000CC1B0000}"/>
    <cellStyle name="40% - Accent6 10 7 2" xfId="5235" xr:uid="{00000000-0005-0000-0000-0000CD1B0000}"/>
    <cellStyle name="40% - Accent6 10 7 3" xfId="7352" xr:uid="{00000000-0005-0000-0000-0000CE1B0000}"/>
    <cellStyle name="40% - Accent6 10 7 4" xfId="9400" xr:uid="{00000000-0005-0000-0000-0000CF1B0000}"/>
    <cellStyle name="40% - Accent6 10 8" xfId="5229" xr:uid="{00000000-0005-0000-0000-0000D01B0000}"/>
    <cellStyle name="40% - Accent6 10 9" xfId="7346" xr:uid="{00000000-0005-0000-0000-0000D11B0000}"/>
    <cellStyle name="40% - Accent6 11" xfId="2748" xr:uid="{00000000-0005-0000-0000-0000D21B0000}"/>
    <cellStyle name="40% - Accent6 11 2" xfId="2749" xr:uid="{00000000-0005-0000-0000-0000D31B0000}"/>
    <cellStyle name="40% - Accent6 11 2 2" xfId="5237" xr:uid="{00000000-0005-0000-0000-0000D41B0000}"/>
    <cellStyle name="40% - Accent6 11 2 3" xfId="7354" xr:uid="{00000000-0005-0000-0000-0000D51B0000}"/>
    <cellStyle name="40% - Accent6 11 2 4" xfId="9402" xr:uid="{00000000-0005-0000-0000-0000D61B0000}"/>
    <cellStyle name="40% - Accent6 11 3" xfId="2750" xr:uid="{00000000-0005-0000-0000-0000D71B0000}"/>
    <cellStyle name="40% - Accent6 11 3 2" xfId="5238" xr:uid="{00000000-0005-0000-0000-0000D81B0000}"/>
    <cellStyle name="40% - Accent6 11 3 3" xfId="7355" xr:uid="{00000000-0005-0000-0000-0000D91B0000}"/>
    <cellStyle name="40% - Accent6 11 3 4" xfId="9403" xr:uid="{00000000-0005-0000-0000-0000DA1B0000}"/>
    <cellStyle name="40% - Accent6 11 4" xfId="2751" xr:uid="{00000000-0005-0000-0000-0000DB1B0000}"/>
    <cellStyle name="40% - Accent6 11 4 2" xfId="5239" xr:uid="{00000000-0005-0000-0000-0000DC1B0000}"/>
    <cellStyle name="40% - Accent6 11 4 3" xfId="7356" xr:uid="{00000000-0005-0000-0000-0000DD1B0000}"/>
    <cellStyle name="40% - Accent6 11 4 4" xfId="9404" xr:uid="{00000000-0005-0000-0000-0000DE1B0000}"/>
    <cellStyle name="40% - Accent6 11 5" xfId="2752" xr:uid="{00000000-0005-0000-0000-0000DF1B0000}"/>
    <cellStyle name="40% - Accent6 11 5 2" xfId="5240" xr:uid="{00000000-0005-0000-0000-0000E01B0000}"/>
    <cellStyle name="40% - Accent6 11 5 3" xfId="7357" xr:uid="{00000000-0005-0000-0000-0000E11B0000}"/>
    <cellStyle name="40% - Accent6 11 5 4" xfId="9405" xr:uid="{00000000-0005-0000-0000-0000E21B0000}"/>
    <cellStyle name="40% - Accent6 11 6" xfId="2753" xr:uid="{00000000-0005-0000-0000-0000E31B0000}"/>
    <cellStyle name="40% - Accent6 11 6 2" xfId="5241" xr:uid="{00000000-0005-0000-0000-0000E41B0000}"/>
    <cellStyle name="40% - Accent6 11 6 3" xfId="7358" xr:uid="{00000000-0005-0000-0000-0000E51B0000}"/>
    <cellStyle name="40% - Accent6 11 6 4" xfId="9406" xr:uid="{00000000-0005-0000-0000-0000E61B0000}"/>
    <cellStyle name="40% - Accent6 11 7" xfId="5236" xr:uid="{00000000-0005-0000-0000-0000E71B0000}"/>
    <cellStyle name="40% - Accent6 11 8" xfId="7353" xr:uid="{00000000-0005-0000-0000-0000E81B0000}"/>
    <cellStyle name="40% - Accent6 11 9" xfId="9401" xr:uid="{00000000-0005-0000-0000-0000E91B0000}"/>
    <cellStyle name="40% - Accent6 12" xfId="2754" xr:uid="{00000000-0005-0000-0000-0000EA1B0000}"/>
    <cellStyle name="40% - Accent6 12 2" xfId="2755" xr:uid="{00000000-0005-0000-0000-0000EB1B0000}"/>
    <cellStyle name="40% - Accent6 12 2 2" xfId="5243" xr:uid="{00000000-0005-0000-0000-0000EC1B0000}"/>
    <cellStyle name="40% - Accent6 12 2 3" xfId="7360" xr:uid="{00000000-0005-0000-0000-0000ED1B0000}"/>
    <cellStyle name="40% - Accent6 12 2 4" xfId="9408" xr:uid="{00000000-0005-0000-0000-0000EE1B0000}"/>
    <cellStyle name="40% - Accent6 12 3" xfId="2756" xr:uid="{00000000-0005-0000-0000-0000EF1B0000}"/>
    <cellStyle name="40% - Accent6 12 3 2" xfId="5244" xr:uid="{00000000-0005-0000-0000-0000F01B0000}"/>
    <cellStyle name="40% - Accent6 12 3 3" xfId="7361" xr:uid="{00000000-0005-0000-0000-0000F11B0000}"/>
    <cellStyle name="40% - Accent6 12 3 4" xfId="9409" xr:uid="{00000000-0005-0000-0000-0000F21B0000}"/>
    <cellStyle name="40% - Accent6 12 4" xfId="2757" xr:uid="{00000000-0005-0000-0000-0000F31B0000}"/>
    <cellStyle name="40% - Accent6 12 4 2" xfId="5245" xr:uid="{00000000-0005-0000-0000-0000F41B0000}"/>
    <cellStyle name="40% - Accent6 12 4 3" xfId="7362" xr:uid="{00000000-0005-0000-0000-0000F51B0000}"/>
    <cellStyle name="40% - Accent6 12 4 4" xfId="9410" xr:uid="{00000000-0005-0000-0000-0000F61B0000}"/>
    <cellStyle name="40% - Accent6 12 5" xfId="2758" xr:uid="{00000000-0005-0000-0000-0000F71B0000}"/>
    <cellStyle name="40% - Accent6 12 5 2" xfId="5246" xr:uid="{00000000-0005-0000-0000-0000F81B0000}"/>
    <cellStyle name="40% - Accent6 12 5 3" xfId="7363" xr:uid="{00000000-0005-0000-0000-0000F91B0000}"/>
    <cellStyle name="40% - Accent6 12 5 4" xfId="9411" xr:uid="{00000000-0005-0000-0000-0000FA1B0000}"/>
    <cellStyle name="40% - Accent6 12 6" xfId="5242" xr:uid="{00000000-0005-0000-0000-0000FB1B0000}"/>
    <cellStyle name="40% - Accent6 12 7" xfId="7359" xr:uid="{00000000-0005-0000-0000-0000FC1B0000}"/>
    <cellStyle name="40% - Accent6 12 8" xfId="9407" xr:uid="{00000000-0005-0000-0000-0000FD1B0000}"/>
    <cellStyle name="40% - Accent6 13" xfId="2759" xr:uid="{00000000-0005-0000-0000-0000FE1B0000}"/>
    <cellStyle name="40% - Accent6 13 2" xfId="2760" xr:uid="{00000000-0005-0000-0000-0000FF1B0000}"/>
    <cellStyle name="40% - Accent6 13 2 2" xfId="5248" xr:uid="{00000000-0005-0000-0000-0000001C0000}"/>
    <cellStyle name="40% - Accent6 13 2 3" xfId="7365" xr:uid="{00000000-0005-0000-0000-0000011C0000}"/>
    <cellStyle name="40% - Accent6 13 2 4" xfId="9413" xr:uid="{00000000-0005-0000-0000-0000021C0000}"/>
    <cellStyle name="40% - Accent6 13 3" xfId="2761" xr:uid="{00000000-0005-0000-0000-0000031C0000}"/>
    <cellStyle name="40% - Accent6 13 3 2" xfId="5249" xr:uid="{00000000-0005-0000-0000-0000041C0000}"/>
    <cellStyle name="40% - Accent6 13 3 3" xfId="7366" xr:uid="{00000000-0005-0000-0000-0000051C0000}"/>
    <cellStyle name="40% - Accent6 13 3 4" xfId="9414" xr:uid="{00000000-0005-0000-0000-0000061C0000}"/>
    <cellStyle name="40% - Accent6 13 4" xfId="2762" xr:uid="{00000000-0005-0000-0000-0000071C0000}"/>
    <cellStyle name="40% - Accent6 13 4 2" xfId="5250" xr:uid="{00000000-0005-0000-0000-0000081C0000}"/>
    <cellStyle name="40% - Accent6 13 4 3" xfId="7367" xr:uid="{00000000-0005-0000-0000-0000091C0000}"/>
    <cellStyle name="40% - Accent6 13 4 4" xfId="9415" xr:uid="{00000000-0005-0000-0000-00000A1C0000}"/>
    <cellStyle name="40% - Accent6 13 5" xfId="2763" xr:uid="{00000000-0005-0000-0000-00000B1C0000}"/>
    <cellStyle name="40% - Accent6 13 5 2" xfId="5251" xr:uid="{00000000-0005-0000-0000-00000C1C0000}"/>
    <cellStyle name="40% - Accent6 13 5 3" xfId="7368" xr:uid="{00000000-0005-0000-0000-00000D1C0000}"/>
    <cellStyle name="40% - Accent6 13 5 4" xfId="9416" xr:uid="{00000000-0005-0000-0000-00000E1C0000}"/>
    <cellStyle name="40% - Accent6 13 6" xfId="5247" xr:uid="{00000000-0005-0000-0000-00000F1C0000}"/>
    <cellStyle name="40% - Accent6 13 7" xfId="7364" xr:uid="{00000000-0005-0000-0000-0000101C0000}"/>
    <cellStyle name="40% - Accent6 13 8" xfId="9412" xr:uid="{00000000-0005-0000-0000-0000111C0000}"/>
    <cellStyle name="40% - Accent6 14" xfId="2764" xr:uid="{00000000-0005-0000-0000-0000121C0000}"/>
    <cellStyle name="40% - Accent6 14 2" xfId="2765" xr:uid="{00000000-0005-0000-0000-0000131C0000}"/>
    <cellStyle name="40% - Accent6 14 2 2" xfId="5253" xr:uid="{00000000-0005-0000-0000-0000141C0000}"/>
    <cellStyle name="40% - Accent6 14 2 3" xfId="7370" xr:uid="{00000000-0005-0000-0000-0000151C0000}"/>
    <cellStyle name="40% - Accent6 14 2 4" xfId="9418" xr:uid="{00000000-0005-0000-0000-0000161C0000}"/>
    <cellStyle name="40% - Accent6 14 3" xfId="2766" xr:uid="{00000000-0005-0000-0000-0000171C0000}"/>
    <cellStyle name="40% - Accent6 14 3 2" xfId="5254" xr:uid="{00000000-0005-0000-0000-0000181C0000}"/>
    <cellStyle name="40% - Accent6 14 3 3" xfId="7371" xr:uid="{00000000-0005-0000-0000-0000191C0000}"/>
    <cellStyle name="40% - Accent6 14 3 4" xfId="9419" xr:uid="{00000000-0005-0000-0000-00001A1C0000}"/>
    <cellStyle name="40% - Accent6 14 4" xfId="2767" xr:uid="{00000000-0005-0000-0000-00001B1C0000}"/>
    <cellStyle name="40% - Accent6 14 4 2" xfId="5255" xr:uid="{00000000-0005-0000-0000-00001C1C0000}"/>
    <cellStyle name="40% - Accent6 14 4 3" xfId="7372" xr:uid="{00000000-0005-0000-0000-00001D1C0000}"/>
    <cellStyle name="40% - Accent6 14 4 4" xfId="9420" xr:uid="{00000000-0005-0000-0000-00001E1C0000}"/>
    <cellStyle name="40% - Accent6 14 5" xfId="5252" xr:uid="{00000000-0005-0000-0000-00001F1C0000}"/>
    <cellStyle name="40% - Accent6 14 6" xfId="7369" xr:uid="{00000000-0005-0000-0000-0000201C0000}"/>
    <cellStyle name="40% - Accent6 14 7" xfId="9417" xr:uid="{00000000-0005-0000-0000-0000211C0000}"/>
    <cellStyle name="40% - Accent6 15" xfId="2768" xr:uid="{00000000-0005-0000-0000-0000221C0000}"/>
    <cellStyle name="40% - Accent6 15 2" xfId="2769" xr:uid="{00000000-0005-0000-0000-0000231C0000}"/>
    <cellStyle name="40% - Accent6 15 2 2" xfId="5257" xr:uid="{00000000-0005-0000-0000-0000241C0000}"/>
    <cellStyle name="40% - Accent6 15 2 3" xfId="7374" xr:uid="{00000000-0005-0000-0000-0000251C0000}"/>
    <cellStyle name="40% - Accent6 15 2 4" xfId="9422" xr:uid="{00000000-0005-0000-0000-0000261C0000}"/>
    <cellStyle name="40% - Accent6 15 3" xfId="2770" xr:uid="{00000000-0005-0000-0000-0000271C0000}"/>
    <cellStyle name="40% - Accent6 15 3 2" xfId="5258" xr:uid="{00000000-0005-0000-0000-0000281C0000}"/>
    <cellStyle name="40% - Accent6 15 3 3" xfId="7375" xr:uid="{00000000-0005-0000-0000-0000291C0000}"/>
    <cellStyle name="40% - Accent6 15 3 4" xfId="9423" xr:uid="{00000000-0005-0000-0000-00002A1C0000}"/>
    <cellStyle name="40% - Accent6 15 4" xfId="2771" xr:uid="{00000000-0005-0000-0000-00002B1C0000}"/>
    <cellStyle name="40% - Accent6 15 4 2" xfId="5259" xr:uid="{00000000-0005-0000-0000-00002C1C0000}"/>
    <cellStyle name="40% - Accent6 15 4 3" xfId="7376" xr:uid="{00000000-0005-0000-0000-00002D1C0000}"/>
    <cellStyle name="40% - Accent6 15 4 4" xfId="9424" xr:uid="{00000000-0005-0000-0000-00002E1C0000}"/>
    <cellStyle name="40% - Accent6 15 5" xfId="5256" xr:uid="{00000000-0005-0000-0000-00002F1C0000}"/>
    <cellStyle name="40% - Accent6 15 6" xfId="7373" xr:uid="{00000000-0005-0000-0000-0000301C0000}"/>
    <cellStyle name="40% - Accent6 15 7" xfId="9421" xr:uid="{00000000-0005-0000-0000-0000311C0000}"/>
    <cellStyle name="40% - Accent6 16" xfId="2772" xr:uid="{00000000-0005-0000-0000-0000321C0000}"/>
    <cellStyle name="40% - Accent6 16 2" xfId="2773" xr:uid="{00000000-0005-0000-0000-0000331C0000}"/>
    <cellStyle name="40% - Accent6 16 2 2" xfId="5261" xr:uid="{00000000-0005-0000-0000-0000341C0000}"/>
    <cellStyle name="40% - Accent6 16 2 3" xfId="7378" xr:uid="{00000000-0005-0000-0000-0000351C0000}"/>
    <cellStyle name="40% - Accent6 16 2 4" xfId="9426" xr:uid="{00000000-0005-0000-0000-0000361C0000}"/>
    <cellStyle name="40% - Accent6 16 3" xfId="2774" xr:uid="{00000000-0005-0000-0000-0000371C0000}"/>
    <cellStyle name="40% - Accent6 16 3 2" xfId="5262" xr:uid="{00000000-0005-0000-0000-0000381C0000}"/>
    <cellStyle name="40% - Accent6 16 3 3" xfId="7379" xr:uid="{00000000-0005-0000-0000-0000391C0000}"/>
    <cellStyle name="40% - Accent6 16 3 4" xfId="9427" xr:uid="{00000000-0005-0000-0000-00003A1C0000}"/>
    <cellStyle name="40% - Accent6 16 4" xfId="5260" xr:uid="{00000000-0005-0000-0000-00003B1C0000}"/>
    <cellStyle name="40% - Accent6 16 5" xfId="7377" xr:uid="{00000000-0005-0000-0000-00003C1C0000}"/>
    <cellStyle name="40% - Accent6 16 6" xfId="9425" xr:uid="{00000000-0005-0000-0000-00003D1C0000}"/>
    <cellStyle name="40% - Accent6 17" xfId="2775" xr:uid="{00000000-0005-0000-0000-00003E1C0000}"/>
    <cellStyle name="40% - Accent6 17 2" xfId="2776" xr:uid="{00000000-0005-0000-0000-00003F1C0000}"/>
    <cellStyle name="40% - Accent6 17 2 2" xfId="5264" xr:uid="{00000000-0005-0000-0000-0000401C0000}"/>
    <cellStyle name="40% - Accent6 17 2 3" xfId="7381" xr:uid="{00000000-0005-0000-0000-0000411C0000}"/>
    <cellStyle name="40% - Accent6 17 2 4" xfId="9429" xr:uid="{00000000-0005-0000-0000-0000421C0000}"/>
    <cellStyle name="40% - Accent6 17 3" xfId="2777" xr:uid="{00000000-0005-0000-0000-0000431C0000}"/>
    <cellStyle name="40% - Accent6 17 3 2" xfId="5265" xr:uid="{00000000-0005-0000-0000-0000441C0000}"/>
    <cellStyle name="40% - Accent6 17 3 3" xfId="7382" xr:uid="{00000000-0005-0000-0000-0000451C0000}"/>
    <cellStyle name="40% - Accent6 17 3 4" xfId="9430" xr:uid="{00000000-0005-0000-0000-0000461C0000}"/>
    <cellStyle name="40% - Accent6 17 4" xfId="5263" xr:uid="{00000000-0005-0000-0000-0000471C0000}"/>
    <cellStyle name="40% - Accent6 17 5" xfId="7380" xr:uid="{00000000-0005-0000-0000-0000481C0000}"/>
    <cellStyle name="40% - Accent6 17 6" xfId="9428" xr:uid="{00000000-0005-0000-0000-0000491C0000}"/>
    <cellStyle name="40% - Accent6 18" xfId="2778" xr:uid="{00000000-0005-0000-0000-00004A1C0000}"/>
    <cellStyle name="40% - Accent6 18 2" xfId="2779" xr:uid="{00000000-0005-0000-0000-00004B1C0000}"/>
    <cellStyle name="40% - Accent6 18 2 2" xfId="5267" xr:uid="{00000000-0005-0000-0000-00004C1C0000}"/>
    <cellStyle name="40% - Accent6 18 2 3" xfId="7384" xr:uid="{00000000-0005-0000-0000-00004D1C0000}"/>
    <cellStyle name="40% - Accent6 18 2 4" xfId="9432" xr:uid="{00000000-0005-0000-0000-00004E1C0000}"/>
    <cellStyle name="40% - Accent6 18 3" xfId="2780" xr:uid="{00000000-0005-0000-0000-00004F1C0000}"/>
    <cellStyle name="40% - Accent6 18 3 2" xfId="5268" xr:uid="{00000000-0005-0000-0000-0000501C0000}"/>
    <cellStyle name="40% - Accent6 18 3 3" xfId="7385" xr:uid="{00000000-0005-0000-0000-0000511C0000}"/>
    <cellStyle name="40% - Accent6 18 3 4" xfId="9433" xr:uid="{00000000-0005-0000-0000-0000521C0000}"/>
    <cellStyle name="40% - Accent6 18 4" xfId="5266" xr:uid="{00000000-0005-0000-0000-0000531C0000}"/>
    <cellStyle name="40% - Accent6 18 5" xfId="7383" xr:uid="{00000000-0005-0000-0000-0000541C0000}"/>
    <cellStyle name="40% - Accent6 18 6" xfId="9431" xr:uid="{00000000-0005-0000-0000-0000551C0000}"/>
    <cellStyle name="40% - Accent6 19" xfId="2781" xr:uid="{00000000-0005-0000-0000-0000561C0000}"/>
    <cellStyle name="40% - Accent6 19 2" xfId="2782" xr:uid="{00000000-0005-0000-0000-0000571C0000}"/>
    <cellStyle name="40% - Accent6 19 2 2" xfId="5270" xr:uid="{00000000-0005-0000-0000-0000581C0000}"/>
    <cellStyle name="40% - Accent6 19 2 3" xfId="7387" xr:uid="{00000000-0005-0000-0000-0000591C0000}"/>
    <cellStyle name="40% - Accent6 19 2 4" xfId="9435" xr:uid="{00000000-0005-0000-0000-00005A1C0000}"/>
    <cellStyle name="40% - Accent6 19 3" xfId="2783" xr:uid="{00000000-0005-0000-0000-00005B1C0000}"/>
    <cellStyle name="40% - Accent6 19 3 2" xfId="5271" xr:uid="{00000000-0005-0000-0000-00005C1C0000}"/>
    <cellStyle name="40% - Accent6 19 3 3" xfId="7388" xr:uid="{00000000-0005-0000-0000-00005D1C0000}"/>
    <cellStyle name="40% - Accent6 19 3 4" xfId="9436" xr:uid="{00000000-0005-0000-0000-00005E1C0000}"/>
    <cellStyle name="40% - Accent6 19 4" xfId="5269" xr:uid="{00000000-0005-0000-0000-00005F1C0000}"/>
    <cellStyle name="40% - Accent6 19 5" xfId="7386" xr:uid="{00000000-0005-0000-0000-0000601C0000}"/>
    <cellStyle name="40% - Accent6 19 6" xfId="9434" xr:uid="{00000000-0005-0000-0000-0000611C0000}"/>
    <cellStyle name="40% - Accent6 2" xfId="2784" xr:uid="{00000000-0005-0000-0000-0000621C0000}"/>
    <cellStyle name="40% - Accent6 2 2" xfId="2785" xr:uid="{00000000-0005-0000-0000-0000631C0000}"/>
    <cellStyle name="40% - Accent6 2 2 2" xfId="2786" xr:uid="{00000000-0005-0000-0000-0000641C0000}"/>
    <cellStyle name="40% - Accent6 2 2 2 2" xfId="5272" xr:uid="{00000000-0005-0000-0000-0000651C0000}"/>
    <cellStyle name="40% - Accent6 2 2 2 3" xfId="7389" xr:uid="{00000000-0005-0000-0000-0000661C0000}"/>
    <cellStyle name="40% - Accent6 2 2 2 4" xfId="9437" xr:uid="{00000000-0005-0000-0000-0000671C0000}"/>
    <cellStyle name="40% - Accent6 2 3" xfId="2787" xr:uid="{00000000-0005-0000-0000-0000681C0000}"/>
    <cellStyle name="40% - Accent6 2 3 2" xfId="5273" xr:uid="{00000000-0005-0000-0000-0000691C0000}"/>
    <cellStyle name="40% - Accent6 2 3 3" xfId="7390" xr:uid="{00000000-0005-0000-0000-00006A1C0000}"/>
    <cellStyle name="40% - Accent6 2 3 4" xfId="9438" xr:uid="{00000000-0005-0000-0000-00006B1C0000}"/>
    <cellStyle name="40% - Accent6 2 4" xfId="2788" xr:uid="{00000000-0005-0000-0000-00006C1C0000}"/>
    <cellStyle name="40% - Accent6 2 4 2" xfId="5274" xr:uid="{00000000-0005-0000-0000-00006D1C0000}"/>
    <cellStyle name="40% - Accent6 2 4 3" xfId="7391" xr:uid="{00000000-0005-0000-0000-00006E1C0000}"/>
    <cellStyle name="40% - Accent6 2 4 4" xfId="9439" xr:uid="{00000000-0005-0000-0000-00006F1C0000}"/>
    <cellStyle name="40% - Accent6 2 5" xfId="2789" xr:uid="{00000000-0005-0000-0000-0000701C0000}"/>
    <cellStyle name="40% - Accent6 2 5 2" xfId="5275" xr:uid="{00000000-0005-0000-0000-0000711C0000}"/>
    <cellStyle name="40% - Accent6 2 5 3" xfId="7392" xr:uid="{00000000-0005-0000-0000-0000721C0000}"/>
    <cellStyle name="40% - Accent6 2 5 4" xfId="9440" xr:uid="{00000000-0005-0000-0000-0000731C0000}"/>
    <cellStyle name="40% - Accent6 2 6" xfId="2790" xr:uid="{00000000-0005-0000-0000-0000741C0000}"/>
    <cellStyle name="40% - Accent6 2 6 2" xfId="5276" xr:uid="{00000000-0005-0000-0000-0000751C0000}"/>
    <cellStyle name="40% - Accent6 2 6 3" xfId="7393" xr:uid="{00000000-0005-0000-0000-0000761C0000}"/>
    <cellStyle name="40% - Accent6 2 6 4" xfId="9441" xr:uid="{00000000-0005-0000-0000-0000771C0000}"/>
    <cellStyle name="40% - Accent6 2 7" xfId="2791" xr:uid="{00000000-0005-0000-0000-0000781C0000}"/>
    <cellStyle name="40% - Accent6 2 7 2" xfId="5277" xr:uid="{00000000-0005-0000-0000-0000791C0000}"/>
    <cellStyle name="40% - Accent6 2 7 3" xfId="7394" xr:uid="{00000000-0005-0000-0000-00007A1C0000}"/>
    <cellStyle name="40% - Accent6 2 7 4" xfId="9442" xr:uid="{00000000-0005-0000-0000-00007B1C0000}"/>
    <cellStyle name="40% - Accent6 2 8" xfId="2792" xr:uid="{00000000-0005-0000-0000-00007C1C0000}"/>
    <cellStyle name="40% - Accent6 2 8 2" xfId="5278" xr:uid="{00000000-0005-0000-0000-00007D1C0000}"/>
    <cellStyle name="40% - Accent6 2 8 3" xfId="7395" xr:uid="{00000000-0005-0000-0000-00007E1C0000}"/>
    <cellStyle name="40% - Accent6 2 8 4" xfId="9443" xr:uid="{00000000-0005-0000-0000-00007F1C0000}"/>
    <cellStyle name="40% - Accent6 2 9" xfId="2793" xr:uid="{00000000-0005-0000-0000-0000801C0000}"/>
    <cellStyle name="40% - Accent6 20" xfId="2794" xr:uid="{00000000-0005-0000-0000-0000811C0000}"/>
    <cellStyle name="40% - Accent6 20 2" xfId="2795" xr:uid="{00000000-0005-0000-0000-0000821C0000}"/>
    <cellStyle name="40% - Accent6 20 2 2" xfId="5280" xr:uid="{00000000-0005-0000-0000-0000831C0000}"/>
    <cellStyle name="40% - Accent6 20 2 3" xfId="7397" xr:uid="{00000000-0005-0000-0000-0000841C0000}"/>
    <cellStyle name="40% - Accent6 20 2 4" xfId="9445" xr:uid="{00000000-0005-0000-0000-0000851C0000}"/>
    <cellStyle name="40% - Accent6 20 3" xfId="2796" xr:uid="{00000000-0005-0000-0000-0000861C0000}"/>
    <cellStyle name="40% - Accent6 20 3 2" xfId="5281" xr:uid="{00000000-0005-0000-0000-0000871C0000}"/>
    <cellStyle name="40% - Accent6 20 3 3" xfId="7398" xr:uid="{00000000-0005-0000-0000-0000881C0000}"/>
    <cellStyle name="40% - Accent6 20 3 4" xfId="9446" xr:uid="{00000000-0005-0000-0000-0000891C0000}"/>
    <cellStyle name="40% - Accent6 20 4" xfId="5279" xr:uid="{00000000-0005-0000-0000-00008A1C0000}"/>
    <cellStyle name="40% - Accent6 20 5" xfId="7396" xr:uid="{00000000-0005-0000-0000-00008B1C0000}"/>
    <cellStyle name="40% - Accent6 20 6" xfId="9444" xr:uid="{00000000-0005-0000-0000-00008C1C0000}"/>
    <cellStyle name="40% - Accent6 21" xfId="2797" xr:uid="{00000000-0005-0000-0000-00008D1C0000}"/>
    <cellStyle name="40% - Accent6 21 2" xfId="2798" xr:uid="{00000000-0005-0000-0000-00008E1C0000}"/>
    <cellStyle name="40% - Accent6 21 2 2" xfId="5283" xr:uid="{00000000-0005-0000-0000-00008F1C0000}"/>
    <cellStyle name="40% - Accent6 21 2 3" xfId="7400" xr:uid="{00000000-0005-0000-0000-0000901C0000}"/>
    <cellStyle name="40% - Accent6 21 2 4" xfId="9448" xr:uid="{00000000-0005-0000-0000-0000911C0000}"/>
    <cellStyle name="40% - Accent6 21 3" xfId="2799" xr:uid="{00000000-0005-0000-0000-0000921C0000}"/>
    <cellStyle name="40% - Accent6 21 3 2" xfId="5284" xr:uid="{00000000-0005-0000-0000-0000931C0000}"/>
    <cellStyle name="40% - Accent6 21 3 3" xfId="7401" xr:uid="{00000000-0005-0000-0000-0000941C0000}"/>
    <cellStyle name="40% - Accent6 21 3 4" xfId="9449" xr:uid="{00000000-0005-0000-0000-0000951C0000}"/>
    <cellStyle name="40% - Accent6 21 4" xfId="5282" xr:uid="{00000000-0005-0000-0000-0000961C0000}"/>
    <cellStyle name="40% - Accent6 21 5" xfId="7399" xr:uid="{00000000-0005-0000-0000-0000971C0000}"/>
    <cellStyle name="40% - Accent6 21 6" xfId="9447" xr:uid="{00000000-0005-0000-0000-0000981C0000}"/>
    <cellStyle name="40% - Accent6 22" xfId="2800" xr:uid="{00000000-0005-0000-0000-0000991C0000}"/>
    <cellStyle name="40% - Accent6 22 2" xfId="2801" xr:uid="{00000000-0005-0000-0000-00009A1C0000}"/>
    <cellStyle name="40% - Accent6 22 2 2" xfId="5286" xr:uid="{00000000-0005-0000-0000-00009B1C0000}"/>
    <cellStyle name="40% - Accent6 22 2 3" xfId="7403" xr:uid="{00000000-0005-0000-0000-00009C1C0000}"/>
    <cellStyle name="40% - Accent6 22 2 4" xfId="9451" xr:uid="{00000000-0005-0000-0000-00009D1C0000}"/>
    <cellStyle name="40% - Accent6 22 3" xfId="2802" xr:uid="{00000000-0005-0000-0000-00009E1C0000}"/>
    <cellStyle name="40% - Accent6 22 3 2" xfId="5287" xr:uid="{00000000-0005-0000-0000-00009F1C0000}"/>
    <cellStyle name="40% - Accent6 22 3 3" xfId="7404" xr:uid="{00000000-0005-0000-0000-0000A01C0000}"/>
    <cellStyle name="40% - Accent6 22 3 4" xfId="9452" xr:uid="{00000000-0005-0000-0000-0000A11C0000}"/>
    <cellStyle name="40% - Accent6 22 4" xfId="5285" xr:uid="{00000000-0005-0000-0000-0000A21C0000}"/>
    <cellStyle name="40% - Accent6 22 5" xfId="7402" xr:uid="{00000000-0005-0000-0000-0000A31C0000}"/>
    <cellStyle name="40% - Accent6 22 6" xfId="9450" xr:uid="{00000000-0005-0000-0000-0000A41C0000}"/>
    <cellStyle name="40% - Accent6 23" xfId="2803" xr:uid="{00000000-0005-0000-0000-0000A51C0000}"/>
    <cellStyle name="40% - Accent6 23 2" xfId="2804" xr:uid="{00000000-0005-0000-0000-0000A61C0000}"/>
    <cellStyle name="40% - Accent6 23 2 2" xfId="5289" xr:uid="{00000000-0005-0000-0000-0000A71C0000}"/>
    <cellStyle name="40% - Accent6 23 2 3" xfId="7406" xr:uid="{00000000-0005-0000-0000-0000A81C0000}"/>
    <cellStyle name="40% - Accent6 23 2 4" xfId="9454" xr:uid="{00000000-0005-0000-0000-0000A91C0000}"/>
    <cellStyle name="40% - Accent6 23 3" xfId="5288" xr:uid="{00000000-0005-0000-0000-0000AA1C0000}"/>
    <cellStyle name="40% - Accent6 23 4" xfId="7405" xr:uid="{00000000-0005-0000-0000-0000AB1C0000}"/>
    <cellStyle name="40% - Accent6 23 5" xfId="9453" xr:uid="{00000000-0005-0000-0000-0000AC1C0000}"/>
    <cellStyle name="40% - Accent6 24" xfId="2805" xr:uid="{00000000-0005-0000-0000-0000AD1C0000}"/>
    <cellStyle name="40% - Accent6 24 2" xfId="2806" xr:uid="{00000000-0005-0000-0000-0000AE1C0000}"/>
    <cellStyle name="40% - Accent6 24 2 2" xfId="5291" xr:uid="{00000000-0005-0000-0000-0000AF1C0000}"/>
    <cellStyle name="40% - Accent6 24 2 3" xfId="7408" xr:uid="{00000000-0005-0000-0000-0000B01C0000}"/>
    <cellStyle name="40% - Accent6 24 2 4" xfId="9456" xr:uid="{00000000-0005-0000-0000-0000B11C0000}"/>
    <cellStyle name="40% - Accent6 24 3" xfId="5290" xr:uid="{00000000-0005-0000-0000-0000B21C0000}"/>
    <cellStyle name="40% - Accent6 24 4" xfId="7407" xr:uid="{00000000-0005-0000-0000-0000B31C0000}"/>
    <cellStyle name="40% - Accent6 24 5" xfId="9455" xr:uid="{00000000-0005-0000-0000-0000B41C0000}"/>
    <cellStyle name="40% - Accent6 25" xfId="2807" xr:uid="{00000000-0005-0000-0000-0000B51C0000}"/>
    <cellStyle name="40% - Accent6 25 2" xfId="2808" xr:uid="{00000000-0005-0000-0000-0000B61C0000}"/>
    <cellStyle name="40% - Accent6 25 2 2" xfId="5293" xr:uid="{00000000-0005-0000-0000-0000B71C0000}"/>
    <cellStyle name="40% - Accent6 25 2 3" xfId="7410" xr:uid="{00000000-0005-0000-0000-0000B81C0000}"/>
    <cellStyle name="40% - Accent6 25 2 4" xfId="9458" xr:uid="{00000000-0005-0000-0000-0000B91C0000}"/>
    <cellStyle name="40% - Accent6 25 3" xfId="5292" xr:uid="{00000000-0005-0000-0000-0000BA1C0000}"/>
    <cellStyle name="40% - Accent6 25 4" xfId="7409" xr:uid="{00000000-0005-0000-0000-0000BB1C0000}"/>
    <cellStyle name="40% - Accent6 25 5" xfId="9457" xr:uid="{00000000-0005-0000-0000-0000BC1C0000}"/>
    <cellStyle name="40% - Accent6 26" xfId="2809" xr:uid="{00000000-0005-0000-0000-0000BD1C0000}"/>
    <cellStyle name="40% - Accent6 26 2" xfId="2810" xr:uid="{00000000-0005-0000-0000-0000BE1C0000}"/>
    <cellStyle name="40% - Accent6 26 2 2" xfId="5295" xr:uid="{00000000-0005-0000-0000-0000BF1C0000}"/>
    <cellStyle name="40% - Accent6 26 2 3" xfId="7412" xr:uid="{00000000-0005-0000-0000-0000C01C0000}"/>
    <cellStyle name="40% - Accent6 26 2 4" xfId="9460" xr:uid="{00000000-0005-0000-0000-0000C11C0000}"/>
    <cellStyle name="40% - Accent6 26 3" xfId="5294" xr:uid="{00000000-0005-0000-0000-0000C21C0000}"/>
    <cellStyle name="40% - Accent6 26 4" xfId="7411" xr:uid="{00000000-0005-0000-0000-0000C31C0000}"/>
    <cellStyle name="40% - Accent6 26 5" xfId="9459" xr:uid="{00000000-0005-0000-0000-0000C41C0000}"/>
    <cellStyle name="40% - Accent6 27" xfId="2811" xr:uid="{00000000-0005-0000-0000-0000C51C0000}"/>
    <cellStyle name="40% - Accent6 27 2" xfId="2812" xr:uid="{00000000-0005-0000-0000-0000C61C0000}"/>
    <cellStyle name="40% - Accent6 27 2 2" xfId="5297" xr:uid="{00000000-0005-0000-0000-0000C71C0000}"/>
    <cellStyle name="40% - Accent6 27 2 3" xfId="7414" xr:uid="{00000000-0005-0000-0000-0000C81C0000}"/>
    <cellStyle name="40% - Accent6 27 2 4" xfId="9462" xr:uid="{00000000-0005-0000-0000-0000C91C0000}"/>
    <cellStyle name="40% - Accent6 27 3" xfId="5296" xr:uid="{00000000-0005-0000-0000-0000CA1C0000}"/>
    <cellStyle name="40% - Accent6 27 4" xfId="7413" xr:uid="{00000000-0005-0000-0000-0000CB1C0000}"/>
    <cellStyle name="40% - Accent6 27 5" xfId="9461" xr:uid="{00000000-0005-0000-0000-0000CC1C0000}"/>
    <cellStyle name="40% - Accent6 28" xfId="2813" xr:uid="{00000000-0005-0000-0000-0000CD1C0000}"/>
    <cellStyle name="40% - Accent6 28 2" xfId="2814" xr:uid="{00000000-0005-0000-0000-0000CE1C0000}"/>
    <cellStyle name="40% - Accent6 28 2 2" xfId="5299" xr:uid="{00000000-0005-0000-0000-0000CF1C0000}"/>
    <cellStyle name="40% - Accent6 28 2 3" xfId="7416" xr:uid="{00000000-0005-0000-0000-0000D01C0000}"/>
    <cellStyle name="40% - Accent6 28 2 4" xfId="9464" xr:uid="{00000000-0005-0000-0000-0000D11C0000}"/>
    <cellStyle name="40% - Accent6 28 3" xfId="5298" xr:uid="{00000000-0005-0000-0000-0000D21C0000}"/>
    <cellStyle name="40% - Accent6 28 4" xfId="7415" xr:uid="{00000000-0005-0000-0000-0000D31C0000}"/>
    <cellStyle name="40% - Accent6 28 5" xfId="9463" xr:uid="{00000000-0005-0000-0000-0000D41C0000}"/>
    <cellStyle name="40% - Accent6 29" xfId="2815" xr:uid="{00000000-0005-0000-0000-0000D51C0000}"/>
    <cellStyle name="40% - Accent6 29 2" xfId="2816" xr:uid="{00000000-0005-0000-0000-0000D61C0000}"/>
    <cellStyle name="40% - Accent6 29 2 2" xfId="5301" xr:uid="{00000000-0005-0000-0000-0000D71C0000}"/>
    <cellStyle name="40% - Accent6 29 2 3" xfId="7418" xr:uid="{00000000-0005-0000-0000-0000D81C0000}"/>
    <cellStyle name="40% - Accent6 29 2 4" xfId="9466" xr:uid="{00000000-0005-0000-0000-0000D91C0000}"/>
    <cellStyle name="40% - Accent6 29 3" xfId="5300" xr:uid="{00000000-0005-0000-0000-0000DA1C0000}"/>
    <cellStyle name="40% - Accent6 29 4" xfId="7417" xr:uid="{00000000-0005-0000-0000-0000DB1C0000}"/>
    <cellStyle name="40% - Accent6 29 5" xfId="9465" xr:uid="{00000000-0005-0000-0000-0000DC1C0000}"/>
    <cellStyle name="40% - Accent6 3" xfId="2817" xr:uid="{00000000-0005-0000-0000-0000DD1C0000}"/>
    <cellStyle name="40% - Accent6 3 2" xfId="2818" xr:uid="{00000000-0005-0000-0000-0000DE1C0000}"/>
    <cellStyle name="40% - Accent6 3 2 2" xfId="5302" xr:uid="{00000000-0005-0000-0000-0000DF1C0000}"/>
    <cellStyle name="40% - Accent6 3 2 3" xfId="7419" xr:uid="{00000000-0005-0000-0000-0000E01C0000}"/>
    <cellStyle name="40% - Accent6 3 2 4" xfId="9467" xr:uid="{00000000-0005-0000-0000-0000E11C0000}"/>
    <cellStyle name="40% - Accent6 3 3" xfId="2819" xr:uid="{00000000-0005-0000-0000-0000E21C0000}"/>
    <cellStyle name="40% - Accent6 3 3 2" xfId="5303" xr:uid="{00000000-0005-0000-0000-0000E31C0000}"/>
    <cellStyle name="40% - Accent6 3 3 3" xfId="7420" xr:uid="{00000000-0005-0000-0000-0000E41C0000}"/>
    <cellStyle name="40% - Accent6 3 3 4" xfId="9468" xr:uid="{00000000-0005-0000-0000-0000E51C0000}"/>
    <cellStyle name="40% - Accent6 3 4" xfId="2820" xr:uid="{00000000-0005-0000-0000-0000E61C0000}"/>
    <cellStyle name="40% - Accent6 3 4 2" xfId="5304" xr:uid="{00000000-0005-0000-0000-0000E71C0000}"/>
    <cellStyle name="40% - Accent6 3 4 3" xfId="7421" xr:uid="{00000000-0005-0000-0000-0000E81C0000}"/>
    <cellStyle name="40% - Accent6 3 4 4" xfId="9469" xr:uid="{00000000-0005-0000-0000-0000E91C0000}"/>
    <cellStyle name="40% - Accent6 3 5" xfId="2821" xr:uid="{00000000-0005-0000-0000-0000EA1C0000}"/>
    <cellStyle name="40% - Accent6 3 5 2" xfId="5305" xr:uid="{00000000-0005-0000-0000-0000EB1C0000}"/>
    <cellStyle name="40% - Accent6 3 5 3" xfId="7422" xr:uid="{00000000-0005-0000-0000-0000EC1C0000}"/>
    <cellStyle name="40% - Accent6 3 5 4" xfId="9470" xr:uid="{00000000-0005-0000-0000-0000ED1C0000}"/>
    <cellStyle name="40% - Accent6 3 6" xfId="2822" xr:uid="{00000000-0005-0000-0000-0000EE1C0000}"/>
    <cellStyle name="40% - Accent6 3 6 2" xfId="5306" xr:uid="{00000000-0005-0000-0000-0000EF1C0000}"/>
    <cellStyle name="40% - Accent6 3 6 3" xfId="7423" xr:uid="{00000000-0005-0000-0000-0000F01C0000}"/>
    <cellStyle name="40% - Accent6 3 6 4" xfId="9471" xr:uid="{00000000-0005-0000-0000-0000F11C0000}"/>
    <cellStyle name="40% - Accent6 3 7" xfId="2823" xr:uid="{00000000-0005-0000-0000-0000F21C0000}"/>
    <cellStyle name="40% - Accent6 3 7 2" xfId="5307" xr:uid="{00000000-0005-0000-0000-0000F31C0000}"/>
    <cellStyle name="40% - Accent6 3 7 3" xfId="7424" xr:uid="{00000000-0005-0000-0000-0000F41C0000}"/>
    <cellStyle name="40% - Accent6 3 7 4" xfId="9472" xr:uid="{00000000-0005-0000-0000-0000F51C0000}"/>
    <cellStyle name="40% - Accent6 30" xfId="2824" xr:uid="{00000000-0005-0000-0000-0000F61C0000}"/>
    <cellStyle name="40% - Accent6 30 2" xfId="2825" xr:uid="{00000000-0005-0000-0000-0000F71C0000}"/>
    <cellStyle name="40% - Accent6 30 2 2" xfId="5309" xr:uid="{00000000-0005-0000-0000-0000F81C0000}"/>
    <cellStyle name="40% - Accent6 30 2 3" xfId="7426" xr:uid="{00000000-0005-0000-0000-0000F91C0000}"/>
    <cellStyle name="40% - Accent6 30 2 4" xfId="9474" xr:uid="{00000000-0005-0000-0000-0000FA1C0000}"/>
    <cellStyle name="40% - Accent6 30 3" xfId="5308" xr:uid="{00000000-0005-0000-0000-0000FB1C0000}"/>
    <cellStyle name="40% - Accent6 30 4" xfId="7425" xr:uid="{00000000-0005-0000-0000-0000FC1C0000}"/>
    <cellStyle name="40% - Accent6 30 5" xfId="9473" xr:uid="{00000000-0005-0000-0000-0000FD1C0000}"/>
    <cellStyle name="40% - Accent6 31" xfId="2826" xr:uid="{00000000-0005-0000-0000-0000FE1C0000}"/>
    <cellStyle name="40% - Accent6 31 2" xfId="2827" xr:uid="{00000000-0005-0000-0000-0000FF1C0000}"/>
    <cellStyle name="40% - Accent6 31 2 2" xfId="5311" xr:uid="{00000000-0005-0000-0000-0000001D0000}"/>
    <cellStyle name="40% - Accent6 31 2 3" xfId="7428" xr:uid="{00000000-0005-0000-0000-0000011D0000}"/>
    <cellStyle name="40% - Accent6 31 2 4" xfId="9476" xr:uid="{00000000-0005-0000-0000-0000021D0000}"/>
    <cellStyle name="40% - Accent6 31 3" xfId="5310" xr:uid="{00000000-0005-0000-0000-0000031D0000}"/>
    <cellStyle name="40% - Accent6 31 4" xfId="7427" xr:uid="{00000000-0005-0000-0000-0000041D0000}"/>
    <cellStyle name="40% - Accent6 31 5" xfId="9475" xr:uid="{00000000-0005-0000-0000-0000051D0000}"/>
    <cellStyle name="40% - Accent6 32" xfId="2828" xr:uid="{00000000-0005-0000-0000-0000061D0000}"/>
    <cellStyle name="40% - Accent6 32 2" xfId="2829" xr:uid="{00000000-0005-0000-0000-0000071D0000}"/>
    <cellStyle name="40% - Accent6 32 2 2" xfId="5313" xr:uid="{00000000-0005-0000-0000-0000081D0000}"/>
    <cellStyle name="40% - Accent6 32 2 3" xfId="7430" xr:uid="{00000000-0005-0000-0000-0000091D0000}"/>
    <cellStyle name="40% - Accent6 32 2 4" xfId="9478" xr:uid="{00000000-0005-0000-0000-00000A1D0000}"/>
    <cellStyle name="40% - Accent6 32 3" xfId="5312" xr:uid="{00000000-0005-0000-0000-00000B1D0000}"/>
    <cellStyle name="40% - Accent6 32 4" xfId="7429" xr:uid="{00000000-0005-0000-0000-00000C1D0000}"/>
    <cellStyle name="40% - Accent6 32 5" xfId="9477" xr:uid="{00000000-0005-0000-0000-00000D1D0000}"/>
    <cellStyle name="40% - Accent6 33" xfId="2830" xr:uid="{00000000-0005-0000-0000-00000E1D0000}"/>
    <cellStyle name="40% - Accent6 33 2" xfId="5314" xr:uid="{00000000-0005-0000-0000-00000F1D0000}"/>
    <cellStyle name="40% - Accent6 33 3" xfId="7431" xr:uid="{00000000-0005-0000-0000-0000101D0000}"/>
    <cellStyle name="40% - Accent6 33 4" xfId="9479" xr:uid="{00000000-0005-0000-0000-0000111D0000}"/>
    <cellStyle name="40% - Accent6 34" xfId="2831" xr:uid="{00000000-0005-0000-0000-0000121D0000}"/>
    <cellStyle name="40% - Accent6 34 2" xfId="5315" xr:uid="{00000000-0005-0000-0000-0000131D0000}"/>
    <cellStyle name="40% - Accent6 34 3" xfId="7432" xr:uid="{00000000-0005-0000-0000-0000141D0000}"/>
    <cellStyle name="40% - Accent6 34 4" xfId="9480" xr:uid="{00000000-0005-0000-0000-0000151D0000}"/>
    <cellStyle name="40% - Accent6 35" xfId="2832" xr:uid="{00000000-0005-0000-0000-0000161D0000}"/>
    <cellStyle name="40% - Accent6 35 2" xfId="5316" xr:uid="{00000000-0005-0000-0000-0000171D0000}"/>
    <cellStyle name="40% - Accent6 35 3" xfId="7433" xr:uid="{00000000-0005-0000-0000-0000181D0000}"/>
    <cellStyle name="40% - Accent6 35 4" xfId="9481" xr:uid="{00000000-0005-0000-0000-0000191D0000}"/>
    <cellStyle name="40% - Accent6 36" xfId="2833" xr:uid="{00000000-0005-0000-0000-00001A1D0000}"/>
    <cellStyle name="40% - Accent6 36 2" xfId="5317" xr:uid="{00000000-0005-0000-0000-00001B1D0000}"/>
    <cellStyle name="40% - Accent6 36 3" xfId="7434" xr:uid="{00000000-0005-0000-0000-00001C1D0000}"/>
    <cellStyle name="40% - Accent6 36 4" xfId="9482" xr:uid="{00000000-0005-0000-0000-00001D1D0000}"/>
    <cellStyle name="40% - Accent6 37" xfId="2834" xr:uid="{00000000-0005-0000-0000-00001E1D0000}"/>
    <cellStyle name="40% - Accent6 37 2" xfId="5318" xr:uid="{00000000-0005-0000-0000-00001F1D0000}"/>
    <cellStyle name="40% - Accent6 37 3" xfId="7435" xr:uid="{00000000-0005-0000-0000-0000201D0000}"/>
    <cellStyle name="40% - Accent6 37 4" xfId="9483" xr:uid="{00000000-0005-0000-0000-0000211D0000}"/>
    <cellStyle name="40% - Accent6 38" xfId="2835" xr:uid="{00000000-0005-0000-0000-0000221D0000}"/>
    <cellStyle name="40% - Accent6 38 2" xfId="5319" xr:uid="{00000000-0005-0000-0000-0000231D0000}"/>
    <cellStyle name="40% - Accent6 38 3" xfId="7436" xr:uid="{00000000-0005-0000-0000-0000241D0000}"/>
    <cellStyle name="40% - Accent6 38 4" xfId="9484" xr:uid="{00000000-0005-0000-0000-0000251D0000}"/>
    <cellStyle name="40% - Accent6 39" xfId="2836" xr:uid="{00000000-0005-0000-0000-0000261D0000}"/>
    <cellStyle name="40% - Accent6 39 2" xfId="5320" xr:uid="{00000000-0005-0000-0000-0000271D0000}"/>
    <cellStyle name="40% - Accent6 39 3" xfId="7437" xr:uid="{00000000-0005-0000-0000-0000281D0000}"/>
    <cellStyle name="40% - Accent6 39 4" xfId="9485" xr:uid="{00000000-0005-0000-0000-0000291D0000}"/>
    <cellStyle name="40% - Accent6 4" xfId="2837" xr:uid="{00000000-0005-0000-0000-00002A1D0000}"/>
    <cellStyle name="40% - Accent6 4 2" xfId="2838" xr:uid="{00000000-0005-0000-0000-00002B1D0000}"/>
    <cellStyle name="40% - Accent6 4 2 2" xfId="5321" xr:uid="{00000000-0005-0000-0000-00002C1D0000}"/>
    <cellStyle name="40% - Accent6 4 2 3" xfId="7438" xr:uid="{00000000-0005-0000-0000-00002D1D0000}"/>
    <cellStyle name="40% - Accent6 4 2 4" xfId="9486" xr:uid="{00000000-0005-0000-0000-00002E1D0000}"/>
    <cellStyle name="40% - Accent6 4 3" xfId="2839" xr:uid="{00000000-0005-0000-0000-00002F1D0000}"/>
    <cellStyle name="40% - Accent6 4 3 2" xfId="5322" xr:uid="{00000000-0005-0000-0000-0000301D0000}"/>
    <cellStyle name="40% - Accent6 4 3 3" xfId="7439" xr:uid="{00000000-0005-0000-0000-0000311D0000}"/>
    <cellStyle name="40% - Accent6 4 3 4" xfId="9487" xr:uid="{00000000-0005-0000-0000-0000321D0000}"/>
    <cellStyle name="40% - Accent6 4 4" xfId="2840" xr:uid="{00000000-0005-0000-0000-0000331D0000}"/>
    <cellStyle name="40% - Accent6 4 4 2" xfId="5323" xr:uid="{00000000-0005-0000-0000-0000341D0000}"/>
    <cellStyle name="40% - Accent6 4 4 3" xfId="7440" xr:uid="{00000000-0005-0000-0000-0000351D0000}"/>
    <cellStyle name="40% - Accent6 4 4 4" xfId="9488" xr:uid="{00000000-0005-0000-0000-0000361D0000}"/>
    <cellStyle name="40% - Accent6 4 5" xfId="2841" xr:uid="{00000000-0005-0000-0000-0000371D0000}"/>
    <cellStyle name="40% - Accent6 4 5 2" xfId="5324" xr:uid="{00000000-0005-0000-0000-0000381D0000}"/>
    <cellStyle name="40% - Accent6 4 5 3" xfId="7441" xr:uid="{00000000-0005-0000-0000-0000391D0000}"/>
    <cellStyle name="40% - Accent6 4 5 4" xfId="9489" xr:uid="{00000000-0005-0000-0000-00003A1D0000}"/>
    <cellStyle name="40% - Accent6 4 6" xfId="2842" xr:uid="{00000000-0005-0000-0000-00003B1D0000}"/>
    <cellStyle name="40% - Accent6 4 6 2" xfId="5325" xr:uid="{00000000-0005-0000-0000-00003C1D0000}"/>
    <cellStyle name="40% - Accent6 4 6 3" xfId="7442" xr:uid="{00000000-0005-0000-0000-00003D1D0000}"/>
    <cellStyle name="40% - Accent6 4 6 4" xfId="9490" xr:uid="{00000000-0005-0000-0000-00003E1D0000}"/>
    <cellStyle name="40% - Accent6 4 7" xfId="2843" xr:uid="{00000000-0005-0000-0000-00003F1D0000}"/>
    <cellStyle name="40% - Accent6 4 7 2" xfId="5326" xr:uid="{00000000-0005-0000-0000-0000401D0000}"/>
    <cellStyle name="40% - Accent6 4 7 3" xfId="7443" xr:uid="{00000000-0005-0000-0000-0000411D0000}"/>
    <cellStyle name="40% - Accent6 4 7 4" xfId="9491" xr:uid="{00000000-0005-0000-0000-0000421D0000}"/>
    <cellStyle name="40% - Accent6 40" xfId="2844" xr:uid="{00000000-0005-0000-0000-0000431D0000}"/>
    <cellStyle name="40% - Accent6 40 2" xfId="5327" xr:uid="{00000000-0005-0000-0000-0000441D0000}"/>
    <cellStyle name="40% - Accent6 40 3" xfId="7444" xr:uid="{00000000-0005-0000-0000-0000451D0000}"/>
    <cellStyle name="40% - Accent6 40 4" xfId="9492" xr:uid="{00000000-0005-0000-0000-0000461D0000}"/>
    <cellStyle name="40% - Accent6 41" xfId="2845" xr:uid="{00000000-0005-0000-0000-0000471D0000}"/>
    <cellStyle name="40% - Accent6 41 2" xfId="5328" xr:uid="{00000000-0005-0000-0000-0000481D0000}"/>
    <cellStyle name="40% - Accent6 41 3" xfId="7445" xr:uid="{00000000-0005-0000-0000-0000491D0000}"/>
    <cellStyle name="40% - Accent6 41 4" xfId="9493" xr:uid="{00000000-0005-0000-0000-00004A1D0000}"/>
    <cellStyle name="40% - Accent6 42" xfId="2846" xr:uid="{00000000-0005-0000-0000-00004B1D0000}"/>
    <cellStyle name="40% - Accent6 42 2" xfId="5329" xr:uid="{00000000-0005-0000-0000-00004C1D0000}"/>
    <cellStyle name="40% - Accent6 42 3" xfId="7446" xr:uid="{00000000-0005-0000-0000-00004D1D0000}"/>
    <cellStyle name="40% - Accent6 42 4" xfId="9494" xr:uid="{00000000-0005-0000-0000-00004E1D0000}"/>
    <cellStyle name="40% - Accent6 43" xfId="2847" xr:uid="{00000000-0005-0000-0000-00004F1D0000}"/>
    <cellStyle name="40% - Accent6 43 2" xfId="5330" xr:uid="{00000000-0005-0000-0000-0000501D0000}"/>
    <cellStyle name="40% - Accent6 43 3" xfId="7447" xr:uid="{00000000-0005-0000-0000-0000511D0000}"/>
    <cellStyle name="40% - Accent6 43 4" xfId="9495" xr:uid="{00000000-0005-0000-0000-0000521D0000}"/>
    <cellStyle name="40% - Accent6 44" xfId="2848" xr:uid="{00000000-0005-0000-0000-0000531D0000}"/>
    <cellStyle name="40% - Accent6 44 2" xfId="5331" xr:uid="{00000000-0005-0000-0000-0000541D0000}"/>
    <cellStyle name="40% - Accent6 44 3" xfId="7448" xr:uid="{00000000-0005-0000-0000-0000551D0000}"/>
    <cellStyle name="40% - Accent6 44 4" xfId="9496" xr:uid="{00000000-0005-0000-0000-0000561D0000}"/>
    <cellStyle name="40% - Accent6 45" xfId="2849" xr:uid="{00000000-0005-0000-0000-0000571D0000}"/>
    <cellStyle name="40% - Accent6 45 2" xfId="5332" xr:uid="{00000000-0005-0000-0000-0000581D0000}"/>
    <cellStyle name="40% - Accent6 45 3" xfId="7449" xr:uid="{00000000-0005-0000-0000-0000591D0000}"/>
    <cellStyle name="40% - Accent6 45 4" xfId="9497" xr:uid="{00000000-0005-0000-0000-00005A1D0000}"/>
    <cellStyle name="40% - Accent6 46" xfId="2850" xr:uid="{00000000-0005-0000-0000-00005B1D0000}"/>
    <cellStyle name="40% - Accent6 46 2" xfId="5333" xr:uid="{00000000-0005-0000-0000-00005C1D0000}"/>
    <cellStyle name="40% - Accent6 46 3" xfId="7450" xr:uid="{00000000-0005-0000-0000-00005D1D0000}"/>
    <cellStyle name="40% - Accent6 46 4" xfId="9498" xr:uid="{00000000-0005-0000-0000-00005E1D0000}"/>
    <cellStyle name="40% - Accent6 47" xfId="2851" xr:uid="{00000000-0005-0000-0000-00005F1D0000}"/>
    <cellStyle name="40% - Accent6 47 2" xfId="5334" xr:uid="{00000000-0005-0000-0000-0000601D0000}"/>
    <cellStyle name="40% - Accent6 47 3" xfId="7451" xr:uid="{00000000-0005-0000-0000-0000611D0000}"/>
    <cellStyle name="40% - Accent6 47 4" xfId="9499" xr:uid="{00000000-0005-0000-0000-0000621D0000}"/>
    <cellStyle name="40% - Accent6 48" xfId="2852" xr:uid="{00000000-0005-0000-0000-0000631D0000}"/>
    <cellStyle name="40% - Accent6 48 2" xfId="5335" xr:uid="{00000000-0005-0000-0000-0000641D0000}"/>
    <cellStyle name="40% - Accent6 48 3" xfId="7452" xr:uid="{00000000-0005-0000-0000-0000651D0000}"/>
    <cellStyle name="40% - Accent6 48 4" xfId="9500" xr:uid="{00000000-0005-0000-0000-0000661D0000}"/>
    <cellStyle name="40% - Accent6 49" xfId="2853" xr:uid="{00000000-0005-0000-0000-0000671D0000}"/>
    <cellStyle name="40% - Accent6 49 2" xfId="5336" xr:uid="{00000000-0005-0000-0000-0000681D0000}"/>
    <cellStyle name="40% - Accent6 49 3" xfId="7453" xr:uid="{00000000-0005-0000-0000-0000691D0000}"/>
    <cellStyle name="40% - Accent6 49 4" xfId="9501" xr:uid="{00000000-0005-0000-0000-00006A1D0000}"/>
    <cellStyle name="40% - Accent6 5" xfId="2854" xr:uid="{00000000-0005-0000-0000-00006B1D0000}"/>
    <cellStyle name="40% - Accent6 5 2" xfId="2855" xr:uid="{00000000-0005-0000-0000-00006C1D0000}"/>
    <cellStyle name="40% - Accent6 5 2 2" xfId="5337" xr:uid="{00000000-0005-0000-0000-00006D1D0000}"/>
    <cellStyle name="40% - Accent6 5 2 3" xfId="7454" xr:uid="{00000000-0005-0000-0000-00006E1D0000}"/>
    <cellStyle name="40% - Accent6 5 2 4" xfId="9502" xr:uid="{00000000-0005-0000-0000-00006F1D0000}"/>
    <cellStyle name="40% - Accent6 5 3" xfId="2856" xr:uid="{00000000-0005-0000-0000-0000701D0000}"/>
    <cellStyle name="40% - Accent6 5 3 2" xfId="5338" xr:uid="{00000000-0005-0000-0000-0000711D0000}"/>
    <cellStyle name="40% - Accent6 5 3 3" xfId="7455" xr:uid="{00000000-0005-0000-0000-0000721D0000}"/>
    <cellStyle name="40% - Accent6 5 3 4" xfId="9503" xr:uid="{00000000-0005-0000-0000-0000731D0000}"/>
    <cellStyle name="40% - Accent6 5 4" xfId="2857" xr:uid="{00000000-0005-0000-0000-0000741D0000}"/>
    <cellStyle name="40% - Accent6 5 4 2" xfId="5339" xr:uid="{00000000-0005-0000-0000-0000751D0000}"/>
    <cellStyle name="40% - Accent6 5 4 3" xfId="7456" xr:uid="{00000000-0005-0000-0000-0000761D0000}"/>
    <cellStyle name="40% - Accent6 5 4 4" xfId="9504" xr:uid="{00000000-0005-0000-0000-0000771D0000}"/>
    <cellStyle name="40% - Accent6 5 5" xfId="2858" xr:uid="{00000000-0005-0000-0000-0000781D0000}"/>
    <cellStyle name="40% - Accent6 5 5 2" xfId="5340" xr:uid="{00000000-0005-0000-0000-0000791D0000}"/>
    <cellStyle name="40% - Accent6 5 5 3" xfId="7457" xr:uid="{00000000-0005-0000-0000-00007A1D0000}"/>
    <cellStyle name="40% - Accent6 5 5 4" xfId="9505" xr:uid="{00000000-0005-0000-0000-00007B1D0000}"/>
    <cellStyle name="40% - Accent6 5 6" xfId="2859" xr:uid="{00000000-0005-0000-0000-00007C1D0000}"/>
    <cellStyle name="40% - Accent6 5 6 2" xfId="5341" xr:uid="{00000000-0005-0000-0000-00007D1D0000}"/>
    <cellStyle name="40% - Accent6 5 6 3" xfId="7458" xr:uid="{00000000-0005-0000-0000-00007E1D0000}"/>
    <cellStyle name="40% - Accent6 5 6 4" xfId="9506" xr:uid="{00000000-0005-0000-0000-00007F1D0000}"/>
    <cellStyle name="40% - Accent6 5 7" xfId="2860" xr:uid="{00000000-0005-0000-0000-0000801D0000}"/>
    <cellStyle name="40% - Accent6 5 7 2" xfId="5342" xr:uid="{00000000-0005-0000-0000-0000811D0000}"/>
    <cellStyle name="40% - Accent6 5 7 3" xfId="7459" xr:uid="{00000000-0005-0000-0000-0000821D0000}"/>
    <cellStyle name="40% - Accent6 5 7 4" xfId="9507" xr:uid="{00000000-0005-0000-0000-0000831D0000}"/>
    <cellStyle name="40% - Accent6 50" xfId="2861" xr:uid="{00000000-0005-0000-0000-0000841D0000}"/>
    <cellStyle name="40% - Accent6 50 2" xfId="5343" xr:uid="{00000000-0005-0000-0000-0000851D0000}"/>
    <cellStyle name="40% - Accent6 50 3" xfId="7460" xr:uid="{00000000-0005-0000-0000-0000861D0000}"/>
    <cellStyle name="40% - Accent6 50 4" xfId="9508" xr:uid="{00000000-0005-0000-0000-0000871D0000}"/>
    <cellStyle name="40% - Accent6 6" xfId="2862" xr:uid="{00000000-0005-0000-0000-0000881D0000}"/>
    <cellStyle name="40% - Accent6 6 2" xfId="2863" xr:uid="{00000000-0005-0000-0000-0000891D0000}"/>
    <cellStyle name="40% - Accent6 6 2 2" xfId="5344" xr:uid="{00000000-0005-0000-0000-00008A1D0000}"/>
    <cellStyle name="40% - Accent6 6 2 3" xfId="7461" xr:uid="{00000000-0005-0000-0000-00008B1D0000}"/>
    <cellStyle name="40% - Accent6 6 2 4" xfId="9509" xr:uid="{00000000-0005-0000-0000-00008C1D0000}"/>
    <cellStyle name="40% - Accent6 6 3" xfId="2864" xr:uid="{00000000-0005-0000-0000-00008D1D0000}"/>
    <cellStyle name="40% - Accent6 6 3 2" xfId="5345" xr:uid="{00000000-0005-0000-0000-00008E1D0000}"/>
    <cellStyle name="40% - Accent6 6 3 3" xfId="7462" xr:uid="{00000000-0005-0000-0000-00008F1D0000}"/>
    <cellStyle name="40% - Accent6 6 3 4" xfId="9510" xr:uid="{00000000-0005-0000-0000-0000901D0000}"/>
    <cellStyle name="40% - Accent6 6 4" xfId="2865" xr:uid="{00000000-0005-0000-0000-0000911D0000}"/>
    <cellStyle name="40% - Accent6 6 4 2" xfId="5346" xr:uid="{00000000-0005-0000-0000-0000921D0000}"/>
    <cellStyle name="40% - Accent6 6 4 3" xfId="7463" xr:uid="{00000000-0005-0000-0000-0000931D0000}"/>
    <cellStyle name="40% - Accent6 6 4 4" xfId="9511" xr:uid="{00000000-0005-0000-0000-0000941D0000}"/>
    <cellStyle name="40% - Accent6 6 5" xfId="2866" xr:uid="{00000000-0005-0000-0000-0000951D0000}"/>
    <cellStyle name="40% - Accent6 6 5 2" xfId="5347" xr:uid="{00000000-0005-0000-0000-0000961D0000}"/>
    <cellStyle name="40% - Accent6 6 5 3" xfId="7464" xr:uid="{00000000-0005-0000-0000-0000971D0000}"/>
    <cellStyle name="40% - Accent6 6 5 4" xfId="9512" xr:uid="{00000000-0005-0000-0000-0000981D0000}"/>
    <cellStyle name="40% - Accent6 6 6" xfId="2867" xr:uid="{00000000-0005-0000-0000-0000991D0000}"/>
    <cellStyle name="40% - Accent6 6 6 2" xfId="5348" xr:uid="{00000000-0005-0000-0000-00009A1D0000}"/>
    <cellStyle name="40% - Accent6 6 6 3" xfId="7465" xr:uid="{00000000-0005-0000-0000-00009B1D0000}"/>
    <cellStyle name="40% - Accent6 6 6 4" xfId="9513" xr:uid="{00000000-0005-0000-0000-00009C1D0000}"/>
    <cellStyle name="40% - Accent6 6 7" xfId="2868" xr:uid="{00000000-0005-0000-0000-00009D1D0000}"/>
    <cellStyle name="40% - Accent6 6 7 2" xfId="5349" xr:uid="{00000000-0005-0000-0000-00009E1D0000}"/>
    <cellStyle name="40% - Accent6 6 7 3" xfId="7466" xr:uid="{00000000-0005-0000-0000-00009F1D0000}"/>
    <cellStyle name="40% - Accent6 6 7 4" xfId="9514" xr:uid="{00000000-0005-0000-0000-0000A01D0000}"/>
    <cellStyle name="40% - Accent6 7" xfId="2869" xr:uid="{00000000-0005-0000-0000-0000A11D0000}"/>
    <cellStyle name="40% - Accent6 7 10" xfId="9515" xr:uid="{00000000-0005-0000-0000-0000A21D0000}"/>
    <cellStyle name="40% - Accent6 7 2" xfId="2870" xr:uid="{00000000-0005-0000-0000-0000A31D0000}"/>
    <cellStyle name="40% - Accent6 7 2 2" xfId="5351" xr:uid="{00000000-0005-0000-0000-0000A41D0000}"/>
    <cellStyle name="40% - Accent6 7 2 3" xfId="7468" xr:uid="{00000000-0005-0000-0000-0000A51D0000}"/>
    <cellStyle name="40% - Accent6 7 2 4" xfId="9516" xr:uid="{00000000-0005-0000-0000-0000A61D0000}"/>
    <cellStyle name="40% - Accent6 7 3" xfId="2871" xr:uid="{00000000-0005-0000-0000-0000A71D0000}"/>
    <cellStyle name="40% - Accent6 7 3 2" xfId="5352" xr:uid="{00000000-0005-0000-0000-0000A81D0000}"/>
    <cellStyle name="40% - Accent6 7 3 3" xfId="7469" xr:uid="{00000000-0005-0000-0000-0000A91D0000}"/>
    <cellStyle name="40% - Accent6 7 3 4" xfId="9517" xr:uid="{00000000-0005-0000-0000-0000AA1D0000}"/>
    <cellStyle name="40% - Accent6 7 4" xfId="2872" xr:uid="{00000000-0005-0000-0000-0000AB1D0000}"/>
    <cellStyle name="40% - Accent6 7 4 2" xfId="5353" xr:uid="{00000000-0005-0000-0000-0000AC1D0000}"/>
    <cellStyle name="40% - Accent6 7 4 3" xfId="7470" xr:uid="{00000000-0005-0000-0000-0000AD1D0000}"/>
    <cellStyle name="40% - Accent6 7 4 4" xfId="9518" xr:uid="{00000000-0005-0000-0000-0000AE1D0000}"/>
    <cellStyle name="40% - Accent6 7 5" xfId="2873" xr:uid="{00000000-0005-0000-0000-0000AF1D0000}"/>
    <cellStyle name="40% - Accent6 7 5 2" xfId="5354" xr:uid="{00000000-0005-0000-0000-0000B01D0000}"/>
    <cellStyle name="40% - Accent6 7 5 3" xfId="7471" xr:uid="{00000000-0005-0000-0000-0000B11D0000}"/>
    <cellStyle name="40% - Accent6 7 5 4" xfId="9519" xr:uid="{00000000-0005-0000-0000-0000B21D0000}"/>
    <cellStyle name="40% - Accent6 7 6" xfId="2874" xr:uid="{00000000-0005-0000-0000-0000B31D0000}"/>
    <cellStyle name="40% - Accent6 7 6 2" xfId="5355" xr:uid="{00000000-0005-0000-0000-0000B41D0000}"/>
    <cellStyle name="40% - Accent6 7 6 3" xfId="7472" xr:uid="{00000000-0005-0000-0000-0000B51D0000}"/>
    <cellStyle name="40% - Accent6 7 6 4" xfId="9520" xr:uid="{00000000-0005-0000-0000-0000B61D0000}"/>
    <cellStyle name="40% - Accent6 7 7" xfId="2875" xr:uid="{00000000-0005-0000-0000-0000B71D0000}"/>
    <cellStyle name="40% - Accent6 7 7 2" xfId="5356" xr:uid="{00000000-0005-0000-0000-0000B81D0000}"/>
    <cellStyle name="40% - Accent6 7 7 3" xfId="7473" xr:uid="{00000000-0005-0000-0000-0000B91D0000}"/>
    <cellStyle name="40% - Accent6 7 7 4" xfId="9521" xr:uid="{00000000-0005-0000-0000-0000BA1D0000}"/>
    <cellStyle name="40% - Accent6 7 8" xfId="5350" xr:uid="{00000000-0005-0000-0000-0000BB1D0000}"/>
    <cellStyle name="40% - Accent6 7 9" xfId="7467" xr:uid="{00000000-0005-0000-0000-0000BC1D0000}"/>
    <cellStyle name="40% - Accent6 8" xfId="2876" xr:uid="{00000000-0005-0000-0000-0000BD1D0000}"/>
    <cellStyle name="40% - Accent6 8 10" xfId="9522" xr:uid="{00000000-0005-0000-0000-0000BE1D0000}"/>
    <cellStyle name="40% - Accent6 8 2" xfId="2877" xr:uid="{00000000-0005-0000-0000-0000BF1D0000}"/>
    <cellStyle name="40% - Accent6 8 2 2" xfId="5358" xr:uid="{00000000-0005-0000-0000-0000C01D0000}"/>
    <cellStyle name="40% - Accent6 8 2 3" xfId="7475" xr:uid="{00000000-0005-0000-0000-0000C11D0000}"/>
    <cellStyle name="40% - Accent6 8 2 4" xfId="9523" xr:uid="{00000000-0005-0000-0000-0000C21D0000}"/>
    <cellStyle name="40% - Accent6 8 3" xfId="2878" xr:uid="{00000000-0005-0000-0000-0000C31D0000}"/>
    <cellStyle name="40% - Accent6 8 3 2" xfId="5359" xr:uid="{00000000-0005-0000-0000-0000C41D0000}"/>
    <cellStyle name="40% - Accent6 8 3 3" xfId="7476" xr:uid="{00000000-0005-0000-0000-0000C51D0000}"/>
    <cellStyle name="40% - Accent6 8 3 4" xfId="9524" xr:uid="{00000000-0005-0000-0000-0000C61D0000}"/>
    <cellStyle name="40% - Accent6 8 4" xfId="2879" xr:uid="{00000000-0005-0000-0000-0000C71D0000}"/>
    <cellStyle name="40% - Accent6 8 4 2" xfId="5360" xr:uid="{00000000-0005-0000-0000-0000C81D0000}"/>
    <cellStyle name="40% - Accent6 8 4 3" xfId="7477" xr:uid="{00000000-0005-0000-0000-0000C91D0000}"/>
    <cellStyle name="40% - Accent6 8 4 4" xfId="9525" xr:uid="{00000000-0005-0000-0000-0000CA1D0000}"/>
    <cellStyle name="40% - Accent6 8 5" xfId="2880" xr:uid="{00000000-0005-0000-0000-0000CB1D0000}"/>
    <cellStyle name="40% - Accent6 8 5 2" xfId="5361" xr:uid="{00000000-0005-0000-0000-0000CC1D0000}"/>
    <cellStyle name="40% - Accent6 8 5 3" xfId="7478" xr:uid="{00000000-0005-0000-0000-0000CD1D0000}"/>
    <cellStyle name="40% - Accent6 8 5 4" xfId="9526" xr:uid="{00000000-0005-0000-0000-0000CE1D0000}"/>
    <cellStyle name="40% - Accent6 8 6" xfId="2881" xr:uid="{00000000-0005-0000-0000-0000CF1D0000}"/>
    <cellStyle name="40% - Accent6 8 6 2" xfId="5362" xr:uid="{00000000-0005-0000-0000-0000D01D0000}"/>
    <cellStyle name="40% - Accent6 8 6 3" xfId="7479" xr:uid="{00000000-0005-0000-0000-0000D11D0000}"/>
    <cellStyle name="40% - Accent6 8 6 4" xfId="9527" xr:uid="{00000000-0005-0000-0000-0000D21D0000}"/>
    <cellStyle name="40% - Accent6 8 7" xfId="2882" xr:uid="{00000000-0005-0000-0000-0000D31D0000}"/>
    <cellStyle name="40% - Accent6 8 7 2" xfId="5363" xr:uid="{00000000-0005-0000-0000-0000D41D0000}"/>
    <cellStyle name="40% - Accent6 8 7 3" xfId="7480" xr:uid="{00000000-0005-0000-0000-0000D51D0000}"/>
    <cellStyle name="40% - Accent6 8 7 4" xfId="9528" xr:uid="{00000000-0005-0000-0000-0000D61D0000}"/>
    <cellStyle name="40% - Accent6 8 8" xfId="5357" xr:uid="{00000000-0005-0000-0000-0000D71D0000}"/>
    <cellStyle name="40% - Accent6 8 9" xfId="7474" xr:uid="{00000000-0005-0000-0000-0000D81D0000}"/>
    <cellStyle name="40% - Accent6 9" xfId="2883" xr:uid="{00000000-0005-0000-0000-0000D91D0000}"/>
    <cellStyle name="40% - Accent6 9 10" xfId="9529" xr:uid="{00000000-0005-0000-0000-0000DA1D0000}"/>
    <cellStyle name="40% - Accent6 9 2" xfId="2884" xr:uid="{00000000-0005-0000-0000-0000DB1D0000}"/>
    <cellStyle name="40% - Accent6 9 2 2" xfId="5365" xr:uid="{00000000-0005-0000-0000-0000DC1D0000}"/>
    <cellStyle name="40% - Accent6 9 2 3" xfId="7482" xr:uid="{00000000-0005-0000-0000-0000DD1D0000}"/>
    <cellStyle name="40% - Accent6 9 2 4" xfId="9530" xr:uid="{00000000-0005-0000-0000-0000DE1D0000}"/>
    <cellStyle name="40% - Accent6 9 3" xfId="2885" xr:uid="{00000000-0005-0000-0000-0000DF1D0000}"/>
    <cellStyle name="40% - Accent6 9 3 2" xfId="5366" xr:uid="{00000000-0005-0000-0000-0000E01D0000}"/>
    <cellStyle name="40% - Accent6 9 3 3" xfId="7483" xr:uid="{00000000-0005-0000-0000-0000E11D0000}"/>
    <cellStyle name="40% - Accent6 9 3 4" xfId="9531" xr:uid="{00000000-0005-0000-0000-0000E21D0000}"/>
    <cellStyle name="40% - Accent6 9 4" xfId="2886" xr:uid="{00000000-0005-0000-0000-0000E31D0000}"/>
    <cellStyle name="40% - Accent6 9 4 2" xfId="5367" xr:uid="{00000000-0005-0000-0000-0000E41D0000}"/>
    <cellStyle name="40% - Accent6 9 4 3" xfId="7484" xr:uid="{00000000-0005-0000-0000-0000E51D0000}"/>
    <cellStyle name="40% - Accent6 9 4 4" xfId="9532" xr:uid="{00000000-0005-0000-0000-0000E61D0000}"/>
    <cellStyle name="40% - Accent6 9 5" xfId="2887" xr:uid="{00000000-0005-0000-0000-0000E71D0000}"/>
    <cellStyle name="40% - Accent6 9 5 2" xfId="5368" xr:uid="{00000000-0005-0000-0000-0000E81D0000}"/>
    <cellStyle name="40% - Accent6 9 5 3" xfId="7485" xr:uid="{00000000-0005-0000-0000-0000E91D0000}"/>
    <cellStyle name="40% - Accent6 9 5 4" xfId="9533" xr:uid="{00000000-0005-0000-0000-0000EA1D0000}"/>
    <cellStyle name="40% - Accent6 9 6" xfId="2888" xr:uid="{00000000-0005-0000-0000-0000EB1D0000}"/>
    <cellStyle name="40% - Accent6 9 6 2" xfId="5369" xr:uid="{00000000-0005-0000-0000-0000EC1D0000}"/>
    <cellStyle name="40% - Accent6 9 6 3" xfId="7486" xr:uid="{00000000-0005-0000-0000-0000ED1D0000}"/>
    <cellStyle name="40% - Accent6 9 6 4" xfId="9534" xr:uid="{00000000-0005-0000-0000-0000EE1D0000}"/>
    <cellStyle name="40% - Accent6 9 7" xfId="2889" xr:uid="{00000000-0005-0000-0000-0000EF1D0000}"/>
    <cellStyle name="40% - Accent6 9 7 2" xfId="5370" xr:uid="{00000000-0005-0000-0000-0000F01D0000}"/>
    <cellStyle name="40% - Accent6 9 7 3" xfId="7487" xr:uid="{00000000-0005-0000-0000-0000F11D0000}"/>
    <cellStyle name="40% - Accent6 9 7 4" xfId="9535" xr:uid="{00000000-0005-0000-0000-0000F21D0000}"/>
    <cellStyle name="40% - Accent6 9 8" xfId="5364" xr:uid="{00000000-0005-0000-0000-0000F31D0000}"/>
    <cellStyle name="40% - Accent6 9 9" xfId="7481" xr:uid="{00000000-0005-0000-0000-0000F41D0000}"/>
    <cellStyle name="40% - ส่วนที่ถูกเน้น1" xfId="2890" xr:uid="{00000000-0005-0000-0000-0000F51D0000}"/>
    <cellStyle name="40% - ส่วนที่ถูกเน้น1 2" xfId="2891" xr:uid="{00000000-0005-0000-0000-0000F61D0000}"/>
    <cellStyle name="40% - ส่วนที่ถูกเน้น2" xfId="2892" xr:uid="{00000000-0005-0000-0000-0000F71D0000}"/>
    <cellStyle name="40% - ส่วนที่ถูกเน้น2 2" xfId="2893" xr:uid="{00000000-0005-0000-0000-0000F81D0000}"/>
    <cellStyle name="40% - ส่วนที่ถูกเน้น3" xfId="2894" xr:uid="{00000000-0005-0000-0000-0000F91D0000}"/>
    <cellStyle name="40% - ส่วนที่ถูกเน้น3 2" xfId="2895" xr:uid="{00000000-0005-0000-0000-0000FA1D0000}"/>
    <cellStyle name="40% - ส่วนที่ถูกเน้น4" xfId="2896" xr:uid="{00000000-0005-0000-0000-0000FB1D0000}"/>
    <cellStyle name="40% - ส่วนที่ถูกเน้น4 2" xfId="2897" xr:uid="{00000000-0005-0000-0000-0000FC1D0000}"/>
    <cellStyle name="40% - ส่วนที่ถูกเน้น5" xfId="2898" xr:uid="{00000000-0005-0000-0000-0000FD1D0000}"/>
    <cellStyle name="40% - ส่วนที่ถูกเน้น5 2" xfId="2899" xr:uid="{00000000-0005-0000-0000-0000FE1D0000}"/>
    <cellStyle name="40% - ส่วนที่ถูกเน้น6" xfId="2900" xr:uid="{00000000-0005-0000-0000-0000FF1D0000}"/>
    <cellStyle name="40% - ส่วนที่ถูกเน้น6 2" xfId="2901" xr:uid="{00000000-0005-0000-0000-0000001E0000}"/>
    <cellStyle name="60% - Accent1 2" xfId="2902" xr:uid="{00000000-0005-0000-0000-0000011E0000}"/>
    <cellStyle name="60% - Accent1 2 2" xfId="2903" xr:uid="{00000000-0005-0000-0000-0000021E0000}"/>
    <cellStyle name="60% - Accent1 3" xfId="2904" xr:uid="{00000000-0005-0000-0000-0000031E0000}"/>
    <cellStyle name="60% - Accent1 4" xfId="2905" xr:uid="{00000000-0005-0000-0000-0000041E0000}"/>
    <cellStyle name="60% - Accent1 5" xfId="2906" xr:uid="{00000000-0005-0000-0000-0000051E0000}"/>
    <cellStyle name="60% - Accent1 6" xfId="2907" xr:uid="{00000000-0005-0000-0000-0000061E0000}"/>
    <cellStyle name="60% - Accent2 2" xfId="2908" xr:uid="{00000000-0005-0000-0000-0000071E0000}"/>
    <cellStyle name="60% - Accent2 2 2" xfId="2909" xr:uid="{00000000-0005-0000-0000-0000081E0000}"/>
    <cellStyle name="60% - Accent2 3" xfId="2910" xr:uid="{00000000-0005-0000-0000-0000091E0000}"/>
    <cellStyle name="60% - Accent2 4" xfId="2911" xr:uid="{00000000-0005-0000-0000-00000A1E0000}"/>
    <cellStyle name="60% - Accent2 5" xfId="2912" xr:uid="{00000000-0005-0000-0000-00000B1E0000}"/>
    <cellStyle name="60% - Accent2 6" xfId="2913" xr:uid="{00000000-0005-0000-0000-00000C1E0000}"/>
    <cellStyle name="60% - Accent3 2" xfId="2914" xr:uid="{00000000-0005-0000-0000-00000D1E0000}"/>
    <cellStyle name="60% - Accent3 2 2" xfId="2915" xr:uid="{00000000-0005-0000-0000-00000E1E0000}"/>
    <cellStyle name="60% - Accent3 3" xfId="2916" xr:uid="{00000000-0005-0000-0000-00000F1E0000}"/>
    <cellStyle name="60% - Accent3 4" xfId="2917" xr:uid="{00000000-0005-0000-0000-0000101E0000}"/>
    <cellStyle name="60% - Accent3 5" xfId="2918" xr:uid="{00000000-0005-0000-0000-0000111E0000}"/>
    <cellStyle name="60% - Accent3 6" xfId="2919" xr:uid="{00000000-0005-0000-0000-0000121E0000}"/>
    <cellStyle name="60% - Accent4 2" xfId="2920" xr:uid="{00000000-0005-0000-0000-0000131E0000}"/>
    <cellStyle name="60% - Accent4 2 2" xfId="2921" xr:uid="{00000000-0005-0000-0000-0000141E0000}"/>
    <cellStyle name="60% - Accent4 3" xfId="2922" xr:uid="{00000000-0005-0000-0000-0000151E0000}"/>
    <cellStyle name="60% - Accent4 4" xfId="2923" xr:uid="{00000000-0005-0000-0000-0000161E0000}"/>
    <cellStyle name="60% - Accent4 5" xfId="2924" xr:uid="{00000000-0005-0000-0000-0000171E0000}"/>
    <cellStyle name="60% - Accent4 6" xfId="2925" xr:uid="{00000000-0005-0000-0000-0000181E0000}"/>
    <cellStyle name="60% - Accent5 2" xfId="2926" xr:uid="{00000000-0005-0000-0000-0000191E0000}"/>
    <cellStyle name="60% - Accent5 2 2" xfId="2927" xr:uid="{00000000-0005-0000-0000-00001A1E0000}"/>
    <cellStyle name="60% - Accent5 3" xfId="2928" xr:uid="{00000000-0005-0000-0000-00001B1E0000}"/>
    <cellStyle name="60% - Accent5 4" xfId="2929" xr:uid="{00000000-0005-0000-0000-00001C1E0000}"/>
    <cellStyle name="60% - Accent5 5" xfId="2930" xr:uid="{00000000-0005-0000-0000-00001D1E0000}"/>
    <cellStyle name="60% - Accent5 6" xfId="2931" xr:uid="{00000000-0005-0000-0000-00001E1E0000}"/>
    <cellStyle name="60% - Accent6 2" xfId="2932" xr:uid="{00000000-0005-0000-0000-00001F1E0000}"/>
    <cellStyle name="60% - Accent6 2 2" xfId="2933" xr:uid="{00000000-0005-0000-0000-0000201E0000}"/>
    <cellStyle name="60% - Accent6 3" xfId="2934" xr:uid="{00000000-0005-0000-0000-0000211E0000}"/>
    <cellStyle name="60% - Accent6 4" xfId="2935" xr:uid="{00000000-0005-0000-0000-0000221E0000}"/>
    <cellStyle name="60% - Accent6 5" xfId="2936" xr:uid="{00000000-0005-0000-0000-0000231E0000}"/>
    <cellStyle name="60% - Accent6 6" xfId="2937" xr:uid="{00000000-0005-0000-0000-0000241E0000}"/>
    <cellStyle name="60% - ส่วนที่ถูกเน้น1" xfId="2938" xr:uid="{00000000-0005-0000-0000-0000251E0000}"/>
    <cellStyle name="60% - ส่วนที่ถูกเน้น1 2" xfId="2939" xr:uid="{00000000-0005-0000-0000-0000261E0000}"/>
    <cellStyle name="60% - ส่วนที่ถูกเน้น2" xfId="2940" xr:uid="{00000000-0005-0000-0000-0000271E0000}"/>
    <cellStyle name="60% - ส่วนที่ถูกเน้น2 2" xfId="2941" xr:uid="{00000000-0005-0000-0000-0000281E0000}"/>
    <cellStyle name="60% - ส่วนที่ถูกเน้น3" xfId="2942" xr:uid="{00000000-0005-0000-0000-0000291E0000}"/>
    <cellStyle name="60% - ส่วนที่ถูกเน้น3 2" xfId="2943" xr:uid="{00000000-0005-0000-0000-00002A1E0000}"/>
    <cellStyle name="60% - ส่วนที่ถูกเน้น4" xfId="2944" xr:uid="{00000000-0005-0000-0000-00002B1E0000}"/>
    <cellStyle name="60% - ส่วนที่ถูกเน้น4 2" xfId="2945" xr:uid="{00000000-0005-0000-0000-00002C1E0000}"/>
    <cellStyle name="60% - ส่วนที่ถูกเน้น5" xfId="2946" xr:uid="{00000000-0005-0000-0000-00002D1E0000}"/>
    <cellStyle name="60% - ส่วนที่ถูกเน้น5 2" xfId="2947" xr:uid="{00000000-0005-0000-0000-00002E1E0000}"/>
    <cellStyle name="60% - ส่วนที่ถูกเน้น6" xfId="2948" xr:uid="{00000000-0005-0000-0000-00002F1E0000}"/>
    <cellStyle name="60% - ส่วนที่ถูกเน้น6 2" xfId="2949" xr:uid="{00000000-0005-0000-0000-0000301E0000}"/>
    <cellStyle name="75" xfId="1" xr:uid="{00000000-0005-0000-0000-0000311E0000}"/>
    <cellStyle name="75 2" xfId="2950" xr:uid="{00000000-0005-0000-0000-0000321E0000}"/>
    <cellStyle name="Accent1 2" xfId="2951" xr:uid="{00000000-0005-0000-0000-0000331E0000}"/>
    <cellStyle name="Accent1 2 2" xfId="2952" xr:uid="{00000000-0005-0000-0000-0000341E0000}"/>
    <cellStyle name="Accent1 3" xfId="2953" xr:uid="{00000000-0005-0000-0000-0000351E0000}"/>
    <cellStyle name="Accent1 4" xfId="2954" xr:uid="{00000000-0005-0000-0000-0000361E0000}"/>
    <cellStyle name="Accent1 5" xfId="2955" xr:uid="{00000000-0005-0000-0000-0000371E0000}"/>
    <cellStyle name="Accent1 6" xfId="2956" xr:uid="{00000000-0005-0000-0000-0000381E0000}"/>
    <cellStyle name="Accent2 2" xfId="2957" xr:uid="{00000000-0005-0000-0000-0000391E0000}"/>
    <cellStyle name="Accent2 2 2" xfId="2958" xr:uid="{00000000-0005-0000-0000-00003A1E0000}"/>
    <cellStyle name="Accent2 3" xfId="2959" xr:uid="{00000000-0005-0000-0000-00003B1E0000}"/>
    <cellStyle name="Accent2 4" xfId="2960" xr:uid="{00000000-0005-0000-0000-00003C1E0000}"/>
    <cellStyle name="Accent2 5" xfId="2961" xr:uid="{00000000-0005-0000-0000-00003D1E0000}"/>
    <cellStyle name="Accent2 6" xfId="2962" xr:uid="{00000000-0005-0000-0000-00003E1E0000}"/>
    <cellStyle name="Accent3 2" xfId="2963" xr:uid="{00000000-0005-0000-0000-00003F1E0000}"/>
    <cellStyle name="Accent3 2 2" xfId="2964" xr:uid="{00000000-0005-0000-0000-0000401E0000}"/>
    <cellStyle name="Accent3 3" xfId="2965" xr:uid="{00000000-0005-0000-0000-0000411E0000}"/>
    <cellStyle name="Accent3 4" xfId="2966" xr:uid="{00000000-0005-0000-0000-0000421E0000}"/>
    <cellStyle name="Accent3 5" xfId="2967" xr:uid="{00000000-0005-0000-0000-0000431E0000}"/>
    <cellStyle name="Accent3 6" xfId="2968" xr:uid="{00000000-0005-0000-0000-0000441E0000}"/>
    <cellStyle name="Accent4 2" xfId="2969" xr:uid="{00000000-0005-0000-0000-0000451E0000}"/>
    <cellStyle name="Accent4 2 2" xfId="2970" xr:uid="{00000000-0005-0000-0000-0000461E0000}"/>
    <cellStyle name="Accent4 3" xfId="2971" xr:uid="{00000000-0005-0000-0000-0000471E0000}"/>
    <cellStyle name="Accent4 4" xfId="2972" xr:uid="{00000000-0005-0000-0000-0000481E0000}"/>
    <cellStyle name="Accent4 5" xfId="2973" xr:uid="{00000000-0005-0000-0000-0000491E0000}"/>
    <cellStyle name="Accent4 6" xfId="2974" xr:uid="{00000000-0005-0000-0000-00004A1E0000}"/>
    <cellStyle name="Accent5 2" xfId="2975" xr:uid="{00000000-0005-0000-0000-00004B1E0000}"/>
    <cellStyle name="Accent5 2 2" xfId="2976" xr:uid="{00000000-0005-0000-0000-00004C1E0000}"/>
    <cellStyle name="Accent5 3" xfId="2977" xr:uid="{00000000-0005-0000-0000-00004D1E0000}"/>
    <cellStyle name="Accent5 4" xfId="2978" xr:uid="{00000000-0005-0000-0000-00004E1E0000}"/>
    <cellStyle name="Accent5 5" xfId="2979" xr:uid="{00000000-0005-0000-0000-00004F1E0000}"/>
    <cellStyle name="Accent5 6" xfId="2980" xr:uid="{00000000-0005-0000-0000-0000501E0000}"/>
    <cellStyle name="Accent6 2" xfId="2981" xr:uid="{00000000-0005-0000-0000-0000511E0000}"/>
    <cellStyle name="Accent6 2 2" xfId="2982" xr:uid="{00000000-0005-0000-0000-0000521E0000}"/>
    <cellStyle name="Accent6 3" xfId="2983" xr:uid="{00000000-0005-0000-0000-0000531E0000}"/>
    <cellStyle name="Accent6 4" xfId="2984" xr:uid="{00000000-0005-0000-0000-0000541E0000}"/>
    <cellStyle name="Accent6 5" xfId="2985" xr:uid="{00000000-0005-0000-0000-0000551E0000}"/>
    <cellStyle name="Accent6 6" xfId="2986" xr:uid="{00000000-0005-0000-0000-0000561E0000}"/>
    <cellStyle name="ÅëÈ­ [0]_±âÅ¸" xfId="2987" xr:uid="{00000000-0005-0000-0000-0000571E0000}"/>
    <cellStyle name="ÅëÈ­_±âÅ¸" xfId="2988" xr:uid="{00000000-0005-0000-0000-0000581E0000}"/>
    <cellStyle name="ÄÞ¸¶ [0]_±âÅ¸" xfId="2989" xr:uid="{00000000-0005-0000-0000-0000591E0000}"/>
    <cellStyle name="ÄÞ¸¶_±âÅ¸" xfId="2990" xr:uid="{00000000-0005-0000-0000-00005A1E0000}"/>
    <cellStyle name="Bad 2" xfId="2991" xr:uid="{00000000-0005-0000-0000-00005B1E0000}"/>
    <cellStyle name="Bad 2 2" xfId="2992" xr:uid="{00000000-0005-0000-0000-00005C1E0000}"/>
    <cellStyle name="Bad 3" xfId="2993" xr:uid="{00000000-0005-0000-0000-00005D1E0000}"/>
    <cellStyle name="Bad 4" xfId="2994" xr:uid="{00000000-0005-0000-0000-00005E1E0000}"/>
    <cellStyle name="Bad 5" xfId="2995" xr:uid="{00000000-0005-0000-0000-00005F1E0000}"/>
    <cellStyle name="Bad 6" xfId="2996" xr:uid="{00000000-0005-0000-0000-0000601E0000}"/>
    <cellStyle name="Ç¥ÁØ_¿¬°£´©°è¿¹»ó" xfId="2997" xr:uid="{00000000-0005-0000-0000-0000611E0000}"/>
    <cellStyle name="Calculation 2" xfId="2998" xr:uid="{00000000-0005-0000-0000-0000621E0000}"/>
    <cellStyle name="Calculation 2 2" xfId="2999" xr:uid="{00000000-0005-0000-0000-0000631E0000}"/>
    <cellStyle name="Calculation 2 2 2" xfId="3624" xr:uid="{00000000-0005-0000-0000-0000641E0000}"/>
    <cellStyle name="Calculation 2 2 3" xfId="3654" xr:uid="{00000000-0005-0000-0000-0000651E0000}"/>
    <cellStyle name="Calculation 2 2 4" xfId="9931" xr:uid="{00000000-0005-0000-0000-0000661E0000}"/>
    <cellStyle name="Calculation 2 2 5" xfId="10024" xr:uid="{00000000-0005-0000-0000-0000671E0000}"/>
    <cellStyle name="Calculation 2 3" xfId="3623" xr:uid="{00000000-0005-0000-0000-0000681E0000}"/>
    <cellStyle name="Calculation 2 4" xfId="3653" xr:uid="{00000000-0005-0000-0000-0000691E0000}"/>
    <cellStyle name="Calculation 2 5" xfId="9930" xr:uid="{00000000-0005-0000-0000-00006A1E0000}"/>
    <cellStyle name="Calculation 2 6" xfId="10023" xr:uid="{00000000-0005-0000-0000-00006B1E0000}"/>
    <cellStyle name="Calculation 3" xfId="3000" xr:uid="{00000000-0005-0000-0000-00006C1E0000}"/>
    <cellStyle name="Calculation 3 2" xfId="3625" xr:uid="{00000000-0005-0000-0000-00006D1E0000}"/>
    <cellStyle name="Calculation 3 3" xfId="3655" xr:uid="{00000000-0005-0000-0000-00006E1E0000}"/>
    <cellStyle name="Calculation 3 4" xfId="9932" xr:uid="{00000000-0005-0000-0000-00006F1E0000}"/>
    <cellStyle name="Calculation 3 5" xfId="10025" xr:uid="{00000000-0005-0000-0000-0000701E0000}"/>
    <cellStyle name="Calculation 4" xfId="3001" xr:uid="{00000000-0005-0000-0000-0000711E0000}"/>
    <cellStyle name="Calculation 4 2" xfId="3626" xr:uid="{00000000-0005-0000-0000-0000721E0000}"/>
    <cellStyle name="Calculation 4 3" xfId="3656" xr:uid="{00000000-0005-0000-0000-0000731E0000}"/>
    <cellStyle name="Calculation 4 4" xfId="9933" xr:uid="{00000000-0005-0000-0000-0000741E0000}"/>
    <cellStyle name="Calculation 4 5" xfId="10026" xr:uid="{00000000-0005-0000-0000-0000751E0000}"/>
    <cellStyle name="Calculation 5" xfId="3002" xr:uid="{00000000-0005-0000-0000-0000761E0000}"/>
    <cellStyle name="Calculation 5 2" xfId="3627" xr:uid="{00000000-0005-0000-0000-0000771E0000}"/>
    <cellStyle name="Calculation 5 3" xfId="3657" xr:uid="{00000000-0005-0000-0000-0000781E0000}"/>
    <cellStyle name="Calculation 5 4" xfId="9934" xr:uid="{00000000-0005-0000-0000-0000791E0000}"/>
    <cellStyle name="Calculation 5 5" xfId="10027" xr:uid="{00000000-0005-0000-0000-00007A1E0000}"/>
    <cellStyle name="Calculation 6" xfId="3003" xr:uid="{00000000-0005-0000-0000-00007B1E0000}"/>
    <cellStyle name="Calculation 6 2" xfId="3628" xr:uid="{00000000-0005-0000-0000-00007C1E0000}"/>
    <cellStyle name="Calculation 6 3" xfId="3658" xr:uid="{00000000-0005-0000-0000-00007D1E0000}"/>
    <cellStyle name="Calculation 6 4" xfId="9935" xr:uid="{00000000-0005-0000-0000-00007E1E0000}"/>
    <cellStyle name="Calculation 6 5" xfId="10028" xr:uid="{00000000-0005-0000-0000-00007F1E0000}"/>
    <cellStyle name="Check Cell" xfId="3596" builtinId="23"/>
    <cellStyle name="Check Cell 2" xfId="3004" xr:uid="{00000000-0005-0000-0000-0000811E0000}"/>
    <cellStyle name="Check Cell 2 2" xfId="3005" xr:uid="{00000000-0005-0000-0000-0000821E0000}"/>
    <cellStyle name="Check Cell 3" xfId="3006" xr:uid="{00000000-0005-0000-0000-0000831E0000}"/>
    <cellStyle name="Check Cell 4" xfId="3007" xr:uid="{00000000-0005-0000-0000-0000841E0000}"/>
    <cellStyle name="Check Cell 5" xfId="3008" xr:uid="{00000000-0005-0000-0000-0000851E0000}"/>
    <cellStyle name="Check Cell 6" xfId="3009" xr:uid="{00000000-0005-0000-0000-0000861E0000}"/>
    <cellStyle name="Comma" xfId="2" builtinId="3"/>
    <cellStyle name="Comma [0]" xfId="25" builtinId="6"/>
    <cellStyle name="Comma [0] 2" xfId="260" xr:uid="{00000000-0005-0000-0000-0000891E0000}"/>
    <cellStyle name="Comma [0] 2 2" xfId="3011" xr:uid="{00000000-0005-0000-0000-00008A1E0000}"/>
    <cellStyle name="Comma [0] 2 2 2" xfId="5725" xr:uid="{00000000-0005-0000-0000-00008B1E0000}"/>
    <cellStyle name="Comma [0] 2 3" xfId="3010" xr:uid="{00000000-0005-0000-0000-00008C1E0000}"/>
    <cellStyle name="Comma [0] 2 3 2" xfId="5724" xr:uid="{00000000-0005-0000-0000-00008D1E0000}"/>
    <cellStyle name="Comma [0] 3" xfId="3012" xr:uid="{00000000-0005-0000-0000-00008E1E0000}"/>
    <cellStyle name="Comma [0] 3 2" xfId="5726" xr:uid="{00000000-0005-0000-0000-00008F1E0000}"/>
    <cellStyle name="Comma [0] 4" xfId="5723" xr:uid="{00000000-0005-0000-0000-0000901E0000}"/>
    <cellStyle name="Comma 10" xfId="57" xr:uid="{00000000-0005-0000-0000-0000911E0000}"/>
    <cellStyle name="Comma 10 2" xfId="173" xr:uid="{00000000-0005-0000-0000-0000921E0000}"/>
    <cellStyle name="Comma 10 2 2" xfId="5728" xr:uid="{00000000-0005-0000-0000-0000931E0000}"/>
    <cellStyle name="Comma 10 3" xfId="5727" xr:uid="{00000000-0005-0000-0000-0000941E0000}"/>
    <cellStyle name="Comma 100" xfId="10128" xr:uid="{00000000-0005-0000-0000-0000951E0000}"/>
    <cellStyle name="Comma 101" xfId="10131" xr:uid="{00000000-0005-0000-0000-0000961E0000}"/>
    <cellStyle name="Comma 102" xfId="10132" xr:uid="{00000000-0005-0000-0000-0000971E0000}"/>
    <cellStyle name="Comma 103" xfId="10137" xr:uid="{00000000-0005-0000-0000-0000981E0000}"/>
    <cellStyle name="Comma 104" xfId="10138" xr:uid="{00000000-0005-0000-0000-0000991E0000}"/>
    <cellStyle name="Comma 105" xfId="10140" xr:uid="{00000000-0005-0000-0000-00009A1E0000}"/>
    <cellStyle name="Comma 11" xfId="59" xr:uid="{00000000-0005-0000-0000-00009B1E0000}"/>
    <cellStyle name="Comma 11 2" xfId="175" xr:uid="{00000000-0005-0000-0000-00009C1E0000}"/>
    <cellStyle name="Comma 11 2 2" xfId="3013" xr:uid="{00000000-0005-0000-0000-00009D1E0000}"/>
    <cellStyle name="Comma 11 2 2 2" xfId="5730" xr:uid="{00000000-0005-0000-0000-00009E1E0000}"/>
    <cellStyle name="Comma 11 3" xfId="3014" xr:uid="{00000000-0005-0000-0000-00009F1E0000}"/>
    <cellStyle name="Comma 11 3 2" xfId="5731" xr:uid="{00000000-0005-0000-0000-0000A01E0000}"/>
    <cellStyle name="Comma 11 4" xfId="5729" xr:uid="{00000000-0005-0000-0000-0000A11E0000}"/>
    <cellStyle name="Comma 12" xfId="65" xr:uid="{00000000-0005-0000-0000-0000A21E0000}"/>
    <cellStyle name="Comma 12 2" xfId="177" xr:uid="{00000000-0005-0000-0000-0000A31E0000}"/>
    <cellStyle name="Comma 12 2 2" xfId="5732" xr:uid="{00000000-0005-0000-0000-0000A41E0000}"/>
    <cellStyle name="Comma 13" xfId="71" xr:uid="{00000000-0005-0000-0000-0000A51E0000}"/>
    <cellStyle name="Comma 13 2" xfId="182" xr:uid="{00000000-0005-0000-0000-0000A61E0000}"/>
    <cellStyle name="Comma 13 2 2" xfId="5734" xr:uid="{00000000-0005-0000-0000-0000A71E0000}"/>
    <cellStyle name="Comma 13 3" xfId="5733" xr:uid="{00000000-0005-0000-0000-0000A81E0000}"/>
    <cellStyle name="Comma 14" xfId="82" xr:uid="{00000000-0005-0000-0000-0000A91E0000}"/>
    <cellStyle name="Comma 14 2" xfId="193" xr:uid="{00000000-0005-0000-0000-0000AA1E0000}"/>
    <cellStyle name="Comma 14 2 2" xfId="5735" xr:uid="{00000000-0005-0000-0000-0000AB1E0000}"/>
    <cellStyle name="Comma 15" xfId="105" xr:uid="{00000000-0005-0000-0000-0000AC1E0000}"/>
    <cellStyle name="Comma 15 2" xfId="214" xr:uid="{00000000-0005-0000-0000-0000AD1E0000}"/>
    <cellStyle name="Comma 15 2 2" xfId="5737" xr:uid="{00000000-0005-0000-0000-0000AE1E0000}"/>
    <cellStyle name="Comma 15 3" xfId="5736" xr:uid="{00000000-0005-0000-0000-0000AF1E0000}"/>
    <cellStyle name="Comma 16" xfId="120" xr:uid="{00000000-0005-0000-0000-0000B01E0000}"/>
    <cellStyle name="Comma 16 2" xfId="227" xr:uid="{00000000-0005-0000-0000-0000B11E0000}"/>
    <cellStyle name="Comma 16 2 2" xfId="5738" xr:uid="{00000000-0005-0000-0000-0000B21E0000}"/>
    <cellStyle name="Comma 17" xfId="129" xr:uid="{00000000-0005-0000-0000-0000B31E0000}"/>
    <cellStyle name="Comma 17 2" xfId="236" xr:uid="{00000000-0005-0000-0000-0000B41E0000}"/>
    <cellStyle name="Comma 17 2 2" xfId="5739" xr:uid="{00000000-0005-0000-0000-0000B51E0000}"/>
    <cellStyle name="Comma 17 3" xfId="3015" xr:uid="{00000000-0005-0000-0000-0000B61E0000}"/>
    <cellStyle name="Comma 18" xfId="143" xr:uid="{00000000-0005-0000-0000-0000B71E0000}"/>
    <cellStyle name="Comma 18 2" xfId="3017" xr:uid="{00000000-0005-0000-0000-0000B81E0000}"/>
    <cellStyle name="Comma 18 2 2" xfId="5741" xr:uid="{00000000-0005-0000-0000-0000B91E0000}"/>
    <cellStyle name="Comma 18 2 2 2" xfId="7827" xr:uid="{00000000-0005-0000-0000-0000BA1E0000}"/>
    <cellStyle name="Comma 18 2 2 3" xfId="9914" xr:uid="{00000000-0005-0000-0000-0000BB1E0000}"/>
    <cellStyle name="Comma 18 2 3" xfId="5371" xr:uid="{00000000-0005-0000-0000-0000BC1E0000}"/>
    <cellStyle name="Comma 18 2 4" xfId="7488" xr:uid="{00000000-0005-0000-0000-0000BD1E0000}"/>
    <cellStyle name="Comma 18 2 5" xfId="9536" xr:uid="{00000000-0005-0000-0000-0000BE1E0000}"/>
    <cellStyle name="Comma 18 3" xfId="3016" xr:uid="{00000000-0005-0000-0000-0000BF1E0000}"/>
    <cellStyle name="Comma 18 3 2" xfId="5740" xr:uid="{00000000-0005-0000-0000-0000C01E0000}"/>
    <cellStyle name="Comma 19" xfId="148" xr:uid="{00000000-0005-0000-0000-0000C11E0000}"/>
    <cellStyle name="Comma 19 2" xfId="3019" xr:uid="{00000000-0005-0000-0000-0000C21E0000}"/>
    <cellStyle name="Comma 19 2 2" xfId="5743" xr:uid="{00000000-0005-0000-0000-0000C31E0000}"/>
    <cellStyle name="Comma 19 2 2 2" xfId="7828" xr:uid="{00000000-0005-0000-0000-0000C41E0000}"/>
    <cellStyle name="Comma 19 2 2 3" xfId="9915" xr:uid="{00000000-0005-0000-0000-0000C51E0000}"/>
    <cellStyle name="Comma 19 2 3" xfId="5372" xr:uid="{00000000-0005-0000-0000-0000C61E0000}"/>
    <cellStyle name="Comma 19 2 4" xfId="7489" xr:uid="{00000000-0005-0000-0000-0000C71E0000}"/>
    <cellStyle name="Comma 19 2 5" xfId="9537" xr:uid="{00000000-0005-0000-0000-0000C81E0000}"/>
    <cellStyle name="Comma 19 3" xfId="3018" xr:uid="{00000000-0005-0000-0000-0000C91E0000}"/>
    <cellStyle name="Comma 19 3 2" xfId="5742" xr:uid="{00000000-0005-0000-0000-0000CA1E0000}"/>
    <cellStyle name="Comma 2" xfId="3" xr:uid="{00000000-0005-0000-0000-0000CB1E0000}"/>
    <cellStyle name="Comma 2 2" xfId="39" xr:uid="{00000000-0005-0000-0000-0000CC1E0000}"/>
    <cellStyle name="Comma 2 2 2" xfId="92" xr:uid="{00000000-0005-0000-0000-0000CD1E0000}"/>
    <cellStyle name="Comma 2 2 2 2" xfId="5745" xr:uid="{00000000-0005-0000-0000-0000CE1E0000}"/>
    <cellStyle name="Comma 2 2 3" xfId="5744" xr:uid="{00000000-0005-0000-0000-0000CF1E0000}"/>
    <cellStyle name="Comma 2 3" xfId="44" xr:uid="{00000000-0005-0000-0000-0000D01E0000}"/>
    <cellStyle name="Comma 2 3 2" xfId="166" xr:uid="{00000000-0005-0000-0000-0000D11E0000}"/>
    <cellStyle name="Comma 2 3 2 2" xfId="5746" xr:uid="{00000000-0005-0000-0000-0000D21E0000}"/>
    <cellStyle name="Comma 2 4" xfId="49" xr:uid="{00000000-0005-0000-0000-0000D31E0000}"/>
    <cellStyle name="Comma 2 4 2" xfId="5747" xr:uid="{00000000-0005-0000-0000-0000D41E0000}"/>
    <cellStyle name="Comma 2 5" xfId="52" xr:uid="{00000000-0005-0000-0000-0000D51E0000}"/>
    <cellStyle name="Comma 2 5 2" xfId="170" xr:uid="{00000000-0005-0000-0000-0000D61E0000}"/>
    <cellStyle name="Comma 2 5 2 2" xfId="5748" xr:uid="{00000000-0005-0000-0000-0000D71E0000}"/>
    <cellStyle name="Comma 2 6" xfId="130" xr:uid="{00000000-0005-0000-0000-0000D81E0000}"/>
    <cellStyle name="Comma 2 6 2" xfId="237" xr:uid="{00000000-0005-0000-0000-0000D91E0000}"/>
    <cellStyle name="Comma 2 6 2 2" xfId="5749" xr:uid="{00000000-0005-0000-0000-0000DA1E0000}"/>
    <cellStyle name="Comma 2 7" xfId="251" xr:uid="{00000000-0005-0000-0000-0000DB1E0000}"/>
    <cellStyle name="Comma 2 8" xfId="273" xr:uid="{00000000-0005-0000-0000-0000DC1E0000}"/>
    <cellStyle name="Comma 2 9" xfId="284" xr:uid="{00000000-0005-0000-0000-0000DD1E0000}"/>
    <cellStyle name="Comma 20" xfId="254" xr:uid="{00000000-0005-0000-0000-0000DE1E0000}"/>
    <cellStyle name="Comma 20 2" xfId="3020" xr:uid="{00000000-0005-0000-0000-0000DF1E0000}"/>
    <cellStyle name="Comma 20 2 2" xfId="5750" xr:uid="{00000000-0005-0000-0000-0000E01E0000}"/>
    <cellStyle name="Comma 21" xfId="259" xr:uid="{00000000-0005-0000-0000-0000E11E0000}"/>
    <cellStyle name="Comma 21 2" xfId="3022" xr:uid="{00000000-0005-0000-0000-0000E21E0000}"/>
    <cellStyle name="Comma 21 2 2" xfId="5752" xr:uid="{00000000-0005-0000-0000-0000E31E0000}"/>
    <cellStyle name="Comma 21 3" xfId="3021" xr:uid="{00000000-0005-0000-0000-0000E41E0000}"/>
    <cellStyle name="Comma 21 3 2" xfId="5751" xr:uid="{00000000-0005-0000-0000-0000E51E0000}"/>
    <cellStyle name="Comma 22" xfId="261" xr:uid="{00000000-0005-0000-0000-0000E61E0000}"/>
    <cellStyle name="Comma 22 2" xfId="3024" xr:uid="{00000000-0005-0000-0000-0000E71E0000}"/>
    <cellStyle name="Comma 22 2 2" xfId="5754" xr:uid="{00000000-0005-0000-0000-0000E81E0000}"/>
    <cellStyle name="Comma 22 3" xfId="3023" xr:uid="{00000000-0005-0000-0000-0000E91E0000}"/>
    <cellStyle name="Comma 22 3 2" xfId="5753" xr:uid="{00000000-0005-0000-0000-0000EA1E0000}"/>
    <cellStyle name="Comma 23" xfId="263" xr:uid="{00000000-0005-0000-0000-0000EB1E0000}"/>
    <cellStyle name="Comma 23 2" xfId="3026" xr:uid="{00000000-0005-0000-0000-0000EC1E0000}"/>
    <cellStyle name="Comma 23 2 2" xfId="5756" xr:uid="{00000000-0005-0000-0000-0000ED1E0000}"/>
    <cellStyle name="Comma 23 3" xfId="3025" xr:uid="{00000000-0005-0000-0000-0000EE1E0000}"/>
    <cellStyle name="Comma 23 3 2" xfId="5755" xr:uid="{00000000-0005-0000-0000-0000EF1E0000}"/>
    <cellStyle name="Comma 24" xfId="264" xr:uid="{00000000-0005-0000-0000-0000F01E0000}"/>
    <cellStyle name="Comma 24 2" xfId="3027" xr:uid="{00000000-0005-0000-0000-0000F11E0000}"/>
    <cellStyle name="Comma 24 2 2" xfId="5757" xr:uid="{00000000-0005-0000-0000-0000F21E0000}"/>
    <cellStyle name="Comma 25" xfId="265" xr:uid="{00000000-0005-0000-0000-0000F31E0000}"/>
    <cellStyle name="Comma 25 2" xfId="3028" xr:uid="{00000000-0005-0000-0000-0000F41E0000}"/>
    <cellStyle name="Comma 25 2 2" xfId="5758" xr:uid="{00000000-0005-0000-0000-0000F51E0000}"/>
    <cellStyle name="Comma 26" xfId="266" xr:uid="{00000000-0005-0000-0000-0000F61E0000}"/>
    <cellStyle name="Comma 26 2" xfId="3029" xr:uid="{00000000-0005-0000-0000-0000F71E0000}"/>
    <cellStyle name="Comma 26 2 2" xfId="5759" xr:uid="{00000000-0005-0000-0000-0000F81E0000}"/>
    <cellStyle name="Comma 27" xfId="267" xr:uid="{00000000-0005-0000-0000-0000F91E0000}"/>
    <cellStyle name="Comma 27 2" xfId="5722" xr:uid="{00000000-0005-0000-0000-0000FA1E0000}"/>
    <cellStyle name="Comma 28" xfId="268" xr:uid="{00000000-0005-0000-0000-0000FB1E0000}"/>
    <cellStyle name="Comma 28 2" xfId="5782" xr:uid="{00000000-0005-0000-0000-0000FC1E0000}"/>
    <cellStyle name="Comma 29" xfId="269" xr:uid="{00000000-0005-0000-0000-0000FD1E0000}"/>
    <cellStyle name="Comma 29 2" xfId="5783" xr:uid="{00000000-0005-0000-0000-0000FE1E0000}"/>
    <cellStyle name="Comma 3" xfId="4" xr:uid="{00000000-0005-0000-0000-0000FF1E0000}"/>
    <cellStyle name="Comma 3 2" xfId="93" xr:uid="{00000000-0005-0000-0000-0000001F0000}"/>
    <cellStyle name="Comma 3 2 2" xfId="3030" xr:uid="{00000000-0005-0000-0000-0000011F0000}"/>
    <cellStyle name="Comma 3 2 2 2" xfId="5762" xr:uid="{00000000-0005-0000-0000-0000021F0000}"/>
    <cellStyle name="Comma 3 2 3" xfId="5761" xr:uid="{00000000-0005-0000-0000-0000031F0000}"/>
    <cellStyle name="Comma 3 3" xfId="253" xr:uid="{00000000-0005-0000-0000-0000041F0000}"/>
    <cellStyle name="Comma 3 3 2" xfId="3031" xr:uid="{00000000-0005-0000-0000-0000051F0000}"/>
    <cellStyle name="Comma 3 3 2 2" xfId="5764" xr:uid="{00000000-0005-0000-0000-0000061F0000}"/>
    <cellStyle name="Comma 3 3 3" xfId="5763" xr:uid="{00000000-0005-0000-0000-0000071F0000}"/>
    <cellStyle name="Comma 3 4" xfId="285" xr:uid="{00000000-0005-0000-0000-0000081F0000}"/>
    <cellStyle name="Comma 3 4 2" xfId="3032" xr:uid="{00000000-0005-0000-0000-0000091F0000}"/>
    <cellStyle name="Comma 3 5" xfId="301" xr:uid="{00000000-0005-0000-0000-00000A1F0000}"/>
    <cellStyle name="Comma 3 5 2" xfId="7829" xr:uid="{00000000-0005-0000-0000-00000B1F0000}"/>
    <cellStyle name="Comma 3 5 3" xfId="9916" xr:uid="{00000000-0005-0000-0000-00000C1F0000}"/>
    <cellStyle name="Comma 3 5 4" xfId="5760" xr:uid="{00000000-0005-0000-0000-00000D1F0000}"/>
    <cellStyle name="Comma 3 6" xfId="5373" xr:uid="{00000000-0005-0000-0000-00000E1F0000}"/>
    <cellStyle name="Comma 3 7" xfId="7490" xr:uid="{00000000-0005-0000-0000-00000F1F0000}"/>
    <cellStyle name="Comma 3 8" xfId="9538" xr:uid="{00000000-0005-0000-0000-0000101F0000}"/>
    <cellStyle name="Comma 3 9" xfId="10093" xr:uid="{00000000-0005-0000-0000-0000111F0000}"/>
    <cellStyle name="Comma 30" xfId="270" xr:uid="{00000000-0005-0000-0000-0000121F0000}"/>
    <cellStyle name="Comma 30 2" xfId="9919" xr:uid="{00000000-0005-0000-0000-0000131F0000}"/>
    <cellStyle name="Comma 31" xfId="272" xr:uid="{00000000-0005-0000-0000-0000141F0000}"/>
    <cellStyle name="Comma 31 2" xfId="9988" xr:uid="{00000000-0005-0000-0000-0000151F0000}"/>
    <cellStyle name="Comma 32" xfId="277" xr:uid="{00000000-0005-0000-0000-0000161F0000}"/>
    <cellStyle name="Comma 33" xfId="278" xr:uid="{00000000-0005-0000-0000-0000171F0000}"/>
    <cellStyle name="Comma 34" xfId="279" xr:uid="{00000000-0005-0000-0000-0000181F0000}"/>
    <cellStyle name="Comma 35" xfId="281" xr:uid="{00000000-0005-0000-0000-0000191F0000}"/>
    <cellStyle name="Comma 36" xfId="283" xr:uid="{00000000-0005-0000-0000-00001A1F0000}"/>
    <cellStyle name="Comma 37" xfId="294" xr:uid="{00000000-0005-0000-0000-00001B1F0000}"/>
    <cellStyle name="Comma 38" xfId="296" xr:uid="{00000000-0005-0000-0000-00001C1F0000}"/>
    <cellStyle name="Comma 39" xfId="295" xr:uid="{00000000-0005-0000-0000-00001D1F0000}"/>
    <cellStyle name="Comma 4" xfId="27" xr:uid="{00000000-0005-0000-0000-00001E1F0000}"/>
    <cellStyle name="Comma 4 2" xfId="152" xr:uid="{00000000-0005-0000-0000-00001F1F0000}"/>
    <cellStyle name="Comma 4 2 2" xfId="5766" xr:uid="{00000000-0005-0000-0000-0000201F0000}"/>
    <cellStyle name="Comma 4 3" xfId="286" xr:uid="{00000000-0005-0000-0000-0000211F0000}"/>
    <cellStyle name="Comma 4 3 2" xfId="3033" xr:uid="{00000000-0005-0000-0000-0000221F0000}"/>
    <cellStyle name="Comma 4 3 2 2" xfId="5767" xr:uid="{00000000-0005-0000-0000-0000231F0000}"/>
    <cellStyle name="Comma 4 4" xfId="3034" xr:uid="{00000000-0005-0000-0000-0000241F0000}"/>
    <cellStyle name="Comma 4 4 2" xfId="5768" xr:uid="{00000000-0005-0000-0000-0000251F0000}"/>
    <cellStyle name="Comma 4 4 2 2" xfId="7831" xr:uid="{00000000-0005-0000-0000-0000261F0000}"/>
    <cellStyle name="Comma 4 4 2 3" xfId="9918" xr:uid="{00000000-0005-0000-0000-0000271F0000}"/>
    <cellStyle name="Comma 4 4 3" xfId="5375" xr:uid="{00000000-0005-0000-0000-0000281F0000}"/>
    <cellStyle name="Comma 4 4 4" xfId="7492" xr:uid="{00000000-0005-0000-0000-0000291F0000}"/>
    <cellStyle name="Comma 4 4 5" xfId="9540" xr:uid="{00000000-0005-0000-0000-00002A1F0000}"/>
    <cellStyle name="Comma 4 5" xfId="332" xr:uid="{00000000-0005-0000-0000-00002B1F0000}"/>
    <cellStyle name="Comma 4 5 2" xfId="7830" xr:uid="{00000000-0005-0000-0000-00002C1F0000}"/>
    <cellStyle name="Comma 4 5 3" xfId="9917" xr:uid="{00000000-0005-0000-0000-00002D1F0000}"/>
    <cellStyle name="Comma 4 5 4" xfId="5765" xr:uid="{00000000-0005-0000-0000-00002E1F0000}"/>
    <cellStyle name="Comma 4 6" xfId="5374" xr:uid="{00000000-0005-0000-0000-00002F1F0000}"/>
    <cellStyle name="Comma 4 7" xfId="7491" xr:uid="{00000000-0005-0000-0000-0000301F0000}"/>
    <cellStyle name="Comma 4 8" xfId="9539" xr:uid="{00000000-0005-0000-0000-0000311F0000}"/>
    <cellStyle name="Comma 40" xfId="297" xr:uid="{00000000-0005-0000-0000-0000321F0000}"/>
    <cellStyle name="Comma 41" xfId="298" xr:uid="{00000000-0005-0000-0000-0000331F0000}"/>
    <cellStyle name="Comma 42" xfId="300" xr:uid="{00000000-0005-0000-0000-0000341F0000}"/>
    <cellStyle name="Comma 43" xfId="305" xr:uid="{00000000-0005-0000-0000-0000351F0000}"/>
    <cellStyle name="Comma 44" xfId="307" xr:uid="{00000000-0005-0000-0000-0000361F0000}"/>
    <cellStyle name="Comma 45" xfId="309" xr:uid="{00000000-0005-0000-0000-0000371F0000}"/>
    <cellStyle name="Comma 46" xfId="311" xr:uid="{00000000-0005-0000-0000-0000381F0000}"/>
    <cellStyle name="Comma 47" xfId="312" xr:uid="{00000000-0005-0000-0000-0000391F0000}"/>
    <cellStyle name="Comma 48" xfId="314" xr:uid="{00000000-0005-0000-0000-00003A1F0000}"/>
    <cellStyle name="Comma 49" xfId="315" xr:uid="{00000000-0005-0000-0000-00003B1F0000}"/>
    <cellStyle name="Comma 5" xfId="33" xr:uid="{00000000-0005-0000-0000-00003C1F0000}"/>
    <cellStyle name="Comma 5 2" xfId="157" xr:uid="{00000000-0005-0000-0000-00003D1F0000}"/>
    <cellStyle name="Comma 5 2 2" xfId="3035" xr:uid="{00000000-0005-0000-0000-00003E1F0000}"/>
    <cellStyle name="Comma 5 2 2 2" xfId="5771" xr:uid="{00000000-0005-0000-0000-00003F1F0000}"/>
    <cellStyle name="Comma 5 2 3" xfId="5770" xr:uid="{00000000-0005-0000-0000-0000401F0000}"/>
    <cellStyle name="Comma 5 3" xfId="3036" xr:uid="{00000000-0005-0000-0000-0000411F0000}"/>
    <cellStyle name="Comma 5 3 2" xfId="5772" xr:uid="{00000000-0005-0000-0000-0000421F0000}"/>
    <cellStyle name="Comma 5 4" xfId="5769" xr:uid="{00000000-0005-0000-0000-0000431F0000}"/>
    <cellStyle name="Comma 50" xfId="317" xr:uid="{00000000-0005-0000-0000-0000441F0000}"/>
    <cellStyle name="Comma 51" xfId="318" xr:uid="{00000000-0005-0000-0000-0000451F0000}"/>
    <cellStyle name="Comma 52" xfId="320" xr:uid="{00000000-0005-0000-0000-0000461F0000}"/>
    <cellStyle name="Comma 53" xfId="321" xr:uid="{00000000-0005-0000-0000-0000471F0000}"/>
    <cellStyle name="Comma 54" xfId="322" xr:uid="{00000000-0005-0000-0000-0000481F0000}"/>
    <cellStyle name="Comma 55" xfId="324" xr:uid="{00000000-0005-0000-0000-0000491F0000}"/>
    <cellStyle name="Comma 56" xfId="326" xr:uid="{00000000-0005-0000-0000-00004A1F0000}"/>
    <cellStyle name="Comma 57" xfId="328" xr:uid="{00000000-0005-0000-0000-00004B1F0000}"/>
    <cellStyle name="Comma 58" xfId="330" xr:uid="{00000000-0005-0000-0000-00004C1F0000}"/>
    <cellStyle name="Comma 59" xfId="3622" xr:uid="{00000000-0005-0000-0000-00004D1F0000}"/>
    <cellStyle name="Comma 6" xfId="38" xr:uid="{00000000-0005-0000-0000-00004E1F0000}"/>
    <cellStyle name="Comma 6 2" xfId="162" xr:uid="{00000000-0005-0000-0000-00004F1F0000}"/>
    <cellStyle name="Comma 6 2 2" xfId="5774" xr:uid="{00000000-0005-0000-0000-0000501F0000}"/>
    <cellStyle name="Comma 6 3" xfId="5773" xr:uid="{00000000-0005-0000-0000-0000511F0000}"/>
    <cellStyle name="Comma 60" xfId="3652" xr:uid="{00000000-0005-0000-0000-0000521F0000}"/>
    <cellStyle name="Comma 61" xfId="9921" xr:uid="{00000000-0005-0000-0000-0000531F0000}"/>
    <cellStyle name="Comma 62" xfId="9922" xr:uid="{00000000-0005-0000-0000-0000541F0000}"/>
    <cellStyle name="Comma 63" xfId="9925" xr:uid="{00000000-0005-0000-0000-0000551F0000}"/>
    <cellStyle name="Comma 64" xfId="9958" xr:uid="{00000000-0005-0000-0000-0000561F0000}"/>
    <cellStyle name="Comma 65" xfId="9960" xr:uid="{00000000-0005-0000-0000-0000571F0000}"/>
    <cellStyle name="Comma 66" xfId="9992" xr:uid="{00000000-0005-0000-0000-0000581F0000}"/>
    <cellStyle name="Comma 67" xfId="9993" xr:uid="{00000000-0005-0000-0000-0000591F0000}"/>
    <cellStyle name="Comma 68" xfId="9995" xr:uid="{00000000-0005-0000-0000-00005A1F0000}"/>
    <cellStyle name="Comma 69" xfId="9997" xr:uid="{00000000-0005-0000-0000-00005B1F0000}"/>
    <cellStyle name="Comma 7" xfId="43" xr:uid="{00000000-0005-0000-0000-00005C1F0000}"/>
    <cellStyle name="Comma 7 2" xfId="165" xr:uid="{00000000-0005-0000-0000-00005D1F0000}"/>
    <cellStyle name="Comma 7 2 2" xfId="5776" xr:uid="{00000000-0005-0000-0000-00005E1F0000}"/>
    <cellStyle name="Comma 7 3" xfId="5775" xr:uid="{00000000-0005-0000-0000-00005F1F0000}"/>
    <cellStyle name="Comma 70" xfId="9999" xr:uid="{00000000-0005-0000-0000-0000601F0000}"/>
    <cellStyle name="Comma 71" xfId="10001" xr:uid="{00000000-0005-0000-0000-0000611F0000}"/>
    <cellStyle name="Comma 72" xfId="10004" xr:uid="{00000000-0005-0000-0000-0000621F0000}"/>
    <cellStyle name="Comma 73" xfId="10008" xr:uid="{00000000-0005-0000-0000-0000631F0000}"/>
    <cellStyle name="Comma 74" xfId="10009" xr:uid="{00000000-0005-0000-0000-0000641F0000}"/>
    <cellStyle name="Comma 75" xfId="10011" xr:uid="{00000000-0005-0000-0000-0000651F0000}"/>
    <cellStyle name="Comma 76" xfId="10013" xr:uid="{00000000-0005-0000-0000-0000661F0000}"/>
    <cellStyle name="Comma 77" xfId="10015" xr:uid="{00000000-0005-0000-0000-0000671F0000}"/>
    <cellStyle name="Comma 78" xfId="10017" xr:uid="{00000000-0005-0000-0000-0000681F0000}"/>
    <cellStyle name="Comma 79" xfId="10019" xr:uid="{00000000-0005-0000-0000-0000691F0000}"/>
    <cellStyle name="Comma 8" xfId="48" xr:uid="{00000000-0005-0000-0000-00006A1F0000}"/>
    <cellStyle name="Comma 8 2" xfId="3037" xr:uid="{00000000-0005-0000-0000-00006B1F0000}"/>
    <cellStyle name="Comma 8 2 2" xfId="5778" xr:uid="{00000000-0005-0000-0000-00006C1F0000}"/>
    <cellStyle name="Comma 8 3" xfId="5777" xr:uid="{00000000-0005-0000-0000-00006D1F0000}"/>
    <cellStyle name="Comma 80" xfId="10063" xr:uid="{00000000-0005-0000-0000-00006E1F0000}"/>
    <cellStyle name="Comma 81" xfId="10021" xr:uid="{00000000-0005-0000-0000-00006F1F0000}"/>
    <cellStyle name="Comma 82" xfId="10065" xr:uid="{00000000-0005-0000-0000-0000701F0000}"/>
    <cellStyle name="Comma 83" xfId="10086" xr:uid="{00000000-0005-0000-0000-0000711F0000}"/>
    <cellStyle name="Comma 84" xfId="10089" xr:uid="{00000000-0005-0000-0000-0000721F0000}"/>
    <cellStyle name="Comma 85" xfId="10090" xr:uid="{00000000-0005-0000-0000-0000731F0000}"/>
    <cellStyle name="Comma 86" xfId="10097" xr:uid="{00000000-0005-0000-0000-0000741F0000}"/>
    <cellStyle name="Comma 87" xfId="10100" xr:uid="{00000000-0005-0000-0000-0000751F0000}"/>
    <cellStyle name="Comma 88" xfId="10102" xr:uid="{00000000-0005-0000-0000-0000761F0000}"/>
    <cellStyle name="Comma 89" xfId="10105" xr:uid="{00000000-0005-0000-0000-0000771F0000}"/>
    <cellStyle name="Comma 9" xfId="51" xr:uid="{00000000-0005-0000-0000-0000781F0000}"/>
    <cellStyle name="Comma 9 2" xfId="169" xr:uid="{00000000-0005-0000-0000-0000791F0000}"/>
    <cellStyle name="Comma 9 2 2" xfId="3038" xr:uid="{00000000-0005-0000-0000-00007A1F0000}"/>
    <cellStyle name="Comma 9 3" xfId="3039" xr:uid="{00000000-0005-0000-0000-00007B1F0000}"/>
    <cellStyle name="Comma 9 3 2" xfId="5780" xr:uid="{00000000-0005-0000-0000-00007C1F0000}"/>
    <cellStyle name="Comma 9 4" xfId="5779" xr:uid="{00000000-0005-0000-0000-00007D1F0000}"/>
    <cellStyle name="Comma 90" xfId="10107" xr:uid="{00000000-0005-0000-0000-00007E1F0000}"/>
    <cellStyle name="Comma 91" xfId="10108" xr:uid="{00000000-0005-0000-0000-00007F1F0000}"/>
    <cellStyle name="Comma 92" xfId="10110" xr:uid="{00000000-0005-0000-0000-0000801F0000}"/>
    <cellStyle name="Comma 93" xfId="10112" xr:uid="{00000000-0005-0000-0000-0000811F0000}"/>
    <cellStyle name="Comma 94" xfId="10115" xr:uid="{00000000-0005-0000-0000-0000821F0000}"/>
    <cellStyle name="Comma 95" xfId="10116" xr:uid="{00000000-0005-0000-0000-0000831F0000}"/>
    <cellStyle name="Comma 96" xfId="10119" xr:uid="{00000000-0005-0000-0000-0000841F0000}"/>
    <cellStyle name="Comma 97" xfId="10122" xr:uid="{00000000-0005-0000-0000-0000851F0000}"/>
    <cellStyle name="Comma 98" xfId="10125" xr:uid="{00000000-0005-0000-0000-0000861F0000}"/>
    <cellStyle name="Comma 99" xfId="10126" xr:uid="{00000000-0005-0000-0000-0000871F0000}"/>
    <cellStyle name="Comma0" xfId="3040" xr:uid="{00000000-0005-0000-0000-0000881F0000}"/>
    <cellStyle name="Comma0 2" xfId="3041" xr:uid="{00000000-0005-0000-0000-0000891F0000}"/>
    <cellStyle name="Comma0 2 2" xfId="3042" xr:uid="{00000000-0005-0000-0000-00008A1F0000}"/>
    <cellStyle name="Comma0 3" xfId="3043" xr:uid="{00000000-0005-0000-0000-00008B1F0000}"/>
    <cellStyle name="Comma3???????????????????????????????????????????????" xfId="9989" xr:uid="{00000000-0005-0000-0000-00008C1F0000}"/>
    <cellStyle name="Comma7???????????????????????????????????????????????" xfId="9987" xr:uid="{00000000-0005-0000-0000-00008D1F0000}"/>
    <cellStyle name="Comma8???????????????????????????????????????????????" xfId="9990" xr:uid="{00000000-0005-0000-0000-00008E1F0000}"/>
    <cellStyle name="Currency 2" xfId="288" xr:uid="{00000000-0005-0000-0000-00008F1F0000}"/>
    <cellStyle name="Currency 2 2" xfId="3044" xr:uid="{00000000-0005-0000-0000-0000901F0000}"/>
    <cellStyle name="Currency 3" xfId="289" xr:uid="{00000000-0005-0000-0000-0000911F0000}"/>
    <cellStyle name="Currency 3 2" xfId="3045" xr:uid="{00000000-0005-0000-0000-0000921F0000}"/>
    <cellStyle name="Currency 4" xfId="287" xr:uid="{00000000-0005-0000-0000-0000931F0000}"/>
    <cellStyle name="Currency 4 2" xfId="3046" xr:uid="{00000000-0005-0000-0000-0000941F0000}"/>
    <cellStyle name="Currency 5" xfId="3047" xr:uid="{00000000-0005-0000-0000-0000951F0000}"/>
    <cellStyle name="Currency0" xfId="3048" xr:uid="{00000000-0005-0000-0000-0000961F0000}"/>
    <cellStyle name="Currency0 2" xfId="3049" xr:uid="{00000000-0005-0000-0000-0000971F0000}"/>
    <cellStyle name="Currency0 2 2" xfId="3050" xr:uid="{00000000-0005-0000-0000-0000981F0000}"/>
    <cellStyle name="Currency0 3" xfId="3051" xr:uid="{00000000-0005-0000-0000-0000991F0000}"/>
    <cellStyle name="Date" xfId="3052" xr:uid="{00000000-0005-0000-0000-00009A1F0000}"/>
    <cellStyle name="Date 2" xfId="3053" xr:uid="{00000000-0005-0000-0000-00009B1F0000}"/>
    <cellStyle name="Date 2 2" xfId="3054" xr:uid="{00000000-0005-0000-0000-00009C1F0000}"/>
    <cellStyle name="Date 3" xfId="3055" xr:uid="{00000000-0005-0000-0000-00009D1F0000}"/>
    <cellStyle name="Explanatory Text 2" xfId="3056" xr:uid="{00000000-0005-0000-0000-00009E1F0000}"/>
    <cellStyle name="Explanatory Text 2 2" xfId="3057" xr:uid="{00000000-0005-0000-0000-00009F1F0000}"/>
    <cellStyle name="Explanatory Text 3" xfId="3058" xr:uid="{00000000-0005-0000-0000-0000A01F0000}"/>
    <cellStyle name="Explanatory Text 4" xfId="3059" xr:uid="{00000000-0005-0000-0000-0000A11F0000}"/>
    <cellStyle name="Explanatory Text 5" xfId="3060" xr:uid="{00000000-0005-0000-0000-0000A21F0000}"/>
    <cellStyle name="Explanatory Text 6" xfId="3061" xr:uid="{00000000-0005-0000-0000-0000A31F0000}"/>
    <cellStyle name="Fixed" xfId="3062" xr:uid="{00000000-0005-0000-0000-0000A41F0000}"/>
    <cellStyle name="Fixed 2" xfId="3063" xr:uid="{00000000-0005-0000-0000-0000A51F0000}"/>
    <cellStyle name="Fixed 2 2" xfId="3064" xr:uid="{00000000-0005-0000-0000-0000A61F0000}"/>
    <cellStyle name="Fixed 3" xfId="3065" xr:uid="{00000000-0005-0000-0000-0000A71F0000}"/>
    <cellStyle name="Good 2" xfId="3066" xr:uid="{00000000-0005-0000-0000-0000A81F0000}"/>
    <cellStyle name="Good 2 2" xfId="3067" xr:uid="{00000000-0005-0000-0000-0000A91F0000}"/>
    <cellStyle name="Good 3" xfId="3068" xr:uid="{00000000-0005-0000-0000-0000AA1F0000}"/>
    <cellStyle name="Good 4" xfId="3069" xr:uid="{00000000-0005-0000-0000-0000AB1F0000}"/>
    <cellStyle name="Good 5" xfId="3070" xr:uid="{00000000-0005-0000-0000-0000AC1F0000}"/>
    <cellStyle name="Good 6" xfId="3071" xr:uid="{00000000-0005-0000-0000-0000AD1F0000}"/>
    <cellStyle name="Grey" xfId="3072" xr:uid="{00000000-0005-0000-0000-0000AE1F0000}"/>
    <cellStyle name="Header1" xfId="5" xr:uid="{00000000-0005-0000-0000-0000AF1F0000}"/>
    <cellStyle name="Header1 2" xfId="3074" xr:uid="{00000000-0005-0000-0000-0000B01F0000}"/>
    <cellStyle name="Header1 2 2" xfId="3075" xr:uid="{00000000-0005-0000-0000-0000B11F0000}"/>
    <cellStyle name="Header1 3" xfId="3073" xr:uid="{00000000-0005-0000-0000-0000B21F0000}"/>
    <cellStyle name="Header2" xfId="6" xr:uid="{00000000-0005-0000-0000-0000B31F0000}"/>
    <cellStyle name="Header2 2" xfId="3077" xr:uid="{00000000-0005-0000-0000-0000B41F0000}"/>
    <cellStyle name="Header2 2 2" xfId="3078" xr:uid="{00000000-0005-0000-0000-0000B51F0000}"/>
    <cellStyle name="Header2 2 2 2" xfId="3079" xr:uid="{00000000-0005-0000-0000-0000B61F0000}"/>
    <cellStyle name="Header2 2 2 2 2" xfId="9961" xr:uid="{00000000-0005-0000-0000-0000B71F0000}"/>
    <cellStyle name="Header2 2 2 2 3" xfId="10022" xr:uid="{00000000-0005-0000-0000-0000B81F0000}"/>
    <cellStyle name="Header2 2 2 3" xfId="9974" xr:uid="{00000000-0005-0000-0000-0000B91F0000}"/>
    <cellStyle name="Header2 2 2 4" xfId="10066" xr:uid="{00000000-0005-0000-0000-0000BA1F0000}"/>
    <cellStyle name="Header2 2 3" xfId="9975" xr:uid="{00000000-0005-0000-0000-0000BB1F0000}"/>
    <cellStyle name="Header2 2 4" xfId="10079" xr:uid="{00000000-0005-0000-0000-0000BC1F0000}"/>
    <cellStyle name="Header2 3" xfId="3080" xr:uid="{00000000-0005-0000-0000-0000BD1F0000}"/>
    <cellStyle name="Header2 3 2" xfId="9928" xr:uid="{00000000-0005-0000-0000-0000BE1F0000}"/>
    <cellStyle name="Header2 3 3" xfId="10083" xr:uid="{00000000-0005-0000-0000-0000BF1F0000}"/>
    <cellStyle name="Header2 4" xfId="3076" xr:uid="{00000000-0005-0000-0000-0000C01F0000}"/>
    <cellStyle name="Header2 5" xfId="9929" xr:uid="{00000000-0005-0000-0000-0000C11F0000}"/>
    <cellStyle name="Header2 6" xfId="10084" xr:uid="{00000000-0005-0000-0000-0000C21F0000}"/>
    <cellStyle name="Heading 1 2" xfId="3081" xr:uid="{00000000-0005-0000-0000-0000C31F0000}"/>
    <cellStyle name="Heading 1 2 2" xfId="3082" xr:uid="{00000000-0005-0000-0000-0000C41F0000}"/>
    <cellStyle name="Heading 1 3" xfId="3083" xr:uid="{00000000-0005-0000-0000-0000C51F0000}"/>
    <cellStyle name="Heading 1 3 2" xfId="3084" xr:uid="{00000000-0005-0000-0000-0000C61F0000}"/>
    <cellStyle name="Heading 1 4" xfId="3085" xr:uid="{00000000-0005-0000-0000-0000C71F0000}"/>
    <cellStyle name="Heading 1 5" xfId="3086" xr:uid="{00000000-0005-0000-0000-0000C81F0000}"/>
    <cellStyle name="Heading 1 6" xfId="3087" xr:uid="{00000000-0005-0000-0000-0000C91F0000}"/>
    <cellStyle name="Heading 2 2" xfId="3088" xr:uid="{00000000-0005-0000-0000-0000CA1F0000}"/>
    <cellStyle name="Heading 2 2 2" xfId="3089" xr:uid="{00000000-0005-0000-0000-0000CB1F0000}"/>
    <cellStyle name="Heading 2 2 3" xfId="3090" xr:uid="{00000000-0005-0000-0000-0000CC1F0000}"/>
    <cellStyle name="Heading 2 3" xfId="3091" xr:uid="{00000000-0005-0000-0000-0000CD1F0000}"/>
    <cellStyle name="Heading 2 3 2" xfId="3092" xr:uid="{00000000-0005-0000-0000-0000CE1F0000}"/>
    <cellStyle name="Heading 2 4" xfId="3093" xr:uid="{00000000-0005-0000-0000-0000CF1F0000}"/>
    <cellStyle name="Heading 2 5" xfId="3094" xr:uid="{00000000-0005-0000-0000-0000D01F0000}"/>
    <cellStyle name="Heading 2 6" xfId="3095" xr:uid="{00000000-0005-0000-0000-0000D11F0000}"/>
    <cellStyle name="Heading 3 2" xfId="3096" xr:uid="{00000000-0005-0000-0000-0000D21F0000}"/>
    <cellStyle name="Heading 3 2 2" xfId="3097" xr:uid="{00000000-0005-0000-0000-0000D31F0000}"/>
    <cellStyle name="Heading 3 3" xfId="3098" xr:uid="{00000000-0005-0000-0000-0000D41F0000}"/>
    <cellStyle name="Heading 3 4" xfId="3099" xr:uid="{00000000-0005-0000-0000-0000D51F0000}"/>
    <cellStyle name="Heading 3 5" xfId="3100" xr:uid="{00000000-0005-0000-0000-0000D61F0000}"/>
    <cellStyle name="Heading 3 6" xfId="3101" xr:uid="{00000000-0005-0000-0000-0000D71F0000}"/>
    <cellStyle name="Heading 4 2" xfId="3102" xr:uid="{00000000-0005-0000-0000-0000D81F0000}"/>
    <cellStyle name="Heading 4 2 2" xfId="3103" xr:uid="{00000000-0005-0000-0000-0000D91F0000}"/>
    <cellStyle name="Heading 4 3" xfId="3104" xr:uid="{00000000-0005-0000-0000-0000DA1F0000}"/>
    <cellStyle name="Heading 4 4" xfId="3105" xr:uid="{00000000-0005-0000-0000-0000DB1F0000}"/>
    <cellStyle name="Heading 4 5" xfId="3106" xr:uid="{00000000-0005-0000-0000-0000DC1F0000}"/>
    <cellStyle name="Heading 4 6" xfId="3107" xr:uid="{00000000-0005-0000-0000-0000DD1F0000}"/>
    <cellStyle name="Heading1" xfId="3108" xr:uid="{00000000-0005-0000-0000-0000DE1F0000}"/>
    <cellStyle name="Heading1 1" xfId="3109" xr:uid="{00000000-0005-0000-0000-0000DF1F0000}"/>
    <cellStyle name="Heading1 1 1" xfId="3110" xr:uid="{00000000-0005-0000-0000-0000E01F0000}"/>
    <cellStyle name="Heading1 2" xfId="3111" xr:uid="{00000000-0005-0000-0000-0000E11F0000}"/>
    <cellStyle name="Heading1 2 2" xfId="3112" xr:uid="{00000000-0005-0000-0000-0000E21F0000}"/>
    <cellStyle name="Heading1 3" xfId="3113" xr:uid="{00000000-0005-0000-0000-0000E31F0000}"/>
    <cellStyle name="Heading1_Contractor Performance Plan of  2009_V7" xfId="3114" xr:uid="{00000000-0005-0000-0000-0000E41F0000}"/>
    <cellStyle name="Heading2" xfId="3115" xr:uid="{00000000-0005-0000-0000-0000E51F0000}"/>
    <cellStyle name="Heading2 2" xfId="3116" xr:uid="{00000000-0005-0000-0000-0000E61F0000}"/>
    <cellStyle name="Heading2 2 2" xfId="3117" xr:uid="{00000000-0005-0000-0000-0000E71F0000}"/>
    <cellStyle name="Heading2 3" xfId="3118" xr:uid="{00000000-0005-0000-0000-0000E81F0000}"/>
    <cellStyle name="Hyperlink" xfId="7" builtinId="8"/>
    <cellStyle name="Hyperlink 10" xfId="274" xr:uid="{00000000-0005-0000-0000-0000EA1F0000}"/>
    <cellStyle name="Hyperlink 11" xfId="290" xr:uid="{00000000-0005-0000-0000-0000EB1F0000}"/>
    <cellStyle name="Hyperlink 12" xfId="10005" xr:uid="{00000000-0005-0000-0000-0000EC1F0000}"/>
    <cellStyle name="Hyperlink 2" xfId="8" xr:uid="{00000000-0005-0000-0000-0000ED1F0000}"/>
    <cellStyle name="Hyperlink 2 2" xfId="41" xr:uid="{00000000-0005-0000-0000-0000EE1F0000}"/>
    <cellStyle name="Hyperlink 2 3" xfId="302" xr:uid="{00000000-0005-0000-0000-0000EF1F0000}"/>
    <cellStyle name="Hyperlink 3" xfId="28" xr:uid="{00000000-0005-0000-0000-0000F01F0000}"/>
    <cellStyle name="Hyperlink 4" xfId="34" xr:uid="{00000000-0005-0000-0000-0000F11F0000}"/>
    <cellStyle name="Hyperlink 4 2" xfId="158" xr:uid="{00000000-0005-0000-0000-0000F21F0000}"/>
    <cellStyle name="Hyperlink 5" xfId="40" xr:uid="{00000000-0005-0000-0000-0000F31F0000}"/>
    <cellStyle name="Hyperlink 5 2" xfId="163" xr:uid="{00000000-0005-0000-0000-0000F41F0000}"/>
    <cellStyle name="Hyperlink 6" xfId="45" xr:uid="{00000000-0005-0000-0000-0000F51F0000}"/>
    <cellStyle name="Hyperlink 6 2" xfId="167" xr:uid="{00000000-0005-0000-0000-0000F61F0000}"/>
    <cellStyle name="Hyperlink 7" xfId="53" xr:uid="{00000000-0005-0000-0000-0000F71F0000}"/>
    <cellStyle name="Hyperlink 7 2" xfId="171" xr:uid="{00000000-0005-0000-0000-0000F81F0000}"/>
    <cellStyle name="Hyperlink 8" xfId="118" xr:uid="{00000000-0005-0000-0000-0000F91F0000}"/>
    <cellStyle name="Hyperlink 9" xfId="131" xr:uid="{00000000-0005-0000-0000-0000FA1F0000}"/>
    <cellStyle name="Hyperlink 9 2" xfId="238" xr:uid="{00000000-0005-0000-0000-0000FB1F0000}"/>
    <cellStyle name="Input [yellow]" xfId="3119" xr:uid="{00000000-0005-0000-0000-0000FC1F0000}"/>
    <cellStyle name="Input [yellow] 2" xfId="9927" xr:uid="{00000000-0005-0000-0000-0000FD1F0000}"/>
    <cellStyle name="Input [yellow] 3" xfId="10082" xr:uid="{00000000-0005-0000-0000-0000FE1F0000}"/>
    <cellStyle name="Input 2" xfId="3120" xr:uid="{00000000-0005-0000-0000-0000FF1F0000}"/>
    <cellStyle name="Input 2 2" xfId="3121" xr:uid="{00000000-0005-0000-0000-000000200000}"/>
    <cellStyle name="Input 2 2 2" xfId="3630" xr:uid="{00000000-0005-0000-0000-000001200000}"/>
    <cellStyle name="Input 2 2 3" xfId="3660" xr:uid="{00000000-0005-0000-0000-000002200000}"/>
    <cellStyle name="Input 2 2 4" xfId="9937" xr:uid="{00000000-0005-0000-0000-000003200000}"/>
    <cellStyle name="Input 2 2 5" xfId="10030" xr:uid="{00000000-0005-0000-0000-000004200000}"/>
    <cellStyle name="Input 2 3" xfId="3629" xr:uid="{00000000-0005-0000-0000-000005200000}"/>
    <cellStyle name="Input 2 4" xfId="3659" xr:uid="{00000000-0005-0000-0000-000006200000}"/>
    <cellStyle name="Input 2 5" xfId="9936" xr:uid="{00000000-0005-0000-0000-000007200000}"/>
    <cellStyle name="Input 2 6" xfId="10029" xr:uid="{00000000-0005-0000-0000-000008200000}"/>
    <cellStyle name="Input 3" xfId="3122" xr:uid="{00000000-0005-0000-0000-000009200000}"/>
    <cellStyle name="Input 3 2" xfId="3631" xr:uid="{00000000-0005-0000-0000-00000A200000}"/>
    <cellStyle name="Input 3 3" xfId="3661" xr:uid="{00000000-0005-0000-0000-00000B200000}"/>
    <cellStyle name="Input 3 4" xfId="9938" xr:uid="{00000000-0005-0000-0000-00000C200000}"/>
    <cellStyle name="Input 3 5" xfId="10031" xr:uid="{00000000-0005-0000-0000-00000D200000}"/>
    <cellStyle name="Input 4" xfId="3123" xr:uid="{00000000-0005-0000-0000-00000E200000}"/>
    <cellStyle name="Input 4 2" xfId="3632" xr:uid="{00000000-0005-0000-0000-00000F200000}"/>
    <cellStyle name="Input 4 3" xfId="3662" xr:uid="{00000000-0005-0000-0000-000010200000}"/>
    <cellStyle name="Input 4 4" xfId="9939" xr:uid="{00000000-0005-0000-0000-000011200000}"/>
    <cellStyle name="Input 4 5" xfId="10032" xr:uid="{00000000-0005-0000-0000-000012200000}"/>
    <cellStyle name="Input 5" xfId="3124" xr:uid="{00000000-0005-0000-0000-000013200000}"/>
    <cellStyle name="Input 5 2" xfId="3633" xr:uid="{00000000-0005-0000-0000-000014200000}"/>
    <cellStyle name="Input 5 3" xfId="3663" xr:uid="{00000000-0005-0000-0000-000015200000}"/>
    <cellStyle name="Input 5 4" xfId="9940" xr:uid="{00000000-0005-0000-0000-000016200000}"/>
    <cellStyle name="Input 5 5" xfId="10033" xr:uid="{00000000-0005-0000-0000-000017200000}"/>
    <cellStyle name="Input 6" xfId="3125" xr:uid="{00000000-0005-0000-0000-000018200000}"/>
    <cellStyle name="Input 6 2" xfId="3634" xr:uid="{00000000-0005-0000-0000-000019200000}"/>
    <cellStyle name="Input 6 3" xfId="3664" xr:uid="{00000000-0005-0000-0000-00001A200000}"/>
    <cellStyle name="Input 6 4" xfId="9941" xr:uid="{00000000-0005-0000-0000-00001B200000}"/>
    <cellStyle name="Input 6 5" xfId="10034" xr:uid="{00000000-0005-0000-0000-00001C200000}"/>
    <cellStyle name="Linked Cell 2" xfId="3126" xr:uid="{00000000-0005-0000-0000-00001D200000}"/>
    <cellStyle name="Linked Cell 2 2" xfId="3127" xr:uid="{00000000-0005-0000-0000-00001E200000}"/>
    <cellStyle name="Linked Cell 3" xfId="3128" xr:uid="{00000000-0005-0000-0000-00001F200000}"/>
    <cellStyle name="Linked Cell 4" xfId="3129" xr:uid="{00000000-0005-0000-0000-000020200000}"/>
    <cellStyle name="Linked Cell 5" xfId="3130" xr:uid="{00000000-0005-0000-0000-000021200000}"/>
    <cellStyle name="Linked Cell 6" xfId="3131" xr:uid="{00000000-0005-0000-0000-000022200000}"/>
    <cellStyle name="Neutral 2" xfId="3132" xr:uid="{00000000-0005-0000-0000-000023200000}"/>
    <cellStyle name="Neutral 2 2" xfId="3133" xr:uid="{00000000-0005-0000-0000-000024200000}"/>
    <cellStyle name="Neutral 3" xfId="3134" xr:uid="{00000000-0005-0000-0000-000025200000}"/>
    <cellStyle name="Neutral 4" xfId="3135" xr:uid="{00000000-0005-0000-0000-000026200000}"/>
    <cellStyle name="Neutral 5" xfId="3136" xr:uid="{00000000-0005-0000-0000-000027200000}"/>
    <cellStyle name="Neutral 6" xfId="3137" xr:uid="{00000000-0005-0000-0000-000028200000}"/>
    <cellStyle name="Non défini" xfId="3138" xr:uid="{00000000-0005-0000-0000-000029200000}"/>
    <cellStyle name="Normal" xfId="0" builtinId="0"/>
    <cellStyle name="Normal - Style1" xfId="3139" xr:uid="{00000000-0005-0000-0000-00002B200000}"/>
    <cellStyle name="Normal - Style1 2" xfId="3140" xr:uid="{00000000-0005-0000-0000-00002C200000}"/>
    <cellStyle name="Normal - Style1 2 2" xfId="3141" xr:uid="{00000000-0005-0000-0000-00002D200000}"/>
    <cellStyle name="Normal - Style1 3" xfId="3142" xr:uid="{00000000-0005-0000-0000-00002E200000}"/>
    <cellStyle name="Normal 10" xfId="36" xr:uid="{00000000-0005-0000-0000-00002F200000}"/>
    <cellStyle name="Normal 10 2" xfId="160" xr:uid="{00000000-0005-0000-0000-000030200000}"/>
    <cellStyle name="Normal 10 2 2" xfId="3143" xr:uid="{00000000-0005-0000-0000-000031200000}"/>
    <cellStyle name="Normal 10 2 3" xfId="7493" xr:uid="{00000000-0005-0000-0000-000032200000}"/>
    <cellStyle name="Normal 10 2 4" xfId="9541" xr:uid="{00000000-0005-0000-0000-000033200000}"/>
    <cellStyle name="Normal 10 3" xfId="3144" xr:uid="{00000000-0005-0000-0000-000034200000}"/>
    <cellStyle name="Normal 10 3 2" xfId="5376" xr:uid="{00000000-0005-0000-0000-000035200000}"/>
    <cellStyle name="Normal 10 3 3" xfId="7494" xr:uid="{00000000-0005-0000-0000-000036200000}"/>
    <cellStyle name="Normal 10 3 4" xfId="9542" xr:uid="{00000000-0005-0000-0000-000037200000}"/>
    <cellStyle name="Normal 10 4" xfId="3145" xr:uid="{00000000-0005-0000-0000-000038200000}"/>
    <cellStyle name="Normal 10 4 2" xfId="5377" xr:uid="{00000000-0005-0000-0000-000039200000}"/>
    <cellStyle name="Normal 10 4 3" xfId="7495" xr:uid="{00000000-0005-0000-0000-00003A200000}"/>
    <cellStyle name="Normal 10 4 4" xfId="9543" xr:uid="{00000000-0005-0000-0000-00003B200000}"/>
    <cellStyle name="Normal 10 5" xfId="3146" xr:uid="{00000000-0005-0000-0000-00003C200000}"/>
    <cellStyle name="Normal 10 5 2" xfId="5378" xr:uid="{00000000-0005-0000-0000-00003D200000}"/>
    <cellStyle name="Normal 10 5 3" xfId="7496" xr:uid="{00000000-0005-0000-0000-00003E200000}"/>
    <cellStyle name="Normal 10 5 4" xfId="9544" xr:uid="{00000000-0005-0000-0000-00003F200000}"/>
    <cellStyle name="Normal 10 6" xfId="3147" xr:uid="{00000000-0005-0000-0000-000040200000}"/>
    <cellStyle name="Normal 10 6 2" xfId="5379" xr:uid="{00000000-0005-0000-0000-000041200000}"/>
    <cellStyle name="Normal 10 6 3" xfId="7497" xr:uid="{00000000-0005-0000-0000-000042200000}"/>
    <cellStyle name="Normal 10 6 4" xfId="9545" xr:uid="{00000000-0005-0000-0000-000043200000}"/>
    <cellStyle name="Normal 10 7" xfId="3148" xr:uid="{00000000-0005-0000-0000-000044200000}"/>
    <cellStyle name="Normal 10 7 2" xfId="5380" xr:uid="{00000000-0005-0000-0000-000045200000}"/>
    <cellStyle name="Normal 10 7 3" xfId="7498" xr:uid="{00000000-0005-0000-0000-000046200000}"/>
    <cellStyle name="Normal 10 7 4" xfId="9546" xr:uid="{00000000-0005-0000-0000-000047200000}"/>
    <cellStyle name="Normal 10 8" xfId="3149" xr:uid="{00000000-0005-0000-0000-000048200000}"/>
    <cellStyle name="Normal 10 8 2" xfId="5381" xr:uid="{00000000-0005-0000-0000-000049200000}"/>
    <cellStyle name="Normal 10 8 3" xfId="7499" xr:uid="{00000000-0005-0000-0000-00004A200000}"/>
    <cellStyle name="Normal 10 8 4" xfId="9547" xr:uid="{00000000-0005-0000-0000-00004B200000}"/>
    <cellStyle name="Normal 100" xfId="258" xr:uid="{00000000-0005-0000-0000-00004C200000}"/>
    <cellStyle name="Normal 101" xfId="262" xr:uid="{00000000-0005-0000-0000-00004D200000}"/>
    <cellStyle name="Normal 102" xfId="271" xr:uid="{00000000-0005-0000-0000-00004E200000}"/>
    <cellStyle name="Normal 103" xfId="275" xr:uid="{00000000-0005-0000-0000-00004F200000}"/>
    <cellStyle name="Normal 104" xfId="276" xr:uid="{00000000-0005-0000-0000-000050200000}"/>
    <cellStyle name="Normal 105" xfId="280" xr:uid="{00000000-0005-0000-0000-000051200000}"/>
    <cellStyle name="Normal 106" xfId="282" xr:uid="{00000000-0005-0000-0000-000052200000}"/>
    <cellStyle name="Normal 107" xfId="299" xr:uid="{00000000-0005-0000-0000-000053200000}"/>
    <cellStyle name="Normal 108" xfId="304" xr:uid="{00000000-0005-0000-0000-000054200000}"/>
    <cellStyle name="Normal 109" xfId="306" xr:uid="{00000000-0005-0000-0000-000055200000}"/>
    <cellStyle name="Normal 11" xfId="37" xr:uid="{00000000-0005-0000-0000-000056200000}"/>
    <cellStyle name="Normal 11 2" xfId="161" xr:uid="{00000000-0005-0000-0000-000057200000}"/>
    <cellStyle name="Normal 11 2 2" xfId="3150" xr:uid="{00000000-0005-0000-0000-000058200000}"/>
    <cellStyle name="Normal 11 2 3" xfId="7500" xr:uid="{00000000-0005-0000-0000-000059200000}"/>
    <cellStyle name="Normal 11 2 4" xfId="9548" xr:uid="{00000000-0005-0000-0000-00005A200000}"/>
    <cellStyle name="Normal 11 3" xfId="3151" xr:uid="{00000000-0005-0000-0000-00005B200000}"/>
    <cellStyle name="Normal 11 3 2" xfId="5382" xr:uid="{00000000-0005-0000-0000-00005C200000}"/>
    <cellStyle name="Normal 11 3 3" xfId="7501" xr:uid="{00000000-0005-0000-0000-00005D200000}"/>
    <cellStyle name="Normal 11 3 4" xfId="9549" xr:uid="{00000000-0005-0000-0000-00005E200000}"/>
    <cellStyle name="Normal 11 4" xfId="3152" xr:uid="{00000000-0005-0000-0000-00005F200000}"/>
    <cellStyle name="Normal 11 4 2" xfId="5383" xr:uid="{00000000-0005-0000-0000-000060200000}"/>
    <cellStyle name="Normal 11 4 3" xfId="7502" xr:uid="{00000000-0005-0000-0000-000061200000}"/>
    <cellStyle name="Normal 11 4 4" xfId="9550" xr:uid="{00000000-0005-0000-0000-000062200000}"/>
    <cellStyle name="Normal 11 5" xfId="3153" xr:uid="{00000000-0005-0000-0000-000063200000}"/>
    <cellStyle name="Normal 11 5 2" xfId="5384" xr:uid="{00000000-0005-0000-0000-000064200000}"/>
    <cellStyle name="Normal 11 5 3" xfId="7503" xr:uid="{00000000-0005-0000-0000-000065200000}"/>
    <cellStyle name="Normal 11 5 4" xfId="9551" xr:uid="{00000000-0005-0000-0000-000066200000}"/>
    <cellStyle name="Normal 11 6" xfId="3154" xr:uid="{00000000-0005-0000-0000-000067200000}"/>
    <cellStyle name="Normal 11 6 2" xfId="5385" xr:uid="{00000000-0005-0000-0000-000068200000}"/>
    <cellStyle name="Normal 11 6 3" xfId="7504" xr:uid="{00000000-0005-0000-0000-000069200000}"/>
    <cellStyle name="Normal 11 6 4" xfId="9552" xr:uid="{00000000-0005-0000-0000-00006A200000}"/>
    <cellStyle name="Normal 11 7" xfId="3155" xr:uid="{00000000-0005-0000-0000-00006B200000}"/>
    <cellStyle name="Normal 11 7 2" xfId="5386" xr:uid="{00000000-0005-0000-0000-00006C200000}"/>
    <cellStyle name="Normal 11 7 3" xfId="7505" xr:uid="{00000000-0005-0000-0000-00006D200000}"/>
    <cellStyle name="Normal 11 7 4" xfId="9553" xr:uid="{00000000-0005-0000-0000-00006E200000}"/>
    <cellStyle name="Normal 11 8" xfId="3156" xr:uid="{00000000-0005-0000-0000-00006F200000}"/>
    <cellStyle name="Normal 11 8 2" xfId="5387" xr:uid="{00000000-0005-0000-0000-000070200000}"/>
    <cellStyle name="Normal 11 8 3" xfId="7506" xr:uid="{00000000-0005-0000-0000-000071200000}"/>
    <cellStyle name="Normal 11 8 4" xfId="9554" xr:uid="{00000000-0005-0000-0000-000072200000}"/>
    <cellStyle name="Normal 110" xfId="308" xr:uid="{00000000-0005-0000-0000-000073200000}"/>
    <cellStyle name="Normal 111" xfId="310" xr:uid="{00000000-0005-0000-0000-000074200000}"/>
    <cellStyle name="Normal 112" xfId="313" xr:uid="{00000000-0005-0000-0000-000075200000}"/>
    <cellStyle name="Normal 113" xfId="319" xr:uid="{00000000-0005-0000-0000-000076200000}"/>
    <cellStyle name="Normal 114" xfId="323" xr:uid="{00000000-0005-0000-0000-000077200000}"/>
    <cellStyle name="Normal 115" xfId="325" xr:uid="{00000000-0005-0000-0000-000078200000}"/>
    <cellStyle name="Normal 116" xfId="327" xr:uid="{00000000-0005-0000-0000-000079200000}"/>
    <cellStyle name="Normal 117" xfId="329" xr:uid="{00000000-0005-0000-0000-00007A200000}"/>
    <cellStyle name="Normal 118" xfId="3621" xr:uid="{00000000-0005-0000-0000-00007B200000}"/>
    <cellStyle name="Normal 119" xfId="3651" xr:uid="{00000000-0005-0000-0000-00007C200000}"/>
    <cellStyle name="Normal 12" xfId="42" xr:uid="{00000000-0005-0000-0000-00007D200000}"/>
    <cellStyle name="Normal 12 10" xfId="3157" xr:uid="{00000000-0005-0000-0000-00007E200000}"/>
    <cellStyle name="Normal 12 11" xfId="7507" xr:uid="{00000000-0005-0000-0000-00007F200000}"/>
    <cellStyle name="Normal 12 12" xfId="9555" xr:uid="{00000000-0005-0000-0000-000080200000}"/>
    <cellStyle name="Normal 12 2" xfId="164" xr:uid="{00000000-0005-0000-0000-000081200000}"/>
    <cellStyle name="Normal 12 2 2" xfId="3158" xr:uid="{00000000-0005-0000-0000-000082200000}"/>
    <cellStyle name="Normal 12 2 3" xfId="7508" xr:uid="{00000000-0005-0000-0000-000083200000}"/>
    <cellStyle name="Normal 12 2 4" xfId="9556" xr:uid="{00000000-0005-0000-0000-000084200000}"/>
    <cellStyle name="Normal 12 3" xfId="3159" xr:uid="{00000000-0005-0000-0000-000085200000}"/>
    <cellStyle name="Normal 12 3 2" xfId="5388" xr:uid="{00000000-0005-0000-0000-000086200000}"/>
    <cellStyle name="Normal 12 3 3" xfId="7509" xr:uid="{00000000-0005-0000-0000-000087200000}"/>
    <cellStyle name="Normal 12 3 4" xfId="9557" xr:uid="{00000000-0005-0000-0000-000088200000}"/>
    <cellStyle name="Normal 12 4" xfId="3160" xr:uid="{00000000-0005-0000-0000-000089200000}"/>
    <cellStyle name="Normal 12 4 2" xfId="5389" xr:uid="{00000000-0005-0000-0000-00008A200000}"/>
    <cellStyle name="Normal 12 4 3" xfId="7510" xr:uid="{00000000-0005-0000-0000-00008B200000}"/>
    <cellStyle name="Normal 12 4 4" xfId="9558" xr:uid="{00000000-0005-0000-0000-00008C200000}"/>
    <cellStyle name="Normal 12 5" xfId="3161" xr:uid="{00000000-0005-0000-0000-00008D200000}"/>
    <cellStyle name="Normal 12 5 2" xfId="5390" xr:uid="{00000000-0005-0000-0000-00008E200000}"/>
    <cellStyle name="Normal 12 5 3" xfId="7511" xr:uid="{00000000-0005-0000-0000-00008F200000}"/>
    <cellStyle name="Normal 12 5 4" xfId="9559" xr:uid="{00000000-0005-0000-0000-000090200000}"/>
    <cellStyle name="Normal 12 6" xfId="3162" xr:uid="{00000000-0005-0000-0000-000091200000}"/>
    <cellStyle name="Normal 12 6 2" xfId="5391" xr:uid="{00000000-0005-0000-0000-000092200000}"/>
    <cellStyle name="Normal 12 6 3" xfId="7512" xr:uid="{00000000-0005-0000-0000-000093200000}"/>
    <cellStyle name="Normal 12 6 4" xfId="9560" xr:uid="{00000000-0005-0000-0000-000094200000}"/>
    <cellStyle name="Normal 12 7" xfId="3163" xr:uid="{00000000-0005-0000-0000-000095200000}"/>
    <cellStyle name="Normal 12 7 2" xfId="5392" xr:uid="{00000000-0005-0000-0000-000096200000}"/>
    <cellStyle name="Normal 12 7 3" xfId="7513" xr:uid="{00000000-0005-0000-0000-000097200000}"/>
    <cellStyle name="Normal 12 7 4" xfId="9561" xr:uid="{00000000-0005-0000-0000-000098200000}"/>
    <cellStyle name="Normal 12 8" xfId="3164" xr:uid="{00000000-0005-0000-0000-000099200000}"/>
    <cellStyle name="Normal 12 8 2" xfId="5393" xr:uid="{00000000-0005-0000-0000-00009A200000}"/>
    <cellStyle name="Normal 12 8 3" xfId="7514" xr:uid="{00000000-0005-0000-0000-00009B200000}"/>
    <cellStyle name="Normal 12 8 4" xfId="9562" xr:uid="{00000000-0005-0000-0000-00009C200000}"/>
    <cellStyle name="Normal 12 9" xfId="3165" xr:uid="{00000000-0005-0000-0000-00009D200000}"/>
    <cellStyle name="Normal 12 9 2" xfId="5394" xr:uid="{00000000-0005-0000-0000-00009E200000}"/>
    <cellStyle name="Normal 12 9 3" xfId="7515" xr:uid="{00000000-0005-0000-0000-00009F200000}"/>
    <cellStyle name="Normal 12 9 4" xfId="9563" xr:uid="{00000000-0005-0000-0000-0000A0200000}"/>
    <cellStyle name="Normal 120" xfId="9920" xr:uid="{00000000-0005-0000-0000-0000A1200000}"/>
    <cellStyle name="Normal 121" xfId="9923" xr:uid="{00000000-0005-0000-0000-0000A2200000}"/>
    <cellStyle name="Normal 122" xfId="9924" xr:uid="{00000000-0005-0000-0000-0000A3200000}"/>
    <cellStyle name="Normal 123" xfId="9959" xr:uid="{00000000-0005-0000-0000-0000A4200000}"/>
    <cellStyle name="Normal 124" xfId="9926" xr:uid="{00000000-0005-0000-0000-0000A5200000}"/>
    <cellStyle name="Normal 125" xfId="9991" xr:uid="{00000000-0005-0000-0000-0000A6200000}"/>
    <cellStyle name="Normal 126" xfId="9994" xr:uid="{00000000-0005-0000-0000-0000A7200000}"/>
    <cellStyle name="Normal 127" xfId="9996" xr:uid="{00000000-0005-0000-0000-0000A8200000}"/>
    <cellStyle name="Normal 128" xfId="9998" xr:uid="{00000000-0005-0000-0000-0000A9200000}"/>
    <cellStyle name="Normal 129" xfId="10000" xr:uid="{00000000-0005-0000-0000-0000AA200000}"/>
    <cellStyle name="Normal 13" xfId="46" xr:uid="{00000000-0005-0000-0000-0000AB200000}"/>
    <cellStyle name="Normal 13 10" xfId="9564" xr:uid="{00000000-0005-0000-0000-0000AC200000}"/>
    <cellStyle name="Normal 13 2" xfId="3167" xr:uid="{00000000-0005-0000-0000-0000AD200000}"/>
    <cellStyle name="Normal 13 2 2" xfId="5395" xr:uid="{00000000-0005-0000-0000-0000AE200000}"/>
    <cellStyle name="Normal 13 2 3" xfId="7517" xr:uid="{00000000-0005-0000-0000-0000AF200000}"/>
    <cellStyle name="Normal 13 2 4" xfId="9565" xr:uid="{00000000-0005-0000-0000-0000B0200000}"/>
    <cellStyle name="Normal 13 3" xfId="3168" xr:uid="{00000000-0005-0000-0000-0000B1200000}"/>
    <cellStyle name="Normal 13 3 2" xfId="5396" xr:uid="{00000000-0005-0000-0000-0000B2200000}"/>
    <cellStyle name="Normal 13 3 3" xfId="7518" xr:uid="{00000000-0005-0000-0000-0000B3200000}"/>
    <cellStyle name="Normal 13 3 4" xfId="9566" xr:uid="{00000000-0005-0000-0000-0000B4200000}"/>
    <cellStyle name="Normal 13 4" xfId="3169" xr:uid="{00000000-0005-0000-0000-0000B5200000}"/>
    <cellStyle name="Normal 13 4 2" xfId="5397" xr:uid="{00000000-0005-0000-0000-0000B6200000}"/>
    <cellStyle name="Normal 13 4 3" xfId="7519" xr:uid="{00000000-0005-0000-0000-0000B7200000}"/>
    <cellStyle name="Normal 13 4 4" xfId="9567" xr:uid="{00000000-0005-0000-0000-0000B8200000}"/>
    <cellStyle name="Normal 13 5" xfId="3170" xr:uid="{00000000-0005-0000-0000-0000B9200000}"/>
    <cellStyle name="Normal 13 5 2" xfId="5398" xr:uid="{00000000-0005-0000-0000-0000BA200000}"/>
    <cellStyle name="Normal 13 5 3" xfId="7520" xr:uid="{00000000-0005-0000-0000-0000BB200000}"/>
    <cellStyle name="Normal 13 5 4" xfId="9568" xr:uid="{00000000-0005-0000-0000-0000BC200000}"/>
    <cellStyle name="Normal 13 6" xfId="3171" xr:uid="{00000000-0005-0000-0000-0000BD200000}"/>
    <cellStyle name="Normal 13 6 2" xfId="5399" xr:uid="{00000000-0005-0000-0000-0000BE200000}"/>
    <cellStyle name="Normal 13 6 3" xfId="7521" xr:uid="{00000000-0005-0000-0000-0000BF200000}"/>
    <cellStyle name="Normal 13 6 4" xfId="9569" xr:uid="{00000000-0005-0000-0000-0000C0200000}"/>
    <cellStyle name="Normal 13 7" xfId="3172" xr:uid="{00000000-0005-0000-0000-0000C1200000}"/>
    <cellStyle name="Normal 13 7 2" xfId="5400" xr:uid="{00000000-0005-0000-0000-0000C2200000}"/>
    <cellStyle name="Normal 13 7 3" xfId="7522" xr:uid="{00000000-0005-0000-0000-0000C3200000}"/>
    <cellStyle name="Normal 13 7 4" xfId="9570" xr:uid="{00000000-0005-0000-0000-0000C4200000}"/>
    <cellStyle name="Normal 13 8" xfId="3166" xr:uid="{00000000-0005-0000-0000-0000C5200000}"/>
    <cellStyle name="Normal 13 9" xfId="7516" xr:uid="{00000000-0005-0000-0000-0000C6200000}"/>
    <cellStyle name="Normal 130" xfId="10002" xr:uid="{00000000-0005-0000-0000-0000C7200000}"/>
    <cellStyle name="Normal 131" xfId="10003" xr:uid="{00000000-0005-0000-0000-0000C8200000}"/>
    <cellStyle name="Normal 132" xfId="10007" xr:uid="{00000000-0005-0000-0000-0000C9200000}"/>
    <cellStyle name="Normal 133" xfId="10010" xr:uid="{00000000-0005-0000-0000-0000CA200000}"/>
    <cellStyle name="Normal 134" xfId="10012" xr:uid="{00000000-0005-0000-0000-0000CB200000}"/>
    <cellStyle name="Normal 135" xfId="10014" xr:uid="{00000000-0005-0000-0000-0000CC200000}"/>
    <cellStyle name="Normal 136" xfId="10016" xr:uid="{00000000-0005-0000-0000-0000CD200000}"/>
    <cellStyle name="Normal 137" xfId="10018" xr:uid="{00000000-0005-0000-0000-0000CE200000}"/>
    <cellStyle name="Normal 138" xfId="10020" xr:uid="{00000000-0005-0000-0000-0000CF200000}"/>
    <cellStyle name="Normal 139" xfId="10064" xr:uid="{00000000-0005-0000-0000-0000D0200000}"/>
    <cellStyle name="Normal 14" xfId="47" xr:uid="{00000000-0005-0000-0000-0000D1200000}"/>
    <cellStyle name="Normal 14 2" xfId="3173" xr:uid="{00000000-0005-0000-0000-0000D2200000}"/>
    <cellStyle name="Normal 14 2 2" xfId="5401" xr:uid="{00000000-0005-0000-0000-0000D3200000}"/>
    <cellStyle name="Normal 14 2 2 2" xfId="10139" xr:uid="{00000000-0005-0000-0000-0000D4200000}"/>
    <cellStyle name="Normal 14 2 3" xfId="7523" xr:uid="{00000000-0005-0000-0000-0000D5200000}"/>
    <cellStyle name="Normal 14 2 4" xfId="9571" xr:uid="{00000000-0005-0000-0000-0000D6200000}"/>
    <cellStyle name="Normal 14 3" xfId="3174" xr:uid="{00000000-0005-0000-0000-0000D7200000}"/>
    <cellStyle name="Normal 14 3 2" xfId="5402" xr:uid="{00000000-0005-0000-0000-0000D8200000}"/>
    <cellStyle name="Normal 14 3 3" xfId="7524" xr:uid="{00000000-0005-0000-0000-0000D9200000}"/>
    <cellStyle name="Normal 14 3 4" xfId="9572" xr:uid="{00000000-0005-0000-0000-0000DA200000}"/>
    <cellStyle name="Normal 14 4" xfId="3175" xr:uid="{00000000-0005-0000-0000-0000DB200000}"/>
    <cellStyle name="Normal 14 4 2" xfId="5403" xr:uid="{00000000-0005-0000-0000-0000DC200000}"/>
    <cellStyle name="Normal 14 4 3" xfId="7525" xr:uid="{00000000-0005-0000-0000-0000DD200000}"/>
    <cellStyle name="Normal 14 4 4" xfId="9573" xr:uid="{00000000-0005-0000-0000-0000DE200000}"/>
    <cellStyle name="Normal 14 5" xfId="3176" xr:uid="{00000000-0005-0000-0000-0000DF200000}"/>
    <cellStyle name="Normal 14 5 2" xfId="5404" xr:uid="{00000000-0005-0000-0000-0000E0200000}"/>
    <cellStyle name="Normal 14 5 3" xfId="7526" xr:uid="{00000000-0005-0000-0000-0000E1200000}"/>
    <cellStyle name="Normal 14 5 4" xfId="9574" xr:uid="{00000000-0005-0000-0000-0000E2200000}"/>
    <cellStyle name="Normal 14 6" xfId="3177" xr:uid="{00000000-0005-0000-0000-0000E3200000}"/>
    <cellStyle name="Normal 14 6 2" xfId="5405" xr:uid="{00000000-0005-0000-0000-0000E4200000}"/>
    <cellStyle name="Normal 14 6 3" xfId="7527" xr:uid="{00000000-0005-0000-0000-0000E5200000}"/>
    <cellStyle name="Normal 14 6 4" xfId="9575" xr:uid="{00000000-0005-0000-0000-0000E6200000}"/>
    <cellStyle name="Normal 14 7" xfId="3178" xr:uid="{00000000-0005-0000-0000-0000E7200000}"/>
    <cellStyle name="Normal 14 7 2" xfId="5406" xr:uid="{00000000-0005-0000-0000-0000E8200000}"/>
    <cellStyle name="Normal 14 7 3" xfId="7528" xr:uid="{00000000-0005-0000-0000-0000E9200000}"/>
    <cellStyle name="Normal 14 7 4" xfId="9576" xr:uid="{00000000-0005-0000-0000-0000EA200000}"/>
    <cellStyle name="Normal 140" xfId="10081" xr:uid="{00000000-0005-0000-0000-0000EB200000}"/>
    <cellStyle name="Normal 141" xfId="10080" xr:uid="{00000000-0005-0000-0000-0000EC200000}"/>
    <cellStyle name="Normal 142" xfId="10085" xr:uid="{00000000-0005-0000-0000-0000ED200000}"/>
    <cellStyle name="Normal 143" xfId="10087" xr:uid="{00000000-0005-0000-0000-0000EE200000}"/>
    <cellStyle name="Normal 144" xfId="10091" xr:uid="{00000000-0005-0000-0000-0000EF200000}"/>
    <cellStyle name="Normal 145" xfId="10092" xr:uid="{00000000-0005-0000-0000-0000F0200000}"/>
    <cellStyle name="Normal 146" xfId="10094" xr:uid="{00000000-0005-0000-0000-0000F1200000}"/>
    <cellStyle name="Normal 147" xfId="10095" xr:uid="{00000000-0005-0000-0000-0000F2200000}"/>
    <cellStyle name="Normal 148" xfId="10096" xr:uid="{00000000-0005-0000-0000-0000F3200000}"/>
    <cellStyle name="Normal 149" xfId="10099" xr:uid="{00000000-0005-0000-0000-0000F4200000}"/>
    <cellStyle name="Normal 15" xfId="50" xr:uid="{00000000-0005-0000-0000-0000F5200000}"/>
    <cellStyle name="Normal 15 10" xfId="9577" xr:uid="{00000000-0005-0000-0000-0000F6200000}"/>
    <cellStyle name="Normal 15 2" xfId="168" xr:uid="{00000000-0005-0000-0000-0000F7200000}"/>
    <cellStyle name="Normal 15 2 2" xfId="3180" xr:uid="{00000000-0005-0000-0000-0000F8200000}"/>
    <cellStyle name="Normal 15 2 3" xfId="7530" xr:uid="{00000000-0005-0000-0000-0000F9200000}"/>
    <cellStyle name="Normal 15 2 4" xfId="9578" xr:uid="{00000000-0005-0000-0000-0000FA200000}"/>
    <cellStyle name="Normal 15 3" xfId="3181" xr:uid="{00000000-0005-0000-0000-0000FB200000}"/>
    <cellStyle name="Normal 15 3 2" xfId="5407" xr:uid="{00000000-0005-0000-0000-0000FC200000}"/>
    <cellStyle name="Normal 15 3 3" xfId="7531" xr:uid="{00000000-0005-0000-0000-0000FD200000}"/>
    <cellStyle name="Normal 15 3 4" xfId="9579" xr:uid="{00000000-0005-0000-0000-0000FE200000}"/>
    <cellStyle name="Normal 15 4" xfId="3182" xr:uid="{00000000-0005-0000-0000-0000FF200000}"/>
    <cellStyle name="Normal 15 4 2" xfId="5408" xr:uid="{00000000-0005-0000-0000-000000210000}"/>
    <cellStyle name="Normal 15 4 3" xfId="7532" xr:uid="{00000000-0005-0000-0000-000001210000}"/>
    <cellStyle name="Normal 15 4 4" xfId="9580" xr:uid="{00000000-0005-0000-0000-000002210000}"/>
    <cellStyle name="Normal 15 5" xfId="3183" xr:uid="{00000000-0005-0000-0000-000003210000}"/>
    <cellStyle name="Normal 15 5 2" xfId="5409" xr:uid="{00000000-0005-0000-0000-000004210000}"/>
    <cellStyle name="Normal 15 5 3" xfId="7533" xr:uid="{00000000-0005-0000-0000-000005210000}"/>
    <cellStyle name="Normal 15 5 4" xfId="9581" xr:uid="{00000000-0005-0000-0000-000006210000}"/>
    <cellStyle name="Normal 15 6" xfId="3184" xr:uid="{00000000-0005-0000-0000-000007210000}"/>
    <cellStyle name="Normal 15 6 2" xfId="5410" xr:uid="{00000000-0005-0000-0000-000008210000}"/>
    <cellStyle name="Normal 15 6 3" xfId="7534" xr:uid="{00000000-0005-0000-0000-000009210000}"/>
    <cellStyle name="Normal 15 6 4" xfId="9582" xr:uid="{00000000-0005-0000-0000-00000A210000}"/>
    <cellStyle name="Normal 15 7" xfId="3185" xr:uid="{00000000-0005-0000-0000-00000B210000}"/>
    <cellStyle name="Normal 15 7 2" xfId="5411" xr:uid="{00000000-0005-0000-0000-00000C210000}"/>
    <cellStyle name="Normal 15 7 3" xfId="7535" xr:uid="{00000000-0005-0000-0000-00000D210000}"/>
    <cellStyle name="Normal 15 7 4" xfId="9583" xr:uid="{00000000-0005-0000-0000-00000E210000}"/>
    <cellStyle name="Normal 15 8" xfId="3179" xr:uid="{00000000-0005-0000-0000-00000F210000}"/>
    <cellStyle name="Normal 15 9" xfId="7529" xr:uid="{00000000-0005-0000-0000-000010210000}"/>
    <cellStyle name="Normal 150" xfId="10101" xr:uid="{00000000-0005-0000-0000-000011210000}"/>
    <cellStyle name="Normal 151" xfId="10103" xr:uid="{00000000-0005-0000-0000-000012210000}"/>
    <cellStyle name="Normal 152" xfId="10106" xr:uid="{00000000-0005-0000-0000-000013210000}"/>
    <cellStyle name="Normal 153" xfId="10109" xr:uid="{00000000-0005-0000-0000-000014210000}"/>
    <cellStyle name="Normal 154" xfId="10111" xr:uid="{00000000-0005-0000-0000-000015210000}"/>
    <cellStyle name="Normal 155" xfId="10113" xr:uid="{00000000-0005-0000-0000-000016210000}"/>
    <cellStyle name="Normal 156" xfId="10114" xr:uid="{00000000-0005-0000-0000-000017210000}"/>
    <cellStyle name="Normal 157" xfId="10117" xr:uid="{00000000-0005-0000-0000-000018210000}"/>
    <cellStyle name="Normal 158" xfId="10118" xr:uid="{00000000-0005-0000-0000-000019210000}"/>
    <cellStyle name="Normal 159" xfId="10120" xr:uid="{00000000-0005-0000-0000-00001A210000}"/>
    <cellStyle name="Normal 16" xfId="54" xr:uid="{00000000-0005-0000-0000-00001B210000}"/>
    <cellStyle name="Normal 16 10" xfId="9584" xr:uid="{00000000-0005-0000-0000-00001C210000}"/>
    <cellStyle name="Normal 16 2" xfId="3186" xr:uid="{00000000-0005-0000-0000-00001D210000}"/>
    <cellStyle name="Normal 16 2 2" xfId="5413" xr:uid="{00000000-0005-0000-0000-00001E210000}"/>
    <cellStyle name="Normal 16 2 3" xfId="7537" xr:uid="{00000000-0005-0000-0000-00001F210000}"/>
    <cellStyle name="Normal 16 2 4" xfId="9585" xr:uid="{00000000-0005-0000-0000-000020210000}"/>
    <cellStyle name="Normal 16 3" xfId="3187" xr:uid="{00000000-0005-0000-0000-000021210000}"/>
    <cellStyle name="Normal 16 3 2" xfId="5414" xr:uid="{00000000-0005-0000-0000-000022210000}"/>
    <cellStyle name="Normal 16 3 3" xfId="7538" xr:uid="{00000000-0005-0000-0000-000023210000}"/>
    <cellStyle name="Normal 16 3 4" xfId="9586" xr:uid="{00000000-0005-0000-0000-000024210000}"/>
    <cellStyle name="Normal 16 4" xfId="3188" xr:uid="{00000000-0005-0000-0000-000025210000}"/>
    <cellStyle name="Normal 16 4 2" xfId="5415" xr:uid="{00000000-0005-0000-0000-000026210000}"/>
    <cellStyle name="Normal 16 4 3" xfId="7539" xr:uid="{00000000-0005-0000-0000-000027210000}"/>
    <cellStyle name="Normal 16 4 4" xfId="9587" xr:uid="{00000000-0005-0000-0000-000028210000}"/>
    <cellStyle name="Normal 16 5" xfId="3189" xr:uid="{00000000-0005-0000-0000-000029210000}"/>
    <cellStyle name="Normal 16 5 2" xfId="5416" xr:uid="{00000000-0005-0000-0000-00002A210000}"/>
    <cellStyle name="Normal 16 5 3" xfId="7540" xr:uid="{00000000-0005-0000-0000-00002B210000}"/>
    <cellStyle name="Normal 16 5 4" xfId="9588" xr:uid="{00000000-0005-0000-0000-00002C210000}"/>
    <cellStyle name="Normal 16 6" xfId="3190" xr:uid="{00000000-0005-0000-0000-00002D210000}"/>
    <cellStyle name="Normal 16 6 2" xfId="5417" xr:uid="{00000000-0005-0000-0000-00002E210000}"/>
    <cellStyle name="Normal 16 6 3" xfId="7541" xr:uid="{00000000-0005-0000-0000-00002F210000}"/>
    <cellStyle name="Normal 16 6 4" xfId="9589" xr:uid="{00000000-0005-0000-0000-000030210000}"/>
    <cellStyle name="Normal 16 7" xfId="3191" xr:uid="{00000000-0005-0000-0000-000031210000}"/>
    <cellStyle name="Normal 16 7 2" xfId="5418" xr:uid="{00000000-0005-0000-0000-000032210000}"/>
    <cellStyle name="Normal 16 7 3" xfId="7542" xr:uid="{00000000-0005-0000-0000-000033210000}"/>
    <cellStyle name="Normal 16 7 4" xfId="9590" xr:uid="{00000000-0005-0000-0000-000034210000}"/>
    <cellStyle name="Normal 16 8" xfId="5412" xr:uid="{00000000-0005-0000-0000-000035210000}"/>
    <cellStyle name="Normal 16 9" xfId="7536" xr:uid="{00000000-0005-0000-0000-000036210000}"/>
    <cellStyle name="Normal 160" xfId="10123" xr:uid="{00000000-0005-0000-0000-000037210000}"/>
    <cellStyle name="Normal 161" xfId="10124" xr:uid="{00000000-0005-0000-0000-000038210000}"/>
    <cellStyle name="Normal 162" xfId="10127" xr:uid="{00000000-0005-0000-0000-000039210000}"/>
    <cellStyle name="Normal 163" xfId="10129" xr:uid="{00000000-0005-0000-0000-00003A210000}"/>
    <cellStyle name="Normal 164" xfId="10130" xr:uid="{00000000-0005-0000-0000-00003B210000}"/>
    <cellStyle name="Normal 165" xfId="10133" xr:uid="{00000000-0005-0000-0000-00003C210000}"/>
    <cellStyle name="Normal 166" xfId="10134" xr:uid="{00000000-0005-0000-0000-00003D210000}"/>
    <cellStyle name="Normal 167" xfId="10135" xr:uid="{00000000-0005-0000-0000-00003E210000}"/>
    <cellStyle name="Normal 168" xfId="10136" xr:uid="{00000000-0005-0000-0000-00003F210000}"/>
    <cellStyle name="Normal 169" xfId="10141" xr:uid="{00000000-0005-0000-0000-000040210000}"/>
    <cellStyle name="Normal 17" xfId="55" xr:uid="{00000000-0005-0000-0000-000041210000}"/>
    <cellStyle name="Normal 17 10" xfId="9591" xr:uid="{00000000-0005-0000-0000-000042210000}"/>
    <cellStyle name="Normal 17 2" xfId="3192" xr:uid="{00000000-0005-0000-0000-000043210000}"/>
    <cellStyle name="Normal 17 2 2" xfId="5420" xr:uid="{00000000-0005-0000-0000-000044210000}"/>
    <cellStyle name="Normal 17 2 3" xfId="7544" xr:uid="{00000000-0005-0000-0000-000045210000}"/>
    <cellStyle name="Normal 17 2 4" xfId="9592" xr:uid="{00000000-0005-0000-0000-000046210000}"/>
    <cellStyle name="Normal 17 3" xfId="3193" xr:uid="{00000000-0005-0000-0000-000047210000}"/>
    <cellStyle name="Normal 17 3 2" xfId="5421" xr:uid="{00000000-0005-0000-0000-000048210000}"/>
    <cellStyle name="Normal 17 3 3" xfId="7545" xr:uid="{00000000-0005-0000-0000-000049210000}"/>
    <cellStyle name="Normal 17 3 4" xfId="9593" xr:uid="{00000000-0005-0000-0000-00004A210000}"/>
    <cellStyle name="Normal 17 4" xfId="3194" xr:uid="{00000000-0005-0000-0000-00004B210000}"/>
    <cellStyle name="Normal 17 4 2" xfId="5422" xr:uid="{00000000-0005-0000-0000-00004C210000}"/>
    <cellStyle name="Normal 17 4 3" xfId="7546" xr:uid="{00000000-0005-0000-0000-00004D210000}"/>
    <cellStyle name="Normal 17 4 4" xfId="9594" xr:uid="{00000000-0005-0000-0000-00004E210000}"/>
    <cellStyle name="Normal 17 5" xfId="3195" xr:uid="{00000000-0005-0000-0000-00004F210000}"/>
    <cellStyle name="Normal 17 5 2" xfId="5423" xr:uid="{00000000-0005-0000-0000-000050210000}"/>
    <cellStyle name="Normal 17 5 3" xfId="7547" xr:uid="{00000000-0005-0000-0000-000051210000}"/>
    <cellStyle name="Normal 17 5 4" xfId="9595" xr:uid="{00000000-0005-0000-0000-000052210000}"/>
    <cellStyle name="Normal 17 6" xfId="3196" xr:uid="{00000000-0005-0000-0000-000053210000}"/>
    <cellStyle name="Normal 17 6 2" xfId="5424" xr:uid="{00000000-0005-0000-0000-000054210000}"/>
    <cellStyle name="Normal 17 6 3" xfId="7548" xr:uid="{00000000-0005-0000-0000-000055210000}"/>
    <cellStyle name="Normal 17 6 4" xfId="9596" xr:uid="{00000000-0005-0000-0000-000056210000}"/>
    <cellStyle name="Normal 17 7" xfId="3197" xr:uid="{00000000-0005-0000-0000-000057210000}"/>
    <cellStyle name="Normal 17 7 2" xfId="5425" xr:uid="{00000000-0005-0000-0000-000058210000}"/>
    <cellStyle name="Normal 17 7 3" xfId="7549" xr:uid="{00000000-0005-0000-0000-000059210000}"/>
    <cellStyle name="Normal 17 7 4" xfId="9597" xr:uid="{00000000-0005-0000-0000-00005A210000}"/>
    <cellStyle name="Normal 17 8" xfId="5419" xr:uid="{00000000-0005-0000-0000-00005B210000}"/>
    <cellStyle name="Normal 17 9" xfId="7543" xr:uid="{00000000-0005-0000-0000-00005C210000}"/>
    <cellStyle name="Normal 170" xfId="10143" xr:uid="{00000000-0005-0000-0000-00005D210000}"/>
    <cellStyle name="Normal 18" xfId="56" xr:uid="{00000000-0005-0000-0000-00005E210000}"/>
    <cellStyle name="Normal 18 2" xfId="172" xr:uid="{00000000-0005-0000-0000-00005F210000}"/>
    <cellStyle name="Normal 18 2 2" xfId="3198" xr:uid="{00000000-0005-0000-0000-000060210000}"/>
    <cellStyle name="Normal 18 2 3" xfId="7550" xr:uid="{00000000-0005-0000-0000-000061210000}"/>
    <cellStyle name="Normal 18 2 4" xfId="9598" xr:uid="{00000000-0005-0000-0000-000062210000}"/>
    <cellStyle name="Normal 18 3" xfId="3199" xr:uid="{00000000-0005-0000-0000-000063210000}"/>
    <cellStyle name="Normal 18 3 2" xfId="5426" xr:uid="{00000000-0005-0000-0000-000064210000}"/>
    <cellStyle name="Normal 18 3 3" xfId="7551" xr:uid="{00000000-0005-0000-0000-000065210000}"/>
    <cellStyle name="Normal 18 3 4" xfId="9599" xr:uid="{00000000-0005-0000-0000-000066210000}"/>
    <cellStyle name="Normal 18 4" xfId="3200" xr:uid="{00000000-0005-0000-0000-000067210000}"/>
    <cellStyle name="Normal 18 4 2" xfId="5427" xr:uid="{00000000-0005-0000-0000-000068210000}"/>
    <cellStyle name="Normal 18 4 3" xfId="7552" xr:uid="{00000000-0005-0000-0000-000069210000}"/>
    <cellStyle name="Normal 18 4 4" xfId="9600" xr:uid="{00000000-0005-0000-0000-00006A210000}"/>
    <cellStyle name="Normal 18 5" xfId="3201" xr:uid="{00000000-0005-0000-0000-00006B210000}"/>
    <cellStyle name="Normal 18 5 2" xfId="5428" xr:uid="{00000000-0005-0000-0000-00006C210000}"/>
    <cellStyle name="Normal 18 5 3" xfId="7553" xr:uid="{00000000-0005-0000-0000-00006D210000}"/>
    <cellStyle name="Normal 18 5 4" xfId="9601" xr:uid="{00000000-0005-0000-0000-00006E210000}"/>
    <cellStyle name="Normal 18 6" xfId="3202" xr:uid="{00000000-0005-0000-0000-00006F210000}"/>
    <cellStyle name="Normal 18 6 2" xfId="5429" xr:uid="{00000000-0005-0000-0000-000070210000}"/>
    <cellStyle name="Normal 18 6 3" xfId="7554" xr:uid="{00000000-0005-0000-0000-000071210000}"/>
    <cellStyle name="Normal 18 6 4" xfId="9602" xr:uid="{00000000-0005-0000-0000-000072210000}"/>
    <cellStyle name="Normal 19" xfId="58" xr:uid="{00000000-0005-0000-0000-000073210000}"/>
    <cellStyle name="Normal 19 2" xfId="174" xr:uid="{00000000-0005-0000-0000-000074210000}"/>
    <cellStyle name="Normal 19 2 2" xfId="3204" xr:uid="{00000000-0005-0000-0000-000075210000}"/>
    <cellStyle name="Normal 19 2 3" xfId="7555" xr:uid="{00000000-0005-0000-0000-000076210000}"/>
    <cellStyle name="Normal 19 2 4" xfId="9603" xr:uid="{00000000-0005-0000-0000-000077210000}"/>
    <cellStyle name="Normal 19 3" xfId="3205" xr:uid="{00000000-0005-0000-0000-000078210000}"/>
    <cellStyle name="Normal 19 3 2" xfId="5430" xr:uid="{00000000-0005-0000-0000-000079210000}"/>
    <cellStyle name="Normal 19 3 3" xfId="7556" xr:uid="{00000000-0005-0000-0000-00007A210000}"/>
    <cellStyle name="Normal 19 3 4" xfId="9604" xr:uid="{00000000-0005-0000-0000-00007B210000}"/>
    <cellStyle name="Normal 19 4" xfId="3206" xr:uid="{00000000-0005-0000-0000-00007C210000}"/>
    <cellStyle name="Normal 19 4 2" xfId="5431" xr:uid="{00000000-0005-0000-0000-00007D210000}"/>
    <cellStyle name="Normal 19 4 3" xfId="7557" xr:uid="{00000000-0005-0000-0000-00007E210000}"/>
    <cellStyle name="Normal 19 4 4" xfId="9605" xr:uid="{00000000-0005-0000-0000-00007F210000}"/>
    <cellStyle name="Normal 19 5" xfId="3207" xr:uid="{00000000-0005-0000-0000-000080210000}"/>
    <cellStyle name="Normal 19 5 2" xfId="5432" xr:uid="{00000000-0005-0000-0000-000081210000}"/>
    <cellStyle name="Normal 19 5 3" xfId="7558" xr:uid="{00000000-0005-0000-0000-000082210000}"/>
    <cellStyle name="Normal 19 5 4" xfId="9606" xr:uid="{00000000-0005-0000-0000-000083210000}"/>
    <cellStyle name="Normal 19 6" xfId="3208" xr:uid="{00000000-0005-0000-0000-000084210000}"/>
    <cellStyle name="Normal 19 7" xfId="3203" xr:uid="{00000000-0005-0000-0000-000085210000}"/>
    <cellStyle name="Normal 2" xfId="9" xr:uid="{00000000-0005-0000-0000-000086210000}"/>
    <cellStyle name="Normal 2 2" xfId="250" xr:uid="{00000000-0005-0000-0000-000087210000}"/>
    <cellStyle name="Normal 2 2 2" xfId="3210" xr:uid="{00000000-0005-0000-0000-000088210000}"/>
    <cellStyle name="Normal 2 2 2 2" xfId="3211" xr:uid="{00000000-0005-0000-0000-000089210000}"/>
    <cellStyle name="Normal 2 2 3" xfId="3212" xr:uid="{00000000-0005-0000-0000-00008A210000}"/>
    <cellStyle name="Normal 2 2 3 2" xfId="5433" xr:uid="{00000000-0005-0000-0000-00008B210000}"/>
    <cellStyle name="Normal 2 2 3 3" xfId="7560" xr:uid="{00000000-0005-0000-0000-00008C210000}"/>
    <cellStyle name="Normal 2 2 3 4" xfId="9608" xr:uid="{00000000-0005-0000-0000-00008D210000}"/>
    <cellStyle name="Normal 2 2 4" xfId="3213" xr:uid="{00000000-0005-0000-0000-00008E210000}"/>
    <cellStyle name="Normal 2 2 5" xfId="3209" xr:uid="{00000000-0005-0000-0000-00008F210000}"/>
    <cellStyle name="Normal 2 2 6" xfId="7559" xr:uid="{00000000-0005-0000-0000-000090210000}"/>
    <cellStyle name="Normal 2 2 7" xfId="9607" xr:uid="{00000000-0005-0000-0000-000091210000}"/>
    <cellStyle name="Normal 2 2 8" xfId="10142" xr:uid="{00000000-0005-0000-0000-000092210000}"/>
    <cellStyle name="Normal 2 3" xfId="291" xr:uid="{00000000-0005-0000-0000-000093210000}"/>
    <cellStyle name="Normal 2 3 2" xfId="3215" xr:uid="{00000000-0005-0000-0000-000094210000}"/>
    <cellStyle name="Normal 2 3 2 2" xfId="3216" xr:uid="{00000000-0005-0000-0000-000095210000}"/>
    <cellStyle name="Normal 2 3 2 2 2" xfId="5435" xr:uid="{00000000-0005-0000-0000-000096210000}"/>
    <cellStyle name="Normal 2 3 2 2 3" xfId="7562" xr:uid="{00000000-0005-0000-0000-000097210000}"/>
    <cellStyle name="Normal 2 3 2 2 4" xfId="9610" xr:uid="{00000000-0005-0000-0000-000098210000}"/>
    <cellStyle name="Normal 2 3 2 3" xfId="5434" xr:uid="{00000000-0005-0000-0000-000099210000}"/>
    <cellStyle name="Normal 2 3 2 4" xfId="7561" xr:uid="{00000000-0005-0000-0000-00009A210000}"/>
    <cellStyle name="Normal 2 3 2 5" xfId="9609" xr:uid="{00000000-0005-0000-0000-00009B210000}"/>
    <cellStyle name="Normal 2 3 3" xfId="3217" xr:uid="{00000000-0005-0000-0000-00009C210000}"/>
    <cellStyle name="Normal 2 3 3 2" xfId="5436" xr:uid="{00000000-0005-0000-0000-00009D210000}"/>
    <cellStyle name="Normal 2 3 3 3" xfId="7563" xr:uid="{00000000-0005-0000-0000-00009E210000}"/>
    <cellStyle name="Normal 2 3 3 4" xfId="9611" xr:uid="{00000000-0005-0000-0000-00009F210000}"/>
    <cellStyle name="Normal 2 3 4" xfId="3214" xr:uid="{00000000-0005-0000-0000-0000A0210000}"/>
    <cellStyle name="Normal 2 4" xfId="3218" xr:uid="{00000000-0005-0000-0000-0000A1210000}"/>
    <cellStyle name="Normal 2 4 2" xfId="5437" xr:uid="{00000000-0005-0000-0000-0000A2210000}"/>
    <cellStyle name="Normal 2 4 3" xfId="7564" xr:uid="{00000000-0005-0000-0000-0000A3210000}"/>
    <cellStyle name="Normal 2 4 4" xfId="9612" xr:uid="{00000000-0005-0000-0000-0000A4210000}"/>
    <cellStyle name="Normal 2 5" xfId="3219" xr:uid="{00000000-0005-0000-0000-0000A5210000}"/>
    <cellStyle name="Normal 2 6" xfId="3220" xr:uid="{00000000-0005-0000-0000-0000A6210000}"/>
    <cellStyle name="Normal 2 6 2" xfId="5438" xr:uid="{00000000-0005-0000-0000-0000A7210000}"/>
    <cellStyle name="Normal 2 6 3" xfId="7565" xr:uid="{00000000-0005-0000-0000-0000A8210000}"/>
    <cellStyle name="Normal 2 6 4" xfId="9613" xr:uid="{00000000-0005-0000-0000-0000A9210000}"/>
    <cellStyle name="Normal 2 7" xfId="3221" xr:uid="{00000000-0005-0000-0000-0000AA210000}"/>
    <cellStyle name="Normal 2 7 2" xfId="5439" xr:uid="{00000000-0005-0000-0000-0000AB210000}"/>
    <cellStyle name="Normal 2 7 3" xfId="7566" xr:uid="{00000000-0005-0000-0000-0000AC210000}"/>
    <cellStyle name="Normal 2 7 4" xfId="9614" xr:uid="{00000000-0005-0000-0000-0000AD210000}"/>
    <cellStyle name="Normal 2 8" xfId="3222" xr:uid="{00000000-0005-0000-0000-0000AE210000}"/>
    <cellStyle name="Normal 2 8 2" xfId="5440" xr:uid="{00000000-0005-0000-0000-0000AF210000}"/>
    <cellStyle name="Normal 2 8 3" xfId="7567" xr:uid="{00000000-0005-0000-0000-0000B0210000}"/>
    <cellStyle name="Normal 2 8 4" xfId="9615" xr:uid="{00000000-0005-0000-0000-0000B1210000}"/>
    <cellStyle name="Normal 2 9" xfId="3223" xr:uid="{00000000-0005-0000-0000-0000B2210000}"/>
    <cellStyle name="Normal 2 9 2" xfId="5441" xr:uid="{00000000-0005-0000-0000-0000B3210000}"/>
    <cellStyle name="Normal 2 9 3" xfId="7568" xr:uid="{00000000-0005-0000-0000-0000B4210000}"/>
    <cellStyle name="Normal 2 9 4" xfId="9616" xr:uid="{00000000-0005-0000-0000-0000B5210000}"/>
    <cellStyle name="Normal 2_new" xfId="10" xr:uid="{00000000-0005-0000-0000-0000B6210000}"/>
    <cellStyle name="Normal 20" xfId="60" xr:uid="{00000000-0005-0000-0000-0000B7210000}"/>
    <cellStyle name="Normal 20 2" xfId="3225" xr:uid="{00000000-0005-0000-0000-0000B8210000}"/>
    <cellStyle name="Normal 20 2 2" xfId="5442" xr:uid="{00000000-0005-0000-0000-0000B9210000}"/>
    <cellStyle name="Normal 20 2 3" xfId="7569" xr:uid="{00000000-0005-0000-0000-0000BA210000}"/>
    <cellStyle name="Normal 20 2 4" xfId="9617" xr:uid="{00000000-0005-0000-0000-0000BB210000}"/>
    <cellStyle name="Normal 20 3" xfId="3226" xr:uid="{00000000-0005-0000-0000-0000BC210000}"/>
    <cellStyle name="Normal 20 3 2" xfId="5443" xr:uid="{00000000-0005-0000-0000-0000BD210000}"/>
    <cellStyle name="Normal 20 3 3" xfId="7570" xr:uid="{00000000-0005-0000-0000-0000BE210000}"/>
    <cellStyle name="Normal 20 3 4" xfId="9618" xr:uid="{00000000-0005-0000-0000-0000BF210000}"/>
    <cellStyle name="Normal 20 4" xfId="3227" xr:uid="{00000000-0005-0000-0000-0000C0210000}"/>
    <cellStyle name="Normal 20 4 2" xfId="5444" xr:uid="{00000000-0005-0000-0000-0000C1210000}"/>
    <cellStyle name="Normal 20 4 3" xfId="7571" xr:uid="{00000000-0005-0000-0000-0000C2210000}"/>
    <cellStyle name="Normal 20 4 4" xfId="9619" xr:uid="{00000000-0005-0000-0000-0000C3210000}"/>
    <cellStyle name="Normal 20 5" xfId="3228" xr:uid="{00000000-0005-0000-0000-0000C4210000}"/>
    <cellStyle name="Normal 20 6" xfId="3224" xr:uid="{00000000-0005-0000-0000-0000C5210000}"/>
    <cellStyle name="Normal 21" xfId="61" xr:uid="{00000000-0005-0000-0000-0000C6210000}"/>
    <cellStyle name="Normal 21 2" xfId="3230" xr:uid="{00000000-0005-0000-0000-0000C7210000}"/>
    <cellStyle name="Normal 21 2 2" xfId="5445" xr:uid="{00000000-0005-0000-0000-0000C8210000}"/>
    <cellStyle name="Normal 21 2 3" xfId="7572" xr:uid="{00000000-0005-0000-0000-0000C9210000}"/>
    <cellStyle name="Normal 21 2 4" xfId="9620" xr:uid="{00000000-0005-0000-0000-0000CA210000}"/>
    <cellStyle name="Normal 21 3" xfId="3231" xr:uid="{00000000-0005-0000-0000-0000CB210000}"/>
    <cellStyle name="Normal 21 3 2" xfId="5446" xr:uid="{00000000-0005-0000-0000-0000CC210000}"/>
    <cellStyle name="Normal 21 3 3" xfId="7573" xr:uid="{00000000-0005-0000-0000-0000CD210000}"/>
    <cellStyle name="Normal 21 3 4" xfId="9621" xr:uid="{00000000-0005-0000-0000-0000CE210000}"/>
    <cellStyle name="Normal 21 4" xfId="3232" xr:uid="{00000000-0005-0000-0000-0000CF210000}"/>
    <cellStyle name="Normal 21 4 2" xfId="5447" xr:uid="{00000000-0005-0000-0000-0000D0210000}"/>
    <cellStyle name="Normal 21 4 3" xfId="7574" xr:uid="{00000000-0005-0000-0000-0000D1210000}"/>
    <cellStyle name="Normal 21 4 4" xfId="9622" xr:uid="{00000000-0005-0000-0000-0000D2210000}"/>
    <cellStyle name="Normal 21 5" xfId="3229" xr:uid="{00000000-0005-0000-0000-0000D3210000}"/>
    <cellStyle name="Normal 22" xfId="62" xr:uid="{00000000-0005-0000-0000-0000D4210000}"/>
    <cellStyle name="Normal 22 2" xfId="3234" xr:uid="{00000000-0005-0000-0000-0000D5210000}"/>
    <cellStyle name="Normal 22 2 2" xfId="5448" xr:uid="{00000000-0005-0000-0000-0000D6210000}"/>
    <cellStyle name="Normal 22 2 3" xfId="7575" xr:uid="{00000000-0005-0000-0000-0000D7210000}"/>
    <cellStyle name="Normal 22 2 4" xfId="9623" xr:uid="{00000000-0005-0000-0000-0000D8210000}"/>
    <cellStyle name="Normal 22 3" xfId="3235" xr:uid="{00000000-0005-0000-0000-0000D9210000}"/>
    <cellStyle name="Normal 22 3 2" xfId="5449" xr:uid="{00000000-0005-0000-0000-0000DA210000}"/>
    <cellStyle name="Normal 22 3 3" xfId="7576" xr:uid="{00000000-0005-0000-0000-0000DB210000}"/>
    <cellStyle name="Normal 22 3 4" xfId="9624" xr:uid="{00000000-0005-0000-0000-0000DC210000}"/>
    <cellStyle name="Normal 22 4" xfId="3236" xr:uid="{00000000-0005-0000-0000-0000DD210000}"/>
    <cellStyle name="Normal 22 4 2" xfId="5450" xr:uid="{00000000-0005-0000-0000-0000DE210000}"/>
    <cellStyle name="Normal 22 4 3" xfId="7577" xr:uid="{00000000-0005-0000-0000-0000DF210000}"/>
    <cellStyle name="Normal 22 4 4" xfId="9625" xr:uid="{00000000-0005-0000-0000-0000E0210000}"/>
    <cellStyle name="Normal 22 5" xfId="3233" xr:uid="{00000000-0005-0000-0000-0000E1210000}"/>
    <cellStyle name="Normal 23" xfId="63" xr:uid="{00000000-0005-0000-0000-0000E2210000}"/>
    <cellStyle name="Normal 23 2" xfId="3238" xr:uid="{00000000-0005-0000-0000-0000E3210000}"/>
    <cellStyle name="Normal 23 2 2" xfId="5451" xr:uid="{00000000-0005-0000-0000-0000E4210000}"/>
    <cellStyle name="Normal 23 2 3" xfId="7578" xr:uid="{00000000-0005-0000-0000-0000E5210000}"/>
    <cellStyle name="Normal 23 2 4" xfId="9626" xr:uid="{00000000-0005-0000-0000-0000E6210000}"/>
    <cellStyle name="Normal 23 3" xfId="3239" xr:uid="{00000000-0005-0000-0000-0000E7210000}"/>
    <cellStyle name="Normal 23 3 2" xfId="5452" xr:uid="{00000000-0005-0000-0000-0000E8210000}"/>
    <cellStyle name="Normal 23 3 3" xfId="7579" xr:uid="{00000000-0005-0000-0000-0000E9210000}"/>
    <cellStyle name="Normal 23 3 4" xfId="9627" xr:uid="{00000000-0005-0000-0000-0000EA210000}"/>
    <cellStyle name="Normal 23 4" xfId="3240" xr:uid="{00000000-0005-0000-0000-0000EB210000}"/>
    <cellStyle name="Normal 23 5" xfId="3237" xr:uid="{00000000-0005-0000-0000-0000EC210000}"/>
    <cellStyle name="Normal 24" xfId="64" xr:uid="{00000000-0005-0000-0000-0000ED210000}"/>
    <cellStyle name="Normal 24 2" xfId="176" xr:uid="{00000000-0005-0000-0000-0000EE210000}"/>
    <cellStyle name="Normal 24 2 2" xfId="3242" xr:uid="{00000000-0005-0000-0000-0000EF210000}"/>
    <cellStyle name="Normal 24 2 3" xfId="7581" xr:uid="{00000000-0005-0000-0000-0000F0210000}"/>
    <cellStyle name="Normal 24 2 4" xfId="9629" xr:uid="{00000000-0005-0000-0000-0000F1210000}"/>
    <cellStyle name="Normal 24 3" xfId="3243" xr:uid="{00000000-0005-0000-0000-0000F2210000}"/>
    <cellStyle name="Normal 24 3 2" xfId="5453" xr:uid="{00000000-0005-0000-0000-0000F3210000}"/>
    <cellStyle name="Normal 24 3 3" xfId="7582" xr:uid="{00000000-0005-0000-0000-0000F4210000}"/>
    <cellStyle name="Normal 24 3 4" xfId="9630" xr:uid="{00000000-0005-0000-0000-0000F5210000}"/>
    <cellStyle name="Normal 24 4" xfId="3244" xr:uid="{00000000-0005-0000-0000-0000F6210000}"/>
    <cellStyle name="Normal 24 4 2" xfId="5454" xr:uid="{00000000-0005-0000-0000-0000F7210000}"/>
    <cellStyle name="Normal 24 4 3" xfId="7583" xr:uid="{00000000-0005-0000-0000-0000F8210000}"/>
    <cellStyle name="Normal 24 4 4" xfId="9631" xr:uid="{00000000-0005-0000-0000-0000F9210000}"/>
    <cellStyle name="Normal 24 5" xfId="3241" xr:uid="{00000000-0005-0000-0000-0000FA210000}"/>
    <cellStyle name="Normal 24 6" xfId="7580" xr:uid="{00000000-0005-0000-0000-0000FB210000}"/>
    <cellStyle name="Normal 24 7" xfId="9628" xr:uid="{00000000-0005-0000-0000-0000FC210000}"/>
    <cellStyle name="Normal 25" xfId="66" xr:uid="{00000000-0005-0000-0000-0000FD210000}"/>
    <cellStyle name="Normal 25 2" xfId="178" xr:uid="{00000000-0005-0000-0000-0000FE210000}"/>
    <cellStyle name="Normal 25 2 2" xfId="3246" xr:uid="{00000000-0005-0000-0000-0000FF210000}"/>
    <cellStyle name="Normal 25 2 3" xfId="7585" xr:uid="{00000000-0005-0000-0000-000000220000}"/>
    <cellStyle name="Normal 25 2 4" xfId="9633" xr:uid="{00000000-0005-0000-0000-000001220000}"/>
    <cellStyle name="Normal 25 3" xfId="3247" xr:uid="{00000000-0005-0000-0000-000002220000}"/>
    <cellStyle name="Normal 25 3 2" xfId="5455" xr:uid="{00000000-0005-0000-0000-000003220000}"/>
    <cellStyle name="Normal 25 3 3" xfId="7586" xr:uid="{00000000-0005-0000-0000-000004220000}"/>
    <cellStyle name="Normal 25 3 4" xfId="9634" xr:uid="{00000000-0005-0000-0000-000005220000}"/>
    <cellStyle name="Normal 25 4" xfId="3248" xr:uid="{00000000-0005-0000-0000-000006220000}"/>
    <cellStyle name="Normal 25 4 2" xfId="5456" xr:uid="{00000000-0005-0000-0000-000007220000}"/>
    <cellStyle name="Normal 25 4 3" xfId="7587" xr:uid="{00000000-0005-0000-0000-000008220000}"/>
    <cellStyle name="Normal 25 4 4" xfId="9635" xr:uid="{00000000-0005-0000-0000-000009220000}"/>
    <cellStyle name="Normal 25 5" xfId="3245" xr:uid="{00000000-0005-0000-0000-00000A220000}"/>
    <cellStyle name="Normal 25 6" xfId="7584" xr:uid="{00000000-0005-0000-0000-00000B220000}"/>
    <cellStyle name="Normal 25 7" xfId="9632" xr:uid="{00000000-0005-0000-0000-00000C220000}"/>
    <cellStyle name="Normal 26" xfId="67" xr:uid="{00000000-0005-0000-0000-00000D220000}"/>
    <cellStyle name="Normal 26 2" xfId="179" xr:uid="{00000000-0005-0000-0000-00000E220000}"/>
    <cellStyle name="Normal 26 2 2" xfId="3250" xr:uid="{00000000-0005-0000-0000-00000F220000}"/>
    <cellStyle name="Normal 26 2 3" xfId="7589" xr:uid="{00000000-0005-0000-0000-000010220000}"/>
    <cellStyle name="Normal 26 2 4" xfId="9637" xr:uid="{00000000-0005-0000-0000-000011220000}"/>
    <cellStyle name="Normal 26 3" xfId="3251" xr:uid="{00000000-0005-0000-0000-000012220000}"/>
    <cellStyle name="Normal 26 3 2" xfId="5457" xr:uid="{00000000-0005-0000-0000-000013220000}"/>
    <cellStyle name="Normal 26 3 3" xfId="7590" xr:uid="{00000000-0005-0000-0000-000014220000}"/>
    <cellStyle name="Normal 26 3 4" xfId="9638" xr:uid="{00000000-0005-0000-0000-000015220000}"/>
    <cellStyle name="Normal 26 4" xfId="3252" xr:uid="{00000000-0005-0000-0000-000016220000}"/>
    <cellStyle name="Normal 26 4 2" xfId="5458" xr:uid="{00000000-0005-0000-0000-000017220000}"/>
    <cellStyle name="Normal 26 4 3" xfId="7591" xr:uid="{00000000-0005-0000-0000-000018220000}"/>
    <cellStyle name="Normal 26 4 4" xfId="9639" xr:uid="{00000000-0005-0000-0000-000019220000}"/>
    <cellStyle name="Normal 26 5" xfId="3249" xr:uid="{00000000-0005-0000-0000-00001A220000}"/>
    <cellStyle name="Normal 26 6" xfId="7588" xr:uid="{00000000-0005-0000-0000-00001B220000}"/>
    <cellStyle name="Normal 26 7" xfId="9636" xr:uid="{00000000-0005-0000-0000-00001C220000}"/>
    <cellStyle name="Normal 27" xfId="68" xr:uid="{00000000-0005-0000-0000-00001D220000}"/>
    <cellStyle name="Normal 27 2" xfId="180" xr:uid="{00000000-0005-0000-0000-00001E220000}"/>
    <cellStyle name="Normal 27 2 2" xfId="3254" xr:uid="{00000000-0005-0000-0000-00001F220000}"/>
    <cellStyle name="Normal 27 2 3" xfId="7593" xr:uid="{00000000-0005-0000-0000-000020220000}"/>
    <cellStyle name="Normal 27 2 4" xfId="9641" xr:uid="{00000000-0005-0000-0000-000021220000}"/>
    <cellStyle name="Normal 27 3" xfId="3255" xr:uid="{00000000-0005-0000-0000-000022220000}"/>
    <cellStyle name="Normal 27 3 2" xfId="5459" xr:uid="{00000000-0005-0000-0000-000023220000}"/>
    <cellStyle name="Normal 27 3 3" xfId="7594" xr:uid="{00000000-0005-0000-0000-000024220000}"/>
    <cellStyle name="Normal 27 3 4" xfId="9642" xr:uid="{00000000-0005-0000-0000-000025220000}"/>
    <cellStyle name="Normal 27 4" xfId="3256" xr:uid="{00000000-0005-0000-0000-000026220000}"/>
    <cellStyle name="Normal 27 4 2" xfId="5460" xr:uid="{00000000-0005-0000-0000-000027220000}"/>
    <cellStyle name="Normal 27 4 3" xfId="7595" xr:uid="{00000000-0005-0000-0000-000028220000}"/>
    <cellStyle name="Normal 27 4 4" xfId="9643" xr:uid="{00000000-0005-0000-0000-000029220000}"/>
    <cellStyle name="Normal 27 5" xfId="3253" xr:uid="{00000000-0005-0000-0000-00002A220000}"/>
    <cellStyle name="Normal 27 6" xfId="7592" xr:uid="{00000000-0005-0000-0000-00002B220000}"/>
    <cellStyle name="Normal 27 7" xfId="9640" xr:uid="{00000000-0005-0000-0000-00002C220000}"/>
    <cellStyle name="Normal 28" xfId="69" xr:uid="{00000000-0005-0000-0000-00002D220000}"/>
    <cellStyle name="Normal 28 2" xfId="3257" xr:uid="{00000000-0005-0000-0000-00002E220000}"/>
    <cellStyle name="Normal 28 2 2" xfId="5462" xr:uid="{00000000-0005-0000-0000-00002F220000}"/>
    <cellStyle name="Normal 28 2 3" xfId="7597" xr:uid="{00000000-0005-0000-0000-000030220000}"/>
    <cellStyle name="Normal 28 2 4" xfId="9645" xr:uid="{00000000-0005-0000-0000-000031220000}"/>
    <cellStyle name="Normal 28 3" xfId="3258" xr:uid="{00000000-0005-0000-0000-000032220000}"/>
    <cellStyle name="Normal 28 3 2" xfId="5463" xr:uid="{00000000-0005-0000-0000-000033220000}"/>
    <cellStyle name="Normal 28 3 3" xfId="7598" xr:uid="{00000000-0005-0000-0000-000034220000}"/>
    <cellStyle name="Normal 28 3 4" xfId="9646" xr:uid="{00000000-0005-0000-0000-000035220000}"/>
    <cellStyle name="Normal 28 4" xfId="3259" xr:uid="{00000000-0005-0000-0000-000036220000}"/>
    <cellStyle name="Normal 28 4 2" xfId="5464" xr:uid="{00000000-0005-0000-0000-000037220000}"/>
    <cellStyle name="Normal 28 4 3" xfId="7599" xr:uid="{00000000-0005-0000-0000-000038220000}"/>
    <cellStyle name="Normal 28 4 4" xfId="9647" xr:uid="{00000000-0005-0000-0000-000039220000}"/>
    <cellStyle name="Normal 28 5" xfId="5461" xr:uid="{00000000-0005-0000-0000-00003A220000}"/>
    <cellStyle name="Normal 28 6" xfId="7596" xr:uid="{00000000-0005-0000-0000-00003B220000}"/>
    <cellStyle name="Normal 28 7" xfId="9644" xr:uid="{00000000-0005-0000-0000-00003C220000}"/>
    <cellStyle name="Normal 29" xfId="70" xr:uid="{00000000-0005-0000-0000-00003D220000}"/>
    <cellStyle name="Normal 29 2" xfId="181" xr:uid="{00000000-0005-0000-0000-00003E220000}"/>
    <cellStyle name="Normal 29 2 2" xfId="3260" xr:uid="{00000000-0005-0000-0000-00003F220000}"/>
    <cellStyle name="Normal 29 2 3" xfId="7600" xr:uid="{00000000-0005-0000-0000-000040220000}"/>
    <cellStyle name="Normal 29 2 4" xfId="9648" xr:uid="{00000000-0005-0000-0000-000041220000}"/>
    <cellStyle name="Normal 29 3" xfId="3261" xr:uid="{00000000-0005-0000-0000-000042220000}"/>
    <cellStyle name="Normal 29 3 2" xfId="5465" xr:uid="{00000000-0005-0000-0000-000043220000}"/>
    <cellStyle name="Normal 29 3 3" xfId="7601" xr:uid="{00000000-0005-0000-0000-000044220000}"/>
    <cellStyle name="Normal 29 3 4" xfId="9649" xr:uid="{00000000-0005-0000-0000-000045220000}"/>
    <cellStyle name="Normal 29 4" xfId="3262" xr:uid="{00000000-0005-0000-0000-000046220000}"/>
    <cellStyle name="Normal 29 4 2" xfId="5466" xr:uid="{00000000-0005-0000-0000-000047220000}"/>
    <cellStyle name="Normal 29 4 3" xfId="7602" xr:uid="{00000000-0005-0000-0000-000048220000}"/>
    <cellStyle name="Normal 29 4 4" xfId="9650" xr:uid="{00000000-0005-0000-0000-000049220000}"/>
    <cellStyle name="Normal 3" xfId="11" xr:uid="{00000000-0005-0000-0000-00004A220000}"/>
    <cellStyle name="Normal 3 10" xfId="3263" xr:uid="{00000000-0005-0000-0000-00004B220000}"/>
    <cellStyle name="Normal 3 10 2" xfId="5468" xr:uid="{00000000-0005-0000-0000-00004C220000}"/>
    <cellStyle name="Normal 3 10 3" xfId="7604" xr:uid="{00000000-0005-0000-0000-00004D220000}"/>
    <cellStyle name="Normal 3 10 4" xfId="9652" xr:uid="{00000000-0005-0000-0000-00004E220000}"/>
    <cellStyle name="Normal 3 11" xfId="3264" xr:uid="{00000000-0005-0000-0000-00004F220000}"/>
    <cellStyle name="Normal 3 12" xfId="5467" xr:uid="{00000000-0005-0000-0000-000050220000}"/>
    <cellStyle name="Normal 3 13" xfId="7603" xr:uid="{00000000-0005-0000-0000-000051220000}"/>
    <cellStyle name="Normal 3 14" xfId="9651" xr:uid="{00000000-0005-0000-0000-000052220000}"/>
    <cellStyle name="Normal 3 2" xfId="149" xr:uid="{00000000-0005-0000-0000-000053220000}"/>
    <cellStyle name="Normal 3 2 2" xfId="3266" xr:uid="{00000000-0005-0000-0000-000054220000}"/>
    <cellStyle name="Normal 3 2 2 2" xfId="5469" xr:uid="{00000000-0005-0000-0000-000055220000}"/>
    <cellStyle name="Normal 3 2 2 3" xfId="7605" xr:uid="{00000000-0005-0000-0000-000056220000}"/>
    <cellStyle name="Normal 3 2 2 4" xfId="9653" xr:uid="{00000000-0005-0000-0000-000057220000}"/>
    <cellStyle name="Normal 3 2 3" xfId="3267" xr:uid="{00000000-0005-0000-0000-000058220000}"/>
    <cellStyle name="Normal 3 2 4" xfId="3265" xr:uid="{00000000-0005-0000-0000-000059220000}"/>
    <cellStyle name="Normal 3 3" xfId="252" xr:uid="{00000000-0005-0000-0000-00005A220000}"/>
    <cellStyle name="Normal 3 3 2" xfId="3268" xr:uid="{00000000-0005-0000-0000-00005B220000}"/>
    <cellStyle name="Normal 3 4" xfId="292" xr:uid="{00000000-0005-0000-0000-00005C220000}"/>
    <cellStyle name="Normal 3 4 2" xfId="3269" xr:uid="{00000000-0005-0000-0000-00005D220000}"/>
    <cellStyle name="Normal 3 4 3" xfId="7606" xr:uid="{00000000-0005-0000-0000-00005E220000}"/>
    <cellStyle name="Normal 3 4 4" xfId="9654" xr:uid="{00000000-0005-0000-0000-00005F220000}"/>
    <cellStyle name="Normal 3 5" xfId="303" xr:uid="{00000000-0005-0000-0000-000060220000}"/>
    <cellStyle name="Normal 3 5 2" xfId="5470" xr:uid="{00000000-0005-0000-0000-000061220000}"/>
    <cellStyle name="Normal 3 5 3" xfId="7607" xr:uid="{00000000-0005-0000-0000-000062220000}"/>
    <cellStyle name="Normal 3 5 4" xfId="9655" xr:uid="{00000000-0005-0000-0000-000063220000}"/>
    <cellStyle name="Normal 3 6" xfId="3270" xr:uid="{00000000-0005-0000-0000-000064220000}"/>
    <cellStyle name="Normal 3 6 2" xfId="5471" xr:uid="{00000000-0005-0000-0000-000065220000}"/>
    <cellStyle name="Normal 3 6 3" xfId="7608" xr:uid="{00000000-0005-0000-0000-000066220000}"/>
    <cellStyle name="Normal 3 6 4" xfId="9656" xr:uid="{00000000-0005-0000-0000-000067220000}"/>
    <cellStyle name="Normal 3 7" xfId="3271" xr:uid="{00000000-0005-0000-0000-000068220000}"/>
    <cellStyle name="Normal 3 7 2" xfId="5472" xr:uid="{00000000-0005-0000-0000-000069220000}"/>
    <cellStyle name="Normal 3 7 3" xfId="7609" xr:uid="{00000000-0005-0000-0000-00006A220000}"/>
    <cellStyle name="Normal 3 7 4" xfId="9657" xr:uid="{00000000-0005-0000-0000-00006B220000}"/>
    <cellStyle name="Normal 3 8" xfId="3272" xr:uid="{00000000-0005-0000-0000-00006C220000}"/>
    <cellStyle name="Normal 3 8 2" xfId="5473" xr:uid="{00000000-0005-0000-0000-00006D220000}"/>
    <cellStyle name="Normal 3 8 3" xfId="7610" xr:uid="{00000000-0005-0000-0000-00006E220000}"/>
    <cellStyle name="Normal 3 8 4" xfId="9658" xr:uid="{00000000-0005-0000-0000-00006F220000}"/>
    <cellStyle name="Normal 3 9" xfId="3273" xr:uid="{00000000-0005-0000-0000-000070220000}"/>
    <cellStyle name="Normal 3 9 2" xfId="5474" xr:uid="{00000000-0005-0000-0000-000071220000}"/>
    <cellStyle name="Normal 3 9 3" xfId="7611" xr:uid="{00000000-0005-0000-0000-000072220000}"/>
    <cellStyle name="Normal 3 9 4" xfId="9659" xr:uid="{00000000-0005-0000-0000-000073220000}"/>
    <cellStyle name="Normal 30" xfId="72" xr:uid="{00000000-0005-0000-0000-000074220000}"/>
    <cellStyle name="Normal 30 2" xfId="183" xr:uid="{00000000-0005-0000-0000-000075220000}"/>
    <cellStyle name="Normal 30 3" xfId="3274" xr:uid="{00000000-0005-0000-0000-000076220000}"/>
    <cellStyle name="Normal 30 3 2" xfId="5475" xr:uid="{00000000-0005-0000-0000-000077220000}"/>
    <cellStyle name="Normal 30 3 3" xfId="7612" xr:uid="{00000000-0005-0000-0000-000078220000}"/>
    <cellStyle name="Normal 30 3 4" xfId="9660" xr:uid="{00000000-0005-0000-0000-000079220000}"/>
    <cellStyle name="Normal 31" xfId="73" xr:uid="{00000000-0005-0000-0000-00007A220000}"/>
    <cellStyle name="Normal 31 2" xfId="184" xr:uid="{00000000-0005-0000-0000-00007B220000}"/>
    <cellStyle name="Normal 31 3" xfId="3275" xr:uid="{00000000-0005-0000-0000-00007C220000}"/>
    <cellStyle name="Normal 31 3 2" xfId="5476" xr:uid="{00000000-0005-0000-0000-00007D220000}"/>
    <cellStyle name="Normal 31 3 3" xfId="7613" xr:uid="{00000000-0005-0000-0000-00007E220000}"/>
    <cellStyle name="Normal 31 3 4" xfId="9661" xr:uid="{00000000-0005-0000-0000-00007F220000}"/>
    <cellStyle name="Normal 32" xfId="74" xr:uid="{00000000-0005-0000-0000-000080220000}"/>
    <cellStyle name="Normal 32 2" xfId="185" xr:uid="{00000000-0005-0000-0000-000081220000}"/>
    <cellStyle name="Normal 32 2 2" xfId="3277" xr:uid="{00000000-0005-0000-0000-000082220000}"/>
    <cellStyle name="Normal 32 2 3" xfId="7614" xr:uid="{00000000-0005-0000-0000-000083220000}"/>
    <cellStyle name="Normal 32 2 4" xfId="9662" xr:uid="{00000000-0005-0000-0000-000084220000}"/>
    <cellStyle name="Normal 32 3" xfId="3278" xr:uid="{00000000-0005-0000-0000-000085220000}"/>
    <cellStyle name="Normal 32 4" xfId="3276" xr:uid="{00000000-0005-0000-0000-000086220000}"/>
    <cellStyle name="Normal 33" xfId="75" xr:uid="{00000000-0005-0000-0000-000087220000}"/>
    <cellStyle name="Normal 33 2" xfId="186" xr:uid="{00000000-0005-0000-0000-000088220000}"/>
    <cellStyle name="Normal 33 3" xfId="3279" xr:uid="{00000000-0005-0000-0000-000089220000}"/>
    <cellStyle name="Normal 34" xfId="76" xr:uid="{00000000-0005-0000-0000-00008A220000}"/>
    <cellStyle name="Normal 34 2" xfId="187" xr:uid="{00000000-0005-0000-0000-00008B220000}"/>
    <cellStyle name="Normal 34 2 2" xfId="3280" xr:uid="{00000000-0005-0000-0000-00008C220000}"/>
    <cellStyle name="Normal 34 2 3" xfId="7615" xr:uid="{00000000-0005-0000-0000-00008D220000}"/>
    <cellStyle name="Normal 34 2 4" xfId="9663" xr:uid="{00000000-0005-0000-0000-00008E220000}"/>
    <cellStyle name="Normal 34 3" xfId="3281" xr:uid="{00000000-0005-0000-0000-00008F220000}"/>
    <cellStyle name="Normal 35" xfId="77" xr:uid="{00000000-0005-0000-0000-000090220000}"/>
    <cellStyle name="Normal 35 2" xfId="188" xr:uid="{00000000-0005-0000-0000-000091220000}"/>
    <cellStyle name="Normal 35 2 2" xfId="3282" xr:uid="{00000000-0005-0000-0000-000092220000}"/>
    <cellStyle name="Normal 35 2 3" xfId="7616" xr:uid="{00000000-0005-0000-0000-000093220000}"/>
    <cellStyle name="Normal 35 2 4" xfId="9664" xr:uid="{00000000-0005-0000-0000-000094220000}"/>
    <cellStyle name="Normal 35 3" xfId="3283" xr:uid="{00000000-0005-0000-0000-000095220000}"/>
    <cellStyle name="Normal 36" xfId="78" xr:uid="{00000000-0005-0000-0000-000096220000}"/>
    <cellStyle name="Normal 36 2" xfId="189" xr:uid="{00000000-0005-0000-0000-000097220000}"/>
    <cellStyle name="Normal 36 2 2" xfId="3284" xr:uid="{00000000-0005-0000-0000-000098220000}"/>
    <cellStyle name="Normal 36 2 3" xfId="7617" xr:uid="{00000000-0005-0000-0000-000099220000}"/>
    <cellStyle name="Normal 36 2 4" xfId="9665" xr:uid="{00000000-0005-0000-0000-00009A220000}"/>
    <cellStyle name="Normal 37" xfId="79" xr:uid="{00000000-0005-0000-0000-00009B220000}"/>
    <cellStyle name="Normal 37 2" xfId="190" xr:uid="{00000000-0005-0000-0000-00009C220000}"/>
    <cellStyle name="Normal 37 2 2" xfId="3285" xr:uid="{00000000-0005-0000-0000-00009D220000}"/>
    <cellStyle name="Normal 37 2 3" xfId="7618" xr:uid="{00000000-0005-0000-0000-00009E220000}"/>
    <cellStyle name="Normal 37 2 4" xfId="9666" xr:uid="{00000000-0005-0000-0000-00009F220000}"/>
    <cellStyle name="Normal 38" xfId="80" xr:uid="{00000000-0005-0000-0000-0000A0220000}"/>
    <cellStyle name="Normal 38 2" xfId="191" xr:uid="{00000000-0005-0000-0000-0000A1220000}"/>
    <cellStyle name="Normal 38 2 2" xfId="3286" xr:uid="{00000000-0005-0000-0000-0000A2220000}"/>
    <cellStyle name="Normal 38 2 3" xfId="7619" xr:uid="{00000000-0005-0000-0000-0000A3220000}"/>
    <cellStyle name="Normal 38 2 4" xfId="9667" xr:uid="{00000000-0005-0000-0000-0000A4220000}"/>
    <cellStyle name="Normal 39" xfId="81" xr:uid="{00000000-0005-0000-0000-0000A5220000}"/>
    <cellStyle name="Normal 39 2" xfId="192" xr:uid="{00000000-0005-0000-0000-0000A6220000}"/>
    <cellStyle name="Normal 39 2 2" xfId="3287" xr:uid="{00000000-0005-0000-0000-0000A7220000}"/>
    <cellStyle name="Normal 39 2 3" xfId="7620" xr:uid="{00000000-0005-0000-0000-0000A8220000}"/>
    <cellStyle name="Normal 39 2 4" xfId="9668" xr:uid="{00000000-0005-0000-0000-0000A9220000}"/>
    <cellStyle name="Normal 4" xfId="26" xr:uid="{00000000-0005-0000-0000-0000AA220000}"/>
    <cellStyle name="Normal 4 10" xfId="331" xr:uid="{00000000-0005-0000-0000-0000AB220000}"/>
    <cellStyle name="Normal 4 11" xfId="7621" xr:uid="{00000000-0005-0000-0000-0000AC220000}"/>
    <cellStyle name="Normal 4 12" xfId="9669" xr:uid="{00000000-0005-0000-0000-0000AD220000}"/>
    <cellStyle name="Normal 4 2" xfId="151" xr:uid="{00000000-0005-0000-0000-0000AE220000}"/>
    <cellStyle name="Normal 4 2 2" xfId="3288" xr:uid="{00000000-0005-0000-0000-0000AF220000}"/>
    <cellStyle name="Normal 4 2 3" xfId="7622" xr:uid="{00000000-0005-0000-0000-0000B0220000}"/>
    <cellStyle name="Normal 4 2 4" xfId="9670" xr:uid="{00000000-0005-0000-0000-0000B1220000}"/>
    <cellStyle name="Normal 4 3" xfId="293" xr:uid="{00000000-0005-0000-0000-0000B2220000}"/>
    <cellStyle name="Normal 4 3 2" xfId="3289" xr:uid="{00000000-0005-0000-0000-0000B3220000}"/>
    <cellStyle name="Normal 4 3 3" xfId="7623" xr:uid="{00000000-0005-0000-0000-0000B4220000}"/>
    <cellStyle name="Normal 4 3 4" xfId="9671" xr:uid="{00000000-0005-0000-0000-0000B5220000}"/>
    <cellStyle name="Normal 4 4" xfId="3290" xr:uid="{00000000-0005-0000-0000-0000B6220000}"/>
    <cellStyle name="Normal 4 4 2" xfId="5477" xr:uid="{00000000-0005-0000-0000-0000B7220000}"/>
    <cellStyle name="Normal 4 4 3" xfId="7624" xr:uid="{00000000-0005-0000-0000-0000B8220000}"/>
    <cellStyle name="Normal 4 4 4" xfId="9672" xr:uid="{00000000-0005-0000-0000-0000B9220000}"/>
    <cellStyle name="Normal 4 5" xfId="3291" xr:uid="{00000000-0005-0000-0000-0000BA220000}"/>
    <cellStyle name="Normal 4 5 2" xfId="5478" xr:uid="{00000000-0005-0000-0000-0000BB220000}"/>
    <cellStyle name="Normal 4 5 3" xfId="7625" xr:uid="{00000000-0005-0000-0000-0000BC220000}"/>
    <cellStyle name="Normal 4 5 4" xfId="9673" xr:uid="{00000000-0005-0000-0000-0000BD220000}"/>
    <cellStyle name="Normal 4 6" xfId="3292" xr:uid="{00000000-0005-0000-0000-0000BE220000}"/>
    <cellStyle name="Normal 4 6 2" xfId="5479" xr:uid="{00000000-0005-0000-0000-0000BF220000}"/>
    <cellStyle name="Normal 4 6 3" xfId="7626" xr:uid="{00000000-0005-0000-0000-0000C0220000}"/>
    <cellStyle name="Normal 4 6 4" xfId="9674" xr:uid="{00000000-0005-0000-0000-0000C1220000}"/>
    <cellStyle name="Normal 4 7" xfId="3293" xr:uid="{00000000-0005-0000-0000-0000C2220000}"/>
    <cellStyle name="Normal 4 7 2" xfId="5480" xr:uid="{00000000-0005-0000-0000-0000C3220000}"/>
    <cellStyle name="Normal 4 7 3" xfId="7627" xr:uid="{00000000-0005-0000-0000-0000C4220000}"/>
    <cellStyle name="Normal 4 7 4" xfId="9675" xr:uid="{00000000-0005-0000-0000-0000C5220000}"/>
    <cellStyle name="Normal 4 8" xfId="3294" xr:uid="{00000000-0005-0000-0000-0000C6220000}"/>
    <cellStyle name="Normal 4 8 2" xfId="5481" xr:uid="{00000000-0005-0000-0000-0000C7220000}"/>
    <cellStyle name="Normal 4 8 3" xfId="7628" xr:uid="{00000000-0005-0000-0000-0000C8220000}"/>
    <cellStyle name="Normal 4 8 4" xfId="9676" xr:uid="{00000000-0005-0000-0000-0000C9220000}"/>
    <cellStyle name="Normal 4 9" xfId="3295" xr:uid="{00000000-0005-0000-0000-0000CA220000}"/>
    <cellStyle name="Normal 4 9 2" xfId="5482" xr:uid="{00000000-0005-0000-0000-0000CB220000}"/>
    <cellStyle name="Normal 4 9 3" xfId="7629" xr:uid="{00000000-0005-0000-0000-0000CC220000}"/>
    <cellStyle name="Normal 4 9 4" xfId="9677" xr:uid="{00000000-0005-0000-0000-0000CD220000}"/>
    <cellStyle name="Normal 40" xfId="83" xr:uid="{00000000-0005-0000-0000-0000CE220000}"/>
    <cellStyle name="Normal 40 2" xfId="194" xr:uid="{00000000-0005-0000-0000-0000CF220000}"/>
    <cellStyle name="Normal 40 2 2" xfId="3296" xr:uid="{00000000-0005-0000-0000-0000D0220000}"/>
    <cellStyle name="Normal 40 2 3" xfId="7630" xr:uid="{00000000-0005-0000-0000-0000D1220000}"/>
    <cellStyle name="Normal 40 2 4" xfId="9678" xr:uid="{00000000-0005-0000-0000-0000D2220000}"/>
    <cellStyle name="Normal 41" xfId="84" xr:uid="{00000000-0005-0000-0000-0000D3220000}"/>
    <cellStyle name="Normal 41 2" xfId="195" xr:uid="{00000000-0005-0000-0000-0000D4220000}"/>
    <cellStyle name="Normal 41 2 2" xfId="3297" xr:uid="{00000000-0005-0000-0000-0000D5220000}"/>
    <cellStyle name="Normal 41 2 3" xfId="7631" xr:uid="{00000000-0005-0000-0000-0000D6220000}"/>
    <cellStyle name="Normal 41 2 4" xfId="9679" xr:uid="{00000000-0005-0000-0000-0000D7220000}"/>
    <cellStyle name="Normal 42" xfId="85" xr:uid="{00000000-0005-0000-0000-0000D8220000}"/>
    <cellStyle name="Normal 42 2" xfId="196" xr:uid="{00000000-0005-0000-0000-0000D9220000}"/>
    <cellStyle name="Normal 42 2 2" xfId="5483" xr:uid="{00000000-0005-0000-0000-0000DA220000}"/>
    <cellStyle name="Normal 42 3" xfId="3298" xr:uid="{00000000-0005-0000-0000-0000DB220000}"/>
    <cellStyle name="Normal 42 4" xfId="9680" xr:uid="{00000000-0005-0000-0000-0000DC220000}"/>
    <cellStyle name="Normal 43" xfId="86" xr:uid="{00000000-0005-0000-0000-0000DD220000}"/>
    <cellStyle name="Normal 43 2" xfId="197" xr:uid="{00000000-0005-0000-0000-0000DE220000}"/>
    <cellStyle name="Normal 43 2 2" xfId="5484" xr:uid="{00000000-0005-0000-0000-0000DF220000}"/>
    <cellStyle name="Normal 43 3" xfId="3299" xr:uid="{00000000-0005-0000-0000-0000E0220000}"/>
    <cellStyle name="Normal 43 4" xfId="9681" xr:uid="{00000000-0005-0000-0000-0000E1220000}"/>
    <cellStyle name="Normal 44" xfId="87" xr:uid="{00000000-0005-0000-0000-0000E2220000}"/>
    <cellStyle name="Normal 44 2" xfId="198" xr:uid="{00000000-0005-0000-0000-0000E3220000}"/>
    <cellStyle name="Normal 44 2 2" xfId="5485" xr:uid="{00000000-0005-0000-0000-0000E4220000}"/>
    <cellStyle name="Normal 44 3" xfId="3300" xr:uid="{00000000-0005-0000-0000-0000E5220000}"/>
    <cellStyle name="Normal 44 4" xfId="9682" xr:uid="{00000000-0005-0000-0000-0000E6220000}"/>
    <cellStyle name="Normal 45" xfId="88" xr:uid="{00000000-0005-0000-0000-0000E7220000}"/>
    <cellStyle name="Normal 45 2" xfId="199" xr:uid="{00000000-0005-0000-0000-0000E8220000}"/>
    <cellStyle name="Normal 45 2 2" xfId="5486" xr:uid="{00000000-0005-0000-0000-0000E9220000}"/>
    <cellStyle name="Normal 45 3" xfId="3301" xr:uid="{00000000-0005-0000-0000-0000EA220000}"/>
    <cellStyle name="Normal 45 4" xfId="9683" xr:uid="{00000000-0005-0000-0000-0000EB220000}"/>
    <cellStyle name="Normal 46" xfId="89" xr:uid="{00000000-0005-0000-0000-0000EC220000}"/>
    <cellStyle name="Normal 46 2" xfId="200" xr:uid="{00000000-0005-0000-0000-0000ED220000}"/>
    <cellStyle name="Normal 46 2 2" xfId="5487" xr:uid="{00000000-0005-0000-0000-0000EE220000}"/>
    <cellStyle name="Normal 46 3" xfId="3302" xr:uid="{00000000-0005-0000-0000-0000EF220000}"/>
    <cellStyle name="Normal 46 4" xfId="9684" xr:uid="{00000000-0005-0000-0000-0000F0220000}"/>
    <cellStyle name="Normal 47" xfId="90" xr:uid="{00000000-0005-0000-0000-0000F1220000}"/>
    <cellStyle name="Normal 47 2" xfId="201" xr:uid="{00000000-0005-0000-0000-0000F2220000}"/>
    <cellStyle name="Normal 47 2 2" xfId="5488" xr:uid="{00000000-0005-0000-0000-0000F3220000}"/>
    <cellStyle name="Normal 47 3" xfId="3303" xr:uid="{00000000-0005-0000-0000-0000F4220000}"/>
    <cellStyle name="Normal 47 4" xfId="9685" xr:uid="{00000000-0005-0000-0000-0000F5220000}"/>
    <cellStyle name="Normal 48" xfId="91" xr:uid="{00000000-0005-0000-0000-0000F6220000}"/>
    <cellStyle name="Normal 48 2" xfId="202" xr:uid="{00000000-0005-0000-0000-0000F7220000}"/>
    <cellStyle name="Normal 48 2 2" xfId="5489" xr:uid="{00000000-0005-0000-0000-0000F8220000}"/>
    <cellStyle name="Normal 48 3" xfId="3304" xr:uid="{00000000-0005-0000-0000-0000F9220000}"/>
    <cellStyle name="Normal 48 4" xfId="9686" xr:uid="{00000000-0005-0000-0000-0000FA220000}"/>
    <cellStyle name="Normal 49" xfId="94" xr:uid="{00000000-0005-0000-0000-0000FB220000}"/>
    <cellStyle name="Normal 49 2" xfId="203" xr:uid="{00000000-0005-0000-0000-0000FC220000}"/>
    <cellStyle name="Normal 49 2 2" xfId="5490" xr:uid="{00000000-0005-0000-0000-0000FD220000}"/>
    <cellStyle name="Normal 49 3" xfId="3305" xr:uid="{00000000-0005-0000-0000-0000FE220000}"/>
    <cellStyle name="Normal 49 4" xfId="9687" xr:uid="{00000000-0005-0000-0000-0000FF220000}"/>
    <cellStyle name="Normal 5" xfId="29" xr:uid="{00000000-0005-0000-0000-000000230000}"/>
    <cellStyle name="Normal 5 2" xfId="153" xr:uid="{00000000-0005-0000-0000-000001230000}"/>
    <cellStyle name="Normal 5 2 2" xfId="3306" xr:uid="{00000000-0005-0000-0000-000002230000}"/>
    <cellStyle name="Normal 5 3" xfId="3307" xr:uid="{00000000-0005-0000-0000-000003230000}"/>
    <cellStyle name="Normal 5 3 2" xfId="5491" xr:uid="{00000000-0005-0000-0000-000004230000}"/>
    <cellStyle name="Normal 5 3 3" xfId="7632" xr:uid="{00000000-0005-0000-0000-000005230000}"/>
    <cellStyle name="Normal 5 3 4" xfId="9688" xr:uid="{00000000-0005-0000-0000-000006230000}"/>
    <cellStyle name="Normal 5 4" xfId="3308" xr:uid="{00000000-0005-0000-0000-000007230000}"/>
    <cellStyle name="Normal 5 4 2" xfId="5492" xr:uid="{00000000-0005-0000-0000-000008230000}"/>
    <cellStyle name="Normal 5 4 3" xfId="7633" xr:uid="{00000000-0005-0000-0000-000009230000}"/>
    <cellStyle name="Normal 5 4 4" xfId="9689" xr:uid="{00000000-0005-0000-0000-00000A230000}"/>
    <cellStyle name="Normal 5 5" xfId="3309" xr:uid="{00000000-0005-0000-0000-00000B230000}"/>
    <cellStyle name="Normal 5 5 2" xfId="5493" xr:uid="{00000000-0005-0000-0000-00000C230000}"/>
    <cellStyle name="Normal 5 5 3" xfId="7634" xr:uid="{00000000-0005-0000-0000-00000D230000}"/>
    <cellStyle name="Normal 5 5 4" xfId="9690" xr:uid="{00000000-0005-0000-0000-00000E230000}"/>
    <cellStyle name="Normal 5 6" xfId="3310" xr:uid="{00000000-0005-0000-0000-00000F230000}"/>
    <cellStyle name="Normal 5 6 2" xfId="5494" xr:uid="{00000000-0005-0000-0000-000010230000}"/>
    <cellStyle name="Normal 5 6 3" xfId="7635" xr:uid="{00000000-0005-0000-0000-000011230000}"/>
    <cellStyle name="Normal 5 6 4" xfId="9691" xr:uid="{00000000-0005-0000-0000-000012230000}"/>
    <cellStyle name="Normal 5 7" xfId="3311" xr:uid="{00000000-0005-0000-0000-000013230000}"/>
    <cellStyle name="Normal 5 7 2" xfId="5495" xr:uid="{00000000-0005-0000-0000-000014230000}"/>
    <cellStyle name="Normal 5 7 3" xfId="7636" xr:uid="{00000000-0005-0000-0000-000015230000}"/>
    <cellStyle name="Normal 5 7 4" xfId="9692" xr:uid="{00000000-0005-0000-0000-000016230000}"/>
    <cellStyle name="Normal 5 8" xfId="3312" xr:uid="{00000000-0005-0000-0000-000017230000}"/>
    <cellStyle name="Normal 5 8 2" xfId="5496" xr:uid="{00000000-0005-0000-0000-000018230000}"/>
    <cellStyle name="Normal 5 8 3" xfId="7637" xr:uid="{00000000-0005-0000-0000-000019230000}"/>
    <cellStyle name="Normal 5 8 4" xfId="9693" xr:uid="{00000000-0005-0000-0000-00001A230000}"/>
    <cellStyle name="Normal 5 9" xfId="3313" xr:uid="{00000000-0005-0000-0000-00001B230000}"/>
    <cellStyle name="Normal 5 9 2" xfId="5497" xr:uid="{00000000-0005-0000-0000-00001C230000}"/>
    <cellStyle name="Normal 5 9 3" xfId="7638" xr:uid="{00000000-0005-0000-0000-00001D230000}"/>
    <cellStyle name="Normal 5 9 4" xfId="9694" xr:uid="{00000000-0005-0000-0000-00001E230000}"/>
    <cellStyle name="Normal 50" xfId="95" xr:uid="{00000000-0005-0000-0000-00001F230000}"/>
    <cellStyle name="Normal 50 2" xfId="204" xr:uid="{00000000-0005-0000-0000-000020230000}"/>
    <cellStyle name="Normal 50 2 2" xfId="5498" xr:uid="{00000000-0005-0000-0000-000021230000}"/>
    <cellStyle name="Normal 50 3" xfId="3314" xr:uid="{00000000-0005-0000-0000-000022230000}"/>
    <cellStyle name="Normal 50 4" xfId="9695" xr:uid="{00000000-0005-0000-0000-000023230000}"/>
    <cellStyle name="Normal 51" xfId="96" xr:uid="{00000000-0005-0000-0000-000024230000}"/>
    <cellStyle name="Normal 51 2" xfId="205" xr:uid="{00000000-0005-0000-0000-000025230000}"/>
    <cellStyle name="Normal 51 2 2" xfId="5499" xr:uid="{00000000-0005-0000-0000-000026230000}"/>
    <cellStyle name="Normal 51 3" xfId="3315" xr:uid="{00000000-0005-0000-0000-000027230000}"/>
    <cellStyle name="Normal 51 4" xfId="9696" xr:uid="{00000000-0005-0000-0000-000028230000}"/>
    <cellStyle name="Normal 52" xfId="97" xr:uid="{00000000-0005-0000-0000-000029230000}"/>
    <cellStyle name="Normal 52 2" xfId="206" xr:uid="{00000000-0005-0000-0000-00002A230000}"/>
    <cellStyle name="Normal 52 2 2" xfId="5500" xr:uid="{00000000-0005-0000-0000-00002B230000}"/>
    <cellStyle name="Normal 52 3" xfId="3316" xr:uid="{00000000-0005-0000-0000-00002C230000}"/>
    <cellStyle name="Normal 52 4" xfId="9697" xr:uid="{00000000-0005-0000-0000-00002D230000}"/>
    <cellStyle name="Normal 53" xfId="98" xr:uid="{00000000-0005-0000-0000-00002E230000}"/>
    <cellStyle name="Normal 53 2" xfId="207" xr:uid="{00000000-0005-0000-0000-00002F230000}"/>
    <cellStyle name="Normal 53 2 2" xfId="5501" xr:uid="{00000000-0005-0000-0000-000030230000}"/>
    <cellStyle name="Normal 53 3" xfId="3317" xr:uid="{00000000-0005-0000-0000-000031230000}"/>
    <cellStyle name="Normal 53 4" xfId="9698" xr:uid="{00000000-0005-0000-0000-000032230000}"/>
    <cellStyle name="Normal 54" xfId="99" xr:uid="{00000000-0005-0000-0000-000033230000}"/>
    <cellStyle name="Normal 54 2" xfId="208" xr:uid="{00000000-0005-0000-0000-000034230000}"/>
    <cellStyle name="Normal 54 2 2" xfId="5502" xr:uid="{00000000-0005-0000-0000-000035230000}"/>
    <cellStyle name="Normal 54 3" xfId="3318" xr:uid="{00000000-0005-0000-0000-000036230000}"/>
    <cellStyle name="Normal 54 4" xfId="9699" xr:uid="{00000000-0005-0000-0000-000037230000}"/>
    <cellStyle name="Normal 55" xfId="100" xr:uid="{00000000-0005-0000-0000-000038230000}"/>
    <cellStyle name="Normal 55 2" xfId="209" xr:uid="{00000000-0005-0000-0000-000039230000}"/>
    <cellStyle name="Normal 55 2 2" xfId="5503" xr:uid="{00000000-0005-0000-0000-00003A230000}"/>
    <cellStyle name="Normal 55 3" xfId="3319" xr:uid="{00000000-0005-0000-0000-00003B230000}"/>
    <cellStyle name="Normal 55 4" xfId="9700" xr:uid="{00000000-0005-0000-0000-00003C230000}"/>
    <cellStyle name="Normal 56" xfId="101" xr:uid="{00000000-0005-0000-0000-00003D230000}"/>
    <cellStyle name="Normal 56 2" xfId="210" xr:uid="{00000000-0005-0000-0000-00003E230000}"/>
    <cellStyle name="Normal 56 2 2" xfId="5504" xr:uid="{00000000-0005-0000-0000-00003F230000}"/>
    <cellStyle name="Normal 56 3" xfId="3320" xr:uid="{00000000-0005-0000-0000-000040230000}"/>
    <cellStyle name="Normal 56 4" xfId="9701" xr:uid="{00000000-0005-0000-0000-000041230000}"/>
    <cellStyle name="Normal 57" xfId="102" xr:uid="{00000000-0005-0000-0000-000042230000}"/>
    <cellStyle name="Normal 57 2" xfId="211" xr:uid="{00000000-0005-0000-0000-000043230000}"/>
    <cellStyle name="Normal 57 2 2" xfId="5505" xr:uid="{00000000-0005-0000-0000-000044230000}"/>
    <cellStyle name="Normal 57 3" xfId="3321" xr:uid="{00000000-0005-0000-0000-000045230000}"/>
    <cellStyle name="Normal 57 4" xfId="9702" xr:uid="{00000000-0005-0000-0000-000046230000}"/>
    <cellStyle name="Normal 58" xfId="103" xr:uid="{00000000-0005-0000-0000-000047230000}"/>
    <cellStyle name="Normal 58 2" xfId="212" xr:uid="{00000000-0005-0000-0000-000048230000}"/>
    <cellStyle name="Normal 58 2 2" xfId="5506" xr:uid="{00000000-0005-0000-0000-000049230000}"/>
    <cellStyle name="Normal 58 3" xfId="3322" xr:uid="{00000000-0005-0000-0000-00004A230000}"/>
    <cellStyle name="Normal 58 4" xfId="9703" xr:uid="{00000000-0005-0000-0000-00004B230000}"/>
    <cellStyle name="Normal 59" xfId="104" xr:uid="{00000000-0005-0000-0000-00004C230000}"/>
    <cellStyle name="Normal 59 2" xfId="213" xr:uid="{00000000-0005-0000-0000-00004D230000}"/>
    <cellStyle name="Normal 59 2 2" xfId="5507" xr:uid="{00000000-0005-0000-0000-00004E230000}"/>
    <cellStyle name="Normal 59 3" xfId="3323" xr:uid="{00000000-0005-0000-0000-00004F230000}"/>
    <cellStyle name="Normal 59 4" xfId="9704" xr:uid="{00000000-0005-0000-0000-000050230000}"/>
    <cellStyle name="Normal 6" xfId="30" xr:uid="{00000000-0005-0000-0000-000051230000}"/>
    <cellStyle name="Normal 6 2" xfId="154" xr:uid="{00000000-0005-0000-0000-000052230000}"/>
    <cellStyle name="Normal 6 2 2" xfId="3324" xr:uid="{00000000-0005-0000-0000-000053230000}"/>
    <cellStyle name="Normal 6 3" xfId="3325" xr:uid="{00000000-0005-0000-0000-000054230000}"/>
    <cellStyle name="Normal 6 3 2" xfId="5508" xr:uid="{00000000-0005-0000-0000-000055230000}"/>
    <cellStyle name="Normal 6 3 3" xfId="7639" xr:uid="{00000000-0005-0000-0000-000056230000}"/>
    <cellStyle name="Normal 6 3 4" xfId="9705" xr:uid="{00000000-0005-0000-0000-000057230000}"/>
    <cellStyle name="Normal 6 4" xfId="3326" xr:uid="{00000000-0005-0000-0000-000058230000}"/>
    <cellStyle name="Normal 6 4 2" xfId="5509" xr:uid="{00000000-0005-0000-0000-000059230000}"/>
    <cellStyle name="Normal 6 4 3" xfId="7640" xr:uid="{00000000-0005-0000-0000-00005A230000}"/>
    <cellStyle name="Normal 6 4 4" xfId="9706" xr:uid="{00000000-0005-0000-0000-00005B230000}"/>
    <cellStyle name="Normal 6 5" xfId="3327" xr:uid="{00000000-0005-0000-0000-00005C230000}"/>
    <cellStyle name="Normal 6 5 2" xfId="5510" xr:uid="{00000000-0005-0000-0000-00005D230000}"/>
    <cellStyle name="Normal 6 5 3" xfId="7641" xr:uid="{00000000-0005-0000-0000-00005E230000}"/>
    <cellStyle name="Normal 6 5 4" xfId="9707" xr:uid="{00000000-0005-0000-0000-00005F230000}"/>
    <cellStyle name="Normal 6 6" xfId="3328" xr:uid="{00000000-0005-0000-0000-000060230000}"/>
    <cellStyle name="Normal 6 6 2" xfId="5511" xr:uid="{00000000-0005-0000-0000-000061230000}"/>
    <cellStyle name="Normal 6 6 3" xfId="7642" xr:uid="{00000000-0005-0000-0000-000062230000}"/>
    <cellStyle name="Normal 6 6 4" xfId="9708" xr:uid="{00000000-0005-0000-0000-000063230000}"/>
    <cellStyle name="Normal 6 7" xfId="3329" xr:uid="{00000000-0005-0000-0000-000064230000}"/>
    <cellStyle name="Normal 6 7 2" xfId="5512" xr:uid="{00000000-0005-0000-0000-000065230000}"/>
    <cellStyle name="Normal 6 7 3" xfId="7643" xr:uid="{00000000-0005-0000-0000-000066230000}"/>
    <cellStyle name="Normal 6 7 4" xfId="9709" xr:uid="{00000000-0005-0000-0000-000067230000}"/>
    <cellStyle name="Normal 6 8" xfId="3330" xr:uid="{00000000-0005-0000-0000-000068230000}"/>
    <cellStyle name="Normal 6 8 2" xfId="5513" xr:uid="{00000000-0005-0000-0000-000069230000}"/>
    <cellStyle name="Normal 6 8 3" xfId="7644" xr:uid="{00000000-0005-0000-0000-00006A230000}"/>
    <cellStyle name="Normal 6 8 4" xfId="9710" xr:uid="{00000000-0005-0000-0000-00006B230000}"/>
    <cellStyle name="Normal 60" xfId="106" xr:uid="{00000000-0005-0000-0000-00006C230000}"/>
    <cellStyle name="Normal 60 2" xfId="215" xr:uid="{00000000-0005-0000-0000-00006D230000}"/>
    <cellStyle name="Normal 60 2 2" xfId="5514" xr:uid="{00000000-0005-0000-0000-00006E230000}"/>
    <cellStyle name="Normal 60 3" xfId="3331" xr:uid="{00000000-0005-0000-0000-00006F230000}"/>
    <cellStyle name="Normal 60 4" xfId="9711" xr:uid="{00000000-0005-0000-0000-000070230000}"/>
    <cellStyle name="Normal 61" xfId="107" xr:uid="{00000000-0005-0000-0000-000071230000}"/>
    <cellStyle name="Normal 61 2" xfId="216" xr:uid="{00000000-0005-0000-0000-000072230000}"/>
    <cellStyle name="Normal 61 2 2" xfId="5515" xr:uid="{00000000-0005-0000-0000-000073230000}"/>
    <cellStyle name="Normal 61 3" xfId="3332" xr:uid="{00000000-0005-0000-0000-000074230000}"/>
    <cellStyle name="Normal 61 4" xfId="9712" xr:uid="{00000000-0005-0000-0000-000075230000}"/>
    <cellStyle name="Normal 62" xfId="108" xr:uid="{00000000-0005-0000-0000-000076230000}"/>
    <cellStyle name="Normal 62 2" xfId="217" xr:uid="{00000000-0005-0000-0000-000077230000}"/>
    <cellStyle name="Normal 62 2 2" xfId="5516" xr:uid="{00000000-0005-0000-0000-000078230000}"/>
    <cellStyle name="Normal 62 3" xfId="3333" xr:uid="{00000000-0005-0000-0000-000079230000}"/>
    <cellStyle name="Normal 62 4" xfId="9713" xr:uid="{00000000-0005-0000-0000-00007A230000}"/>
    <cellStyle name="Normal 63" xfId="109" xr:uid="{00000000-0005-0000-0000-00007B230000}"/>
    <cellStyle name="Normal 63 2" xfId="218" xr:uid="{00000000-0005-0000-0000-00007C230000}"/>
    <cellStyle name="Normal 63 2 2" xfId="5517" xr:uid="{00000000-0005-0000-0000-00007D230000}"/>
    <cellStyle name="Normal 63 3" xfId="3334" xr:uid="{00000000-0005-0000-0000-00007E230000}"/>
    <cellStyle name="Normal 63 4" xfId="9714" xr:uid="{00000000-0005-0000-0000-00007F230000}"/>
    <cellStyle name="Normal 64" xfId="110" xr:uid="{00000000-0005-0000-0000-000080230000}"/>
    <cellStyle name="Normal 64 2" xfId="219" xr:uid="{00000000-0005-0000-0000-000081230000}"/>
    <cellStyle name="Normal 64 2 2" xfId="5518" xr:uid="{00000000-0005-0000-0000-000082230000}"/>
    <cellStyle name="Normal 64 3" xfId="3335" xr:uid="{00000000-0005-0000-0000-000083230000}"/>
    <cellStyle name="Normal 64 4" xfId="9715" xr:uid="{00000000-0005-0000-0000-000084230000}"/>
    <cellStyle name="Normal 65" xfId="111" xr:uid="{00000000-0005-0000-0000-000085230000}"/>
    <cellStyle name="Normal 65 2" xfId="220" xr:uid="{00000000-0005-0000-0000-000086230000}"/>
    <cellStyle name="Normal 65 2 2" xfId="5519" xr:uid="{00000000-0005-0000-0000-000087230000}"/>
    <cellStyle name="Normal 65 3" xfId="3336" xr:uid="{00000000-0005-0000-0000-000088230000}"/>
    <cellStyle name="Normal 65 4" xfId="9716" xr:uid="{00000000-0005-0000-0000-000089230000}"/>
    <cellStyle name="Normal 66" xfId="112" xr:uid="{00000000-0005-0000-0000-00008A230000}"/>
    <cellStyle name="Normal 66 2" xfId="221" xr:uid="{00000000-0005-0000-0000-00008B230000}"/>
    <cellStyle name="Normal 66 2 2" xfId="5520" xr:uid="{00000000-0005-0000-0000-00008C230000}"/>
    <cellStyle name="Normal 66 3" xfId="3337" xr:uid="{00000000-0005-0000-0000-00008D230000}"/>
    <cellStyle name="Normal 66 4" xfId="9717" xr:uid="{00000000-0005-0000-0000-00008E230000}"/>
    <cellStyle name="Normal 67" xfId="113" xr:uid="{00000000-0005-0000-0000-00008F230000}"/>
    <cellStyle name="Normal 67 2" xfId="222" xr:uid="{00000000-0005-0000-0000-000090230000}"/>
    <cellStyle name="Normal 67 2 2" xfId="5521" xr:uid="{00000000-0005-0000-0000-000091230000}"/>
    <cellStyle name="Normal 67 3" xfId="3338" xr:uid="{00000000-0005-0000-0000-000092230000}"/>
    <cellStyle name="Normal 67 4" xfId="9718" xr:uid="{00000000-0005-0000-0000-000093230000}"/>
    <cellStyle name="Normal 68" xfId="114" xr:uid="{00000000-0005-0000-0000-000094230000}"/>
    <cellStyle name="Normal 68 2" xfId="223" xr:uid="{00000000-0005-0000-0000-000095230000}"/>
    <cellStyle name="Normal 68 2 2" xfId="5522" xr:uid="{00000000-0005-0000-0000-000096230000}"/>
    <cellStyle name="Normal 68 3" xfId="3339" xr:uid="{00000000-0005-0000-0000-000097230000}"/>
    <cellStyle name="Normal 68 4" xfId="9719" xr:uid="{00000000-0005-0000-0000-000098230000}"/>
    <cellStyle name="Normal 69" xfId="115" xr:uid="{00000000-0005-0000-0000-000099230000}"/>
    <cellStyle name="Normal 69 2" xfId="224" xr:uid="{00000000-0005-0000-0000-00009A230000}"/>
    <cellStyle name="Normal 69 2 2" xfId="5523" xr:uid="{00000000-0005-0000-0000-00009B230000}"/>
    <cellStyle name="Normal 69 3" xfId="3340" xr:uid="{00000000-0005-0000-0000-00009C230000}"/>
    <cellStyle name="Normal 69 4" xfId="9720" xr:uid="{00000000-0005-0000-0000-00009D230000}"/>
    <cellStyle name="Normal 7" xfId="31" xr:uid="{00000000-0005-0000-0000-00009E230000}"/>
    <cellStyle name="Normal 7 10" xfId="3341" xr:uid="{00000000-0005-0000-0000-00009F230000}"/>
    <cellStyle name="Normal 7 11" xfId="7645" xr:uid="{00000000-0005-0000-0000-0000A0230000}"/>
    <cellStyle name="Normal 7 12" xfId="9721" xr:uid="{00000000-0005-0000-0000-0000A1230000}"/>
    <cellStyle name="Normal 7 2" xfId="155" xr:uid="{00000000-0005-0000-0000-0000A2230000}"/>
    <cellStyle name="Normal 7 2 2" xfId="3342" xr:uid="{00000000-0005-0000-0000-0000A3230000}"/>
    <cellStyle name="Normal 7 2 3" xfId="7646" xr:uid="{00000000-0005-0000-0000-0000A4230000}"/>
    <cellStyle name="Normal 7 2 4" xfId="9722" xr:uid="{00000000-0005-0000-0000-0000A5230000}"/>
    <cellStyle name="Normal 7 3" xfId="3343" xr:uid="{00000000-0005-0000-0000-0000A6230000}"/>
    <cellStyle name="Normal 7 3 2" xfId="5524" xr:uid="{00000000-0005-0000-0000-0000A7230000}"/>
    <cellStyle name="Normal 7 3 3" xfId="7647" xr:uid="{00000000-0005-0000-0000-0000A8230000}"/>
    <cellStyle name="Normal 7 3 4" xfId="9723" xr:uid="{00000000-0005-0000-0000-0000A9230000}"/>
    <cellStyle name="Normal 7 4" xfId="3344" xr:uid="{00000000-0005-0000-0000-0000AA230000}"/>
    <cellStyle name="Normal 7 4 2" xfId="5525" xr:uid="{00000000-0005-0000-0000-0000AB230000}"/>
    <cellStyle name="Normal 7 4 3" xfId="7648" xr:uid="{00000000-0005-0000-0000-0000AC230000}"/>
    <cellStyle name="Normal 7 4 4" xfId="9724" xr:uid="{00000000-0005-0000-0000-0000AD230000}"/>
    <cellStyle name="Normal 7 5" xfId="3345" xr:uid="{00000000-0005-0000-0000-0000AE230000}"/>
    <cellStyle name="Normal 7 5 2" xfId="5526" xr:uid="{00000000-0005-0000-0000-0000AF230000}"/>
    <cellStyle name="Normal 7 5 3" xfId="7649" xr:uid="{00000000-0005-0000-0000-0000B0230000}"/>
    <cellStyle name="Normal 7 5 4" xfId="9725" xr:uid="{00000000-0005-0000-0000-0000B1230000}"/>
    <cellStyle name="Normal 7 6" xfId="3346" xr:uid="{00000000-0005-0000-0000-0000B2230000}"/>
    <cellStyle name="Normal 7 6 2" xfId="5527" xr:uid="{00000000-0005-0000-0000-0000B3230000}"/>
    <cellStyle name="Normal 7 6 3" xfId="7650" xr:uid="{00000000-0005-0000-0000-0000B4230000}"/>
    <cellStyle name="Normal 7 6 4" xfId="9726" xr:uid="{00000000-0005-0000-0000-0000B5230000}"/>
    <cellStyle name="Normal 7 7" xfId="3347" xr:uid="{00000000-0005-0000-0000-0000B6230000}"/>
    <cellStyle name="Normal 7 7 2" xfId="5528" xr:uid="{00000000-0005-0000-0000-0000B7230000}"/>
    <cellStyle name="Normal 7 7 3" xfId="7651" xr:uid="{00000000-0005-0000-0000-0000B8230000}"/>
    <cellStyle name="Normal 7 7 4" xfId="9727" xr:uid="{00000000-0005-0000-0000-0000B9230000}"/>
    <cellStyle name="Normal 7 8" xfId="3348" xr:uid="{00000000-0005-0000-0000-0000BA230000}"/>
    <cellStyle name="Normal 7 8 2" xfId="5529" xr:uid="{00000000-0005-0000-0000-0000BB230000}"/>
    <cellStyle name="Normal 7 8 3" xfId="7652" xr:uid="{00000000-0005-0000-0000-0000BC230000}"/>
    <cellStyle name="Normal 7 8 4" xfId="9728" xr:uid="{00000000-0005-0000-0000-0000BD230000}"/>
    <cellStyle name="Normal 7 9" xfId="3349" xr:uid="{00000000-0005-0000-0000-0000BE230000}"/>
    <cellStyle name="Normal 7 9 2" xfId="5530" xr:uid="{00000000-0005-0000-0000-0000BF230000}"/>
    <cellStyle name="Normal 7 9 3" xfId="7653" xr:uid="{00000000-0005-0000-0000-0000C0230000}"/>
    <cellStyle name="Normal 7 9 4" xfId="9729" xr:uid="{00000000-0005-0000-0000-0000C1230000}"/>
    <cellStyle name="Normal 70" xfId="116" xr:uid="{00000000-0005-0000-0000-0000C2230000}"/>
    <cellStyle name="Normal 70 2" xfId="225" xr:uid="{00000000-0005-0000-0000-0000C3230000}"/>
    <cellStyle name="Normal 70 2 2" xfId="5531" xr:uid="{00000000-0005-0000-0000-0000C4230000}"/>
    <cellStyle name="Normal 70 3" xfId="3350" xr:uid="{00000000-0005-0000-0000-0000C5230000}"/>
    <cellStyle name="Normal 70 4" xfId="9730" xr:uid="{00000000-0005-0000-0000-0000C6230000}"/>
    <cellStyle name="Normal 71" xfId="117" xr:uid="{00000000-0005-0000-0000-0000C7230000}"/>
    <cellStyle name="Normal 71 2" xfId="5532" xr:uid="{00000000-0005-0000-0000-0000C8230000}"/>
    <cellStyle name="Normal 71 3" xfId="7654" xr:uid="{00000000-0005-0000-0000-0000C9230000}"/>
    <cellStyle name="Normal 71 4" xfId="9731" xr:uid="{00000000-0005-0000-0000-0000CA230000}"/>
    <cellStyle name="Normal 72" xfId="119" xr:uid="{00000000-0005-0000-0000-0000CB230000}"/>
    <cellStyle name="Normal 72 2" xfId="226" xr:uid="{00000000-0005-0000-0000-0000CC230000}"/>
    <cellStyle name="Normal 72 2 2" xfId="5533" xr:uid="{00000000-0005-0000-0000-0000CD230000}"/>
    <cellStyle name="Normal 72 3" xfId="3351" xr:uid="{00000000-0005-0000-0000-0000CE230000}"/>
    <cellStyle name="Normal 72 4" xfId="9732" xr:uid="{00000000-0005-0000-0000-0000CF230000}"/>
    <cellStyle name="Normal 73" xfId="121" xr:uid="{00000000-0005-0000-0000-0000D0230000}"/>
    <cellStyle name="Normal 73 2" xfId="228" xr:uid="{00000000-0005-0000-0000-0000D1230000}"/>
    <cellStyle name="Normal 73 2 2" xfId="5534" xr:uid="{00000000-0005-0000-0000-0000D2230000}"/>
    <cellStyle name="Normal 73 3" xfId="3352" xr:uid="{00000000-0005-0000-0000-0000D3230000}"/>
    <cellStyle name="Normal 73 4" xfId="9733" xr:uid="{00000000-0005-0000-0000-0000D4230000}"/>
    <cellStyle name="Normal 74" xfId="122" xr:uid="{00000000-0005-0000-0000-0000D5230000}"/>
    <cellStyle name="Normal 74 2" xfId="229" xr:uid="{00000000-0005-0000-0000-0000D6230000}"/>
    <cellStyle name="Normal 74 2 2" xfId="5535" xr:uid="{00000000-0005-0000-0000-0000D7230000}"/>
    <cellStyle name="Normal 74 3" xfId="3353" xr:uid="{00000000-0005-0000-0000-0000D8230000}"/>
    <cellStyle name="Normal 74 4" xfId="9734" xr:uid="{00000000-0005-0000-0000-0000D9230000}"/>
    <cellStyle name="Normal 75" xfId="123" xr:uid="{00000000-0005-0000-0000-0000DA230000}"/>
    <cellStyle name="Normal 75 2" xfId="230" xr:uid="{00000000-0005-0000-0000-0000DB230000}"/>
    <cellStyle name="Normal 75 2 2" xfId="5536" xr:uid="{00000000-0005-0000-0000-0000DC230000}"/>
    <cellStyle name="Normal 75 3" xfId="3354" xr:uid="{00000000-0005-0000-0000-0000DD230000}"/>
    <cellStyle name="Normal 75 4" xfId="9735" xr:uid="{00000000-0005-0000-0000-0000DE230000}"/>
    <cellStyle name="Normal 76" xfId="124" xr:uid="{00000000-0005-0000-0000-0000DF230000}"/>
    <cellStyle name="Normal 76 2" xfId="231" xr:uid="{00000000-0005-0000-0000-0000E0230000}"/>
    <cellStyle name="Normal 76 2 2" xfId="5537" xr:uid="{00000000-0005-0000-0000-0000E1230000}"/>
    <cellStyle name="Normal 76 3" xfId="3355" xr:uid="{00000000-0005-0000-0000-0000E2230000}"/>
    <cellStyle name="Normal 76 4" xfId="9736" xr:uid="{00000000-0005-0000-0000-0000E3230000}"/>
    <cellStyle name="Normal 77" xfId="125" xr:uid="{00000000-0005-0000-0000-0000E4230000}"/>
    <cellStyle name="Normal 77 2" xfId="232" xr:uid="{00000000-0005-0000-0000-0000E5230000}"/>
    <cellStyle name="Normal 77 2 2" xfId="5538" xr:uid="{00000000-0005-0000-0000-0000E6230000}"/>
    <cellStyle name="Normal 77 3" xfId="3356" xr:uid="{00000000-0005-0000-0000-0000E7230000}"/>
    <cellStyle name="Normal 77 4" xfId="9737" xr:uid="{00000000-0005-0000-0000-0000E8230000}"/>
    <cellStyle name="Normal 78" xfId="126" xr:uid="{00000000-0005-0000-0000-0000E9230000}"/>
    <cellStyle name="Normal 78 2" xfId="233" xr:uid="{00000000-0005-0000-0000-0000EA230000}"/>
    <cellStyle name="Normal 78 2 2" xfId="5539" xr:uid="{00000000-0005-0000-0000-0000EB230000}"/>
    <cellStyle name="Normal 78 3" xfId="3357" xr:uid="{00000000-0005-0000-0000-0000EC230000}"/>
    <cellStyle name="Normal 78 4" xfId="9738" xr:uid="{00000000-0005-0000-0000-0000ED230000}"/>
    <cellStyle name="Normal 79" xfId="127" xr:uid="{00000000-0005-0000-0000-0000EE230000}"/>
    <cellStyle name="Normal 79 2" xfId="234" xr:uid="{00000000-0005-0000-0000-0000EF230000}"/>
    <cellStyle name="Normal 79 2 2" xfId="5540" xr:uid="{00000000-0005-0000-0000-0000F0230000}"/>
    <cellStyle name="Normal 79 3" xfId="3358" xr:uid="{00000000-0005-0000-0000-0000F1230000}"/>
    <cellStyle name="Normal 79 4" xfId="9739" xr:uid="{00000000-0005-0000-0000-0000F2230000}"/>
    <cellStyle name="Normal 8" xfId="32" xr:uid="{00000000-0005-0000-0000-0000F3230000}"/>
    <cellStyle name="Normal 8 10" xfId="3359" xr:uid="{00000000-0005-0000-0000-0000F4230000}"/>
    <cellStyle name="Normal 8 11" xfId="7655" xr:uid="{00000000-0005-0000-0000-0000F5230000}"/>
    <cellStyle name="Normal 8 12" xfId="9740" xr:uid="{00000000-0005-0000-0000-0000F6230000}"/>
    <cellStyle name="Normal 8 2" xfId="156" xr:uid="{00000000-0005-0000-0000-0000F7230000}"/>
    <cellStyle name="Normal 8 2 2" xfId="3360" xr:uid="{00000000-0005-0000-0000-0000F8230000}"/>
    <cellStyle name="Normal 8 2 3" xfId="7656" xr:uid="{00000000-0005-0000-0000-0000F9230000}"/>
    <cellStyle name="Normal 8 2 4" xfId="9741" xr:uid="{00000000-0005-0000-0000-0000FA230000}"/>
    <cellStyle name="Normal 8 3" xfId="3361" xr:uid="{00000000-0005-0000-0000-0000FB230000}"/>
    <cellStyle name="Normal 8 3 2" xfId="5541" xr:uid="{00000000-0005-0000-0000-0000FC230000}"/>
    <cellStyle name="Normal 8 3 3" xfId="7657" xr:uid="{00000000-0005-0000-0000-0000FD230000}"/>
    <cellStyle name="Normal 8 3 4" xfId="9742" xr:uid="{00000000-0005-0000-0000-0000FE230000}"/>
    <cellStyle name="Normal 8 4" xfId="3362" xr:uid="{00000000-0005-0000-0000-0000FF230000}"/>
    <cellStyle name="Normal 8 4 2" xfId="5542" xr:uid="{00000000-0005-0000-0000-000000240000}"/>
    <cellStyle name="Normal 8 4 3" xfId="7658" xr:uid="{00000000-0005-0000-0000-000001240000}"/>
    <cellStyle name="Normal 8 4 4" xfId="9743" xr:uid="{00000000-0005-0000-0000-000002240000}"/>
    <cellStyle name="Normal 8 5" xfId="3363" xr:uid="{00000000-0005-0000-0000-000003240000}"/>
    <cellStyle name="Normal 8 5 2" xfId="5543" xr:uid="{00000000-0005-0000-0000-000004240000}"/>
    <cellStyle name="Normal 8 5 3" xfId="7659" xr:uid="{00000000-0005-0000-0000-000005240000}"/>
    <cellStyle name="Normal 8 5 4" xfId="9744" xr:uid="{00000000-0005-0000-0000-000006240000}"/>
    <cellStyle name="Normal 8 6" xfId="3364" xr:uid="{00000000-0005-0000-0000-000007240000}"/>
    <cellStyle name="Normal 8 6 2" xfId="5544" xr:uid="{00000000-0005-0000-0000-000008240000}"/>
    <cellStyle name="Normal 8 6 3" xfId="7660" xr:uid="{00000000-0005-0000-0000-000009240000}"/>
    <cellStyle name="Normal 8 6 4" xfId="9745" xr:uid="{00000000-0005-0000-0000-00000A240000}"/>
    <cellStyle name="Normal 8 7" xfId="3365" xr:uid="{00000000-0005-0000-0000-00000B240000}"/>
    <cellStyle name="Normal 8 7 2" xfId="5545" xr:uid="{00000000-0005-0000-0000-00000C240000}"/>
    <cellStyle name="Normal 8 7 3" xfId="7661" xr:uid="{00000000-0005-0000-0000-00000D240000}"/>
    <cellStyle name="Normal 8 7 4" xfId="9746" xr:uid="{00000000-0005-0000-0000-00000E240000}"/>
    <cellStyle name="Normal 8 8" xfId="3366" xr:uid="{00000000-0005-0000-0000-00000F240000}"/>
    <cellStyle name="Normal 8 9" xfId="3367" xr:uid="{00000000-0005-0000-0000-000010240000}"/>
    <cellStyle name="Normal 8 9 2" xfId="5546" xr:uid="{00000000-0005-0000-0000-000011240000}"/>
    <cellStyle name="Normal 8 9 3" xfId="7662" xr:uid="{00000000-0005-0000-0000-000012240000}"/>
    <cellStyle name="Normal 8 9 4" xfId="9747" xr:uid="{00000000-0005-0000-0000-000013240000}"/>
    <cellStyle name="Normal 80" xfId="128" xr:uid="{00000000-0005-0000-0000-000014240000}"/>
    <cellStyle name="Normal 80 2" xfId="235" xr:uid="{00000000-0005-0000-0000-000015240000}"/>
    <cellStyle name="Normal 80 2 2" xfId="5547" xr:uid="{00000000-0005-0000-0000-000016240000}"/>
    <cellStyle name="Normal 80 3" xfId="3368" xr:uid="{00000000-0005-0000-0000-000017240000}"/>
    <cellStyle name="Normal 80 4" xfId="9748" xr:uid="{00000000-0005-0000-0000-000018240000}"/>
    <cellStyle name="Normal 81" xfId="132" xr:uid="{00000000-0005-0000-0000-000019240000}"/>
    <cellStyle name="Normal 81 2" xfId="239" xr:uid="{00000000-0005-0000-0000-00001A240000}"/>
    <cellStyle name="Normal 81 2 2" xfId="5548" xr:uid="{00000000-0005-0000-0000-00001B240000}"/>
    <cellStyle name="Normal 81 3" xfId="3369" xr:uid="{00000000-0005-0000-0000-00001C240000}"/>
    <cellStyle name="Normal 81 4" xfId="9749" xr:uid="{00000000-0005-0000-0000-00001D240000}"/>
    <cellStyle name="Normal 82" xfId="133" xr:uid="{00000000-0005-0000-0000-00001E240000}"/>
    <cellStyle name="Normal 82 2" xfId="240" xr:uid="{00000000-0005-0000-0000-00001F240000}"/>
    <cellStyle name="Normal 83" xfId="134" xr:uid="{00000000-0005-0000-0000-000020240000}"/>
    <cellStyle name="Normal 83 2" xfId="241" xr:uid="{00000000-0005-0000-0000-000021240000}"/>
    <cellStyle name="Normal 84" xfId="135" xr:uid="{00000000-0005-0000-0000-000022240000}"/>
    <cellStyle name="Normal 84 2" xfId="242" xr:uid="{00000000-0005-0000-0000-000023240000}"/>
    <cellStyle name="Normal 85" xfId="136" xr:uid="{00000000-0005-0000-0000-000024240000}"/>
    <cellStyle name="Normal 85 2" xfId="243" xr:uid="{00000000-0005-0000-0000-000025240000}"/>
    <cellStyle name="Normal 86" xfId="137" xr:uid="{00000000-0005-0000-0000-000026240000}"/>
    <cellStyle name="Normal 86 2" xfId="244" xr:uid="{00000000-0005-0000-0000-000027240000}"/>
    <cellStyle name="Normal 87" xfId="138" xr:uid="{00000000-0005-0000-0000-000028240000}"/>
    <cellStyle name="Normal 87 2" xfId="245" xr:uid="{00000000-0005-0000-0000-000029240000}"/>
    <cellStyle name="Normal 88" xfId="139" xr:uid="{00000000-0005-0000-0000-00002A240000}"/>
    <cellStyle name="Normal 88 2" xfId="246" xr:uid="{00000000-0005-0000-0000-00002B240000}"/>
    <cellStyle name="Normal 89" xfId="140" xr:uid="{00000000-0005-0000-0000-00002C240000}"/>
    <cellStyle name="Normal 89 2" xfId="247" xr:uid="{00000000-0005-0000-0000-00002D240000}"/>
    <cellStyle name="Normal 9" xfId="35" xr:uid="{00000000-0005-0000-0000-00002E240000}"/>
    <cellStyle name="Normal 9 10" xfId="3370" xr:uid="{00000000-0005-0000-0000-00002F240000}"/>
    <cellStyle name="Normal 9 11" xfId="7663" xr:uid="{00000000-0005-0000-0000-000030240000}"/>
    <cellStyle name="Normal 9 12" xfId="9750" xr:uid="{00000000-0005-0000-0000-000031240000}"/>
    <cellStyle name="Normal 9 2" xfId="159" xr:uid="{00000000-0005-0000-0000-000032240000}"/>
    <cellStyle name="Normal 9 2 2" xfId="3371" xr:uid="{00000000-0005-0000-0000-000033240000}"/>
    <cellStyle name="Normal 9 2 3" xfId="7664" xr:uid="{00000000-0005-0000-0000-000034240000}"/>
    <cellStyle name="Normal 9 2 4" xfId="9751" xr:uid="{00000000-0005-0000-0000-000035240000}"/>
    <cellStyle name="Normal 9 3" xfId="3372" xr:uid="{00000000-0005-0000-0000-000036240000}"/>
    <cellStyle name="Normal 9 3 2" xfId="5549" xr:uid="{00000000-0005-0000-0000-000037240000}"/>
    <cellStyle name="Normal 9 3 3" xfId="7665" xr:uid="{00000000-0005-0000-0000-000038240000}"/>
    <cellStyle name="Normal 9 3 4" xfId="9752" xr:uid="{00000000-0005-0000-0000-000039240000}"/>
    <cellStyle name="Normal 9 4" xfId="3373" xr:uid="{00000000-0005-0000-0000-00003A240000}"/>
    <cellStyle name="Normal 9 4 2" xfId="5550" xr:uid="{00000000-0005-0000-0000-00003B240000}"/>
    <cellStyle name="Normal 9 4 3" xfId="7666" xr:uid="{00000000-0005-0000-0000-00003C240000}"/>
    <cellStyle name="Normal 9 4 4" xfId="9753" xr:uid="{00000000-0005-0000-0000-00003D240000}"/>
    <cellStyle name="Normal 9 5" xfId="3374" xr:uid="{00000000-0005-0000-0000-00003E240000}"/>
    <cellStyle name="Normal 9 5 2" xfId="5551" xr:uid="{00000000-0005-0000-0000-00003F240000}"/>
    <cellStyle name="Normal 9 5 3" xfId="7667" xr:uid="{00000000-0005-0000-0000-000040240000}"/>
    <cellStyle name="Normal 9 5 4" xfId="9754" xr:uid="{00000000-0005-0000-0000-000041240000}"/>
    <cellStyle name="Normal 9 6" xfId="3375" xr:uid="{00000000-0005-0000-0000-000042240000}"/>
    <cellStyle name="Normal 9 6 2" xfId="5552" xr:uid="{00000000-0005-0000-0000-000043240000}"/>
    <cellStyle name="Normal 9 6 3" xfId="7668" xr:uid="{00000000-0005-0000-0000-000044240000}"/>
    <cellStyle name="Normal 9 6 4" xfId="9755" xr:uid="{00000000-0005-0000-0000-000045240000}"/>
    <cellStyle name="Normal 9 7" xfId="3376" xr:uid="{00000000-0005-0000-0000-000046240000}"/>
    <cellStyle name="Normal 9 7 2" xfId="5553" xr:uid="{00000000-0005-0000-0000-000047240000}"/>
    <cellStyle name="Normal 9 7 3" xfId="7669" xr:uid="{00000000-0005-0000-0000-000048240000}"/>
    <cellStyle name="Normal 9 7 4" xfId="9756" xr:uid="{00000000-0005-0000-0000-000049240000}"/>
    <cellStyle name="Normal 9 8" xfId="3377" xr:uid="{00000000-0005-0000-0000-00004A240000}"/>
    <cellStyle name="Normal 9 8 2" xfId="5554" xr:uid="{00000000-0005-0000-0000-00004B240000}"/>
    <cellStyle name="Normal 9 8 3" xfId="7670" xr:uid="{00000000-0005-0000-0000-00004C240000}"/>
    <cellStyle name="Normal 9 8 4" xfId="9757" xr:uid="{00000000-0005-0000-0000-00004D240000}"/>
    <cellStyle name="Normal 9 9" xfId="3378" xr:uid="{00000000-0005-0000-0000-00004E240000}"/>
    <cellStyle name="Normal 9 9 2" xfId="5555" xr:uid="{00000000-0005-0000-0000-00004F240000}"/>
    <cellStyle name="Normal 9 9 3" xfId="7671" xr:uid="{00000000-0005-0000-0000-000050240000}"/>
    <cellStyle name="Normal 9 9 4" xfId="9758" xr:uid="{00000000-0005-0000-0000-000051240000}"/>
    <cellStyle name="Normal 90" xfId="141" xr:uid="{00000000-0005-0000-0000-000052240000}"/>
    <cellStyle name="Normal 90 2" xfId="248" xr:uid="{00000000-0005-0000-0000-000053240000}"/>
    <cellStyle name="Normal 91" xfId="142" xr:uid="{00000000-0005-0000-0000-000054240000}"/>
    <cellStyle name="Normal 91 2" xfId="5556" xr:uid="{00000000-0005-0000-0000-000055240000}"/>
    <cellStyle name="Normal 91 3" xfId="7672" xr:uid="{00000000-0005-0000-0000-000056240000}"/>
    <cellStyle name="Normal 91 4" xfId="9759" xr:uid="{00000000-0005-0000-0000-000057240000}"/>
    <cellStyle name="Normal 92" xfId="144" xr:uid="{00000000-0005-0000-0000-000058240000}"/>
    <cellStyle name="Normal 92 2" xfId="3379" xr:uid="{00000000-0005-0000-0000-000059240000}"/>
    <cellStyle name="Normal 93" xfId="145" xr:uid="{00000000-0005-0000-0000-00005A240000}"/>
    <cellStyle name="Normal 93 2" xfId="5557" xr:uid="{00000000-0005-0000-0000-00005B240000}"/>
    <cellStyle name="Normal 93 3" xfId="7673" xr:uid="{00000000-0005-0000-0000-00005C240000}"/>
    <cellStyle name="Normal 93 4" xfId="9760" xr:uid="{00000000-0005-0000-0000-00005D240000}"/>
    <cellStyle name="Normal 94" xfId="147" xr:uid="{00000000-0005-0000-0000-00005E240000}"/>
    <cellStyle name="Normal 94 2" xfId="3380" xr:uid="{00000000-0005-0000-0000-00005F240000}"/>
    <cellStyle name="Normal 94 3" xfId="7674" xr:uid="{00000000-0005-0000-0000-000060240000}"/>
    <cellStyle name="Normal 94 4" xfId="9761" xr:uid="{00000000-0005-0000-0000-000061240000}"/>
    <cellStyle name="Normal 95" xfId="146" xr:uid="{00000000-0005-0000-0000-000062240000}"/>
    <cellStyle name="Normal 95 2" xfId="5558" xr:uid="{00000000-0005-0000-0000-000063240000}"/>
    <cellStyle name="Normal 95 3" xfId="7675" xr:uid="{00000000-0005-0000-0000-000064240000}"/>
    <cellStyle name="Normal 95 4" xfId="9762" xr:uid="{00000000-0005-0000-0000-000065240000}"/>
    <cellStyle name="Normal 96" xfId="249" xr:uid="{00000000-0005-0000-0000-000066240000}"/>
    <cellStyle name="Normal 96 2" xfId="3381" xr:uid="{00000000-0005-0000-0000-000067240000}"/>
    <cellStyle name="Normal 96 2 2" xfId="5560" xr:uid="{00000000-0005-0000-0000-000068240000}"/>
    <cellStyle name="Normal 96 2 3" xfId="7677" xr:uid="{00000000-0005-0000-0000-000069240000}"/>
    <cellStyle name="Normal 96 2 4" xfId="9764" xr:uid="{00000000-0005-0000-0000-00006A240000}"/>
    <cellStyle name="Normal 96 3" xfId="5559" xr:uid="{00000000-0005-0000-0000-00006B240000}"/>
    <cellStyle name="Normal 96 4" xfId="7676" xr:uid="{00000000-0005-0000-0000-00006C240000}"/>
    <cellStyle name="Normal 96 5" xfId="9763" xr:uid="{00000000-0005-0000-0000-00006D240000}"/>
    <cellStyle name="Normal 97" xfId="255" xr:uid="{00000000-0005-0000-0000-00006E240000}"/>
    <cellStyle name="Normal 97 2" xfId="3382" xr:uid="{00000000-0005-0000-0000-00006F240000}"/>
    <cellStyle name="Normal 97 2 2" xfId="5562" xr:uid="{00000000-0005-0000-0000-000070240000}"/>
    <cellStyle name="Normal 97 2 3" xfId="7679" xr:uid="{00000000-0005-0000-0000-000071240000}"/>
    <cellStyle name="Normal 97 2 4" xfId="9766" xr:uid="{00000000-0005-0000-0000-000072240000}"/>
    <cellStyle name="Normal 97 3" xfId="5561" xr:uid="{00000000-0005-0000-0000-000073240000}"/>
    <cellStyle name="Normal 97 4" xfId="7678" xr:uid="{00000000-0005-0000-0000-000074240000}"/>
    <cellStyle name="Normal 97 5" xfId="9765" xr:uid="{00000000-0005-0000-0000-000075240000}"/>
    <cellStyle name="Normal 98" xfId="256" xr:uid="{00000000-0005-0000-0000-000076240000}"/>
    <cellStyle name="Normal 98 2" xfId="5563" xr:uid="{00000000-0005-0000-0000-000077240000}"/>
    <cellStyle name="Normal 98 3" xfId="7680" xr:uid="{00000000-0005-0000-0000-000078240000}"/>
    <cellStyle name="Normal 98 4" xfId="9767" xr:uid="{00000000-0005-0000-0000-000079240000}"/>
    <cellStyle name="Normal 99" xfId="257" xr:uid="{00000000-0005-0000-0000-00007A240000}"/>
    <cellStyle name="Normal10???????????????????????????????????????????????" xfId="9981" xr:uid="{00000000-0005-0000-0000-00007B240000}"/>
    <cellStyle name="Normal11???????????????????????????????????????????????" xfId="9982" xr:uid="{00000000-0005-0000-0000-00007C240000}"/>
    <cellStyle name="Normal12???????????????????????????????????????????????" xfId="9984" xr:uid="{00000000-0005-0000-0000-00007D240000}"/>
    <cellStyle name="Normal121" xfId="9983" xr:uid="{00000000-0005-0000-0000-00007E240000}"/>
    <cellStyle name="Normal5???????????????????????????????????????????????" xfId="9976" xr:uid="{00000000-0005-0000-0000-00007F240000}"/>
    <cellStyle name="Normal6???????????????????????????????????????????????" xfId="9977" xr:uid="{00000000-0005-0000-0000-000080240000}"/>
    <cellStyle name="Normal65???????????????????????????????????????????????" xfId="9986" xr:uid="{00000000-0005-0000-0000-000081240000}"/>
    <cellStyle name="Normal7???????????????????????????????????????????????" xfId="9978" xr:uid="{00000000-0005-0000-0000-000082240000}"/>
    <cellStyle name="Normal8???????????????????????????????????????????????" xfId="9979" xr:uid="{00000000-0005-0000-0000-000083240000}"/>
    <cellStyle name="Normal9???????????????????????????????????????????????" xfId="9980" xr:uid="{00000000-0005-0000-0000-000084240000}"/>
    <cellStyle name="NotDeclared_14???????????????????????????????????????????????" xfId="9985" xr:uid="{00000000-0005-0000-0000-000085240000}"/>
    <cellStyle name="Note 10" xfId="3383" xr:uid="{00000000-0005-0000-0000-000086240000}"/>
    <cellStyle name="Note 10 10" xfId="9768" xr:uid="{00000000-0005-0000-0000-000087240000}"/>
    <cellStyle name="Note 10 2" xfId="3384" xr:uid="{00000000-0005-0000-0000-000088240000}"/>
    <cellStyle name="Note 10 2 2" xfId="5565" xr:uid="{00000000-0005-0000-0000-000089240000}"/>
    <cellStyle name="Note 10 2 3" xfId="7682" xr:uid="{00000000-0005-0000-0000-00008A240000}"/>
    <cellStyle name="Note 10 2 4" xfId="9769" xr:uid="{00000000-0005-0000-0000-00008B240000}"/>
    <cellStyle name="Note 10 3" xfId="3385" xr:uid="{00000000-0005-0000-0000-00008C240000}"/>
    <cellStyle name="Note 10 3 2" xfId="5566" xr:uid="{00000000-0005-0000-0000-00008D240000}"/>
    <cellStyle name="Note 10 3 3" xfId="7683" xr:uid="{00000000-0005-0000-0000-00008E240000}"/>
    <cellStyle name="Note 10 3 4" xfId="9770" xr:uid="{00000000-0005-0000-0000-00008F240000}"/>
    <cellStyle name="Note 10 4" xfId="3386" xr:uid="{00000000-0005-0000-0000-000090240000}"/>
    <cellStyle name="Note 10 4 2" xfId="5567" xr:uid="{00000000-0005-0000-0000-000091240000}"/>
    <cellStyle name="Note 10 4 3" xfId="7684" xr:uid="{00000000-0005-0000-0000-000092240000}"/>
    <cellStyle name="Note 10 4 4" xfId="9771" xr:uid="{00000000-0005-0000-0000-000093240000}"/>
    <cellStyle name="Note 10 5" xfId="3387" xr:uid="{00000000-0005-0000-0000-000094240000}"/>
    <cellStyle name="Note 10 5 2" xfId="5568" xr:uid="{00000000-0005-0000-0000-000095240000}"/>
    <cellStyle name="Note 10 5 3" xfId="7685" xr:uid="{00000000-0005-0000-0000-000096240000}"/>
    <cellStyle name="Note 10 5 4" xfId="9772" xr:uid="{00000000-0005-0000-0000-000097240000}"/>
    <cellStyle name="Note 10 6" xfId="3388" xr:uid="{00000000-0005-0000-0000-000098240000}"/>
    <cellStyle name="Note 10 6 2" xfId="5569" xr:uid="{00000000-0005-0000-0000-000099240000}"/>
    <cellStyle name="Note 10 6 3" xfId="7686" xr:uid="{00000000-0005-0000-0000-00009A240000}"/>
    <cellStyle name="Note 10 6 4" xfId="9773" xr:uid="{00000000-0005-0000-0000-00009B240000}"/>
    <cellStyle name="Note 10 7" xfId="3389" xr:uid="{00000000-0005-0000-0000-00009C240000}"/>
    <cellStyle name="Note 10 7 2" xfId="5570" xr:uid="{00000000-0005-0000-0000-00009D240000}"/>
    <cellStyle name="Note 10 7 3" xfId="7687" xr:uid="{00000000-0005-0000-0000-00009E240000}"/>
    <cellStyle name="Note 10 7 4" xfId="9774" xr:uid="{00000000-0005-0000-0000-00009F240000}"/>
    <cellStyle name="Note 10 8" xfId="5564" xr:uid="{00000000-0005-0000-0000-0000A0240000}"/>
    <cellStyle name="Note 10 9" xfId="7681" xr:uid="{00000000-0005-0000-0000-0000A1240000}"/>
    <cellStyle name="Note 11" xfId="3390" xr:uid="{00000000-0005-0000-0000-0000A2240000}"/>
    <cellStyle name="Note 11 10" xfId="9775" xr:uid="{00000000-0005-0000-0000-0000A3240000}"/>
    <cellStyle name="Note 11 2" xfId="3391" xr:uid="{00000000-0005-0000-0000-0000A4240000}"/>
    <cellStyle name="Note 11 2 2" xfId="5572" xr:uid="{00000000-0005-0000-0000-0000A5240000}"/>
    <cellStyle name="Note 11 2 3" xfId="7689" xr:uid="{00000000-0005-0000-0000-0000A6240000}"/>
    <cellStyle name="Note 11 2 4" xfId="9776" xr:uid="{00000000-0005-0000-0000-0000A7240000}"/>
    <cellStyle name="Note 11 3" xfId="3392" xr:uid="{00000000-0005-0000-0000-0000A8240000}"/>
    <cellStyle name="Note 11 3 2" xfId="5573" xr:uid="{00000000-0005-0000-0000-0000A9240000}"/>
    <cellStyle name="Note 11 3 3" xfId="7690" xr:uid="{00000000-0005-0000-0000-0000AA240000}"/>
    <cellStyle name="Note 11 3 4" xfId="9777" xr:uid="{00000000-0005-0000-0000-0000AB240000}"/>
    <cellStyle name="Note 11 4" xfId="3393" xr:uid="{00000000-0005-0000-0000-0000AC240000}"/>
    <cellStyle name="Note 11 4 2" xfId="5574" xr:uid="{00000000-0005-0000-0000-0000AD240000}"/>
    <cellStyle name="Note 11 4 3" xfId="7691" xr:uid="{00000000-0005-0000-0000-0000AE240000}"/>
    <cellStyle name="Note 11 4 4" xfId="9778" xr:uid="{00000000-0005-0000-0000-0000AF240000}"/>
    <cellStyle name="Note 11 5" xfId="3394" xr:uid="{00000000-0005-0000-0000-0000B0240000}"/>
    <cellStyle name="Note 11 5 2" xfId="5575" xr:uid="{00000000-0005-0000-0000-0000B1240000}"/>
    <cellStyle name="Note 11 5 3" xfId="7692" xr:uid="{00000000-0005-0000-0000-0000B2240000}"/>
    <cellStyle name="Note 11 5 4" xfId="9779" xr:uid="{00000000-0005-0000-0000-0000B3240000}"/>
    <cellStyle name="Note 11 6" xfId="3395" xr:uid="{00000000-0005-0000-0000-0000B4240000}"/>
    <cellStyle name="Note 11 6 2" xfId="5576" xr:uid="{00000000-0005-0000-0000-0000B5240000}"/>
    <cellStyle name="Note 11 6 3" xfId="7693" xr:uid="{00000000-0005-0000-0000-0000B6240000}"/>
    <cellStyle name="Note 11 6 4" xfId="9780" xr:uid="{00000000-0005-0000-0000-0000B7240000}"/>
    <cellStyle name="Note 11 7" xfId="3396" xr:uid="{00000000-0005-0000-0000-0000B8240000}"/>
    <cellStyle name="Note 11 7 2" xfId="5577" xr:uid="{00000000-0005-0000-0000-0000B9240000}"/>
    <cellStyle name="Note 11 7 3" xfId="7694" xr:uid="{00000000-0005-0000-0000-0000BA240000}"/>
    <cellStyle name="Note 11 7 4" xfId="9781" xr:uid="{00000000-0005-0000-0000-0000BB240000}"/>
    <cellStyle name="Note 11 8" xfId="5571" xr:uid="{00000000-0005-0000-0000-0000BC240000}"/>
    <cellStyle name="Note 11 9" xfId="7688" xr:uid="{00000000-0005-0000-0000-0000BD240000}"/>
    <cellStyle name="Note 12" xfId="3397" xr:uid="{00000000-0005-0000-0000-0000BE240000}"/>
    <cellStyle name="Note 12 2" xfId="3398" xr:uid="{00000000-0005-0000-0000-0000BF240000}"/>
    <cellStyle name="Note 12 2 2" xfId="5579" xr:uid="{00000000-0005-0000-0000-0000C0240000}"/>
    <cellStyle name="Note 12 2 3" xfId="7696" xr:uid="{00000000-0005-0000-0000-0000C1240000}"/>
    <cellStyle name="Note 12 2 4" xfId="9783" xr:uid="{00000000-0005-0000-0000-0000C2240000}"/>
    <cellStyle name="Note 12 3" xfId="3399" xr:uid="{00000000-0005-0000-0000-0000C3240000}"/>
    <cellStyle name="Note 12 3 2" xfId="5580" xr:uid="{00000000-0005-0000-0000-0000C4240000}"/>
    <cellStyle name="Note 12 3 3" xfId="7697" xr:uid="{00000000-0005-0000-0000-0000C5240000}"/>
    <cellStyle name="Note 12 3 4" xfId="9784" xr:uid="{00000000-0005-0000-0000-0000C6240000}"/>
    <cellStyle name="Note 12 4" xfId="3400" xr:uid="{00000000-0005-0000-0000-0000C7240000}"/>
    <cellStyle name="Note 12 4 2" xfId="5581" xr:uid="{00000000-0005-0000-0000-0000C8240000}"/>
    <cellStyle name="Note 12 4 3" xfId="7698" xr:uid="{00000000-0005-0000-0000-0000C9240000}"/>
    <cellStyle name="Note 12 4 4" xfId="9785" xr:uid="{00000000-0005-0000-0000-0000CA240000}"/>
    <cellStyle name="Note 12 5" xfId="3401" xr:uid="{00000000-0005-0000-0000-0000CB240000}"/>
    <cellStyle name="Note 12 5 2" xfId="5582" xr:uid="{00000000-0005-0000-0000-0000CC240000}"/>
    <cellStyle name="Note 12 5 3" xfId="7699" xr:uid="{00000000-0005-0000-0000-0000CD240000}"/>
    <cellStyle name="Note 12 5 4" xfId="9786" xr:uid="{00000000-0005-0000-0000-0000CE240000}"/>
    <cellStyle name="Note 12 6" xfId="5578" xr:uid="{00000000-0005-0000-0000-0000CF240000}"/>
    <cellStyle name="Note 12 7" xfId="7695" xr:uid="{00000000-0005-0000-0000-0000D0240000}"/>
    <cellStyle name="Note 12 8" xfId="9782" xr:uid="{00000000-0005-0000-0000-0000D1240000}"/>
    <cellStyle name="Note 13" xfId="3402" xr:uid="{00000000-0005-0000-0000-0000D2240000}"/>
    <cellStyle name="Note 13 2" xfId="3403" xr:uid="{00000000-0005-0000-0000-0000D3240000}"/>
    <cellStyle name="Note 13 2 2" xfId="5584" xr:uid="{00000000-0005-0000-0000-0000D4240000}"/>
    <cellStyle name="Note 13 2 3" xfId="7701" xr:uid="{00000000-0005-0000-0000-0000D5240000}"/>
    <cellStyle name="Note 13 2 4" xfId="9788" xr:uid="{00000000-0005-0000-0000-0000D6240000}"/>
    <cellStyle name="Note 13 3" xfId="3404" xr:uid="{00000000-0005-0000-0000-0000D7240000}"/>
    <cellStyle name="Note 13 3 2" xfId="5585" xr:uid="{00000000-0005-0000-0000-0000D8240000}"/>
    <cellStyle name="Note 13 3 3" xfId="7702" xr:uid="{00000000-0005-0000-0000-0000D9240000}"/>
    <cellStyle name="Note 13 3 4" xfId="9789" xr:uid="{00000000-0005-0000-0000-0000DA240000}"/>
    <cellStyle name="Note 13 4" xfId="3405" xr:uid="{00000000-0005-0000-0000-0000DB240000}"/>
    <cellStyle name="Note 13 4 2" xfId="5586" xr:uid="{00000000-0005-0000-0000-0000DC240000}"/>
    <cellStyle name="Note 13 4 3" xfId="7703" xr:uid="{00000000-0005-0000-0000-0000DD240000}"/>
    <cellStyle name="Note 13 4 4" xfId="9790" xr:uid="{00000000-0005-0000-0000-0000DE240000}"/>
    <cellStyle name="Note 13 5" xfId="3406" xr:uid="{00000000-0005-0000-0000-0000DF240000}"/>
    <cellStyle name="Note 13 5 2" xfId="5587" xr:uid="{00000000-0005-0000-0000-0000E0240000}"/>
    <cellStyle name="Note 13 5 3" xfId="7704" xr:uid="{00000000-0005-0000-0000-0000E1240000}"/>
    <cellStyle name="Note 13 5 4" xfId="9791" xr:uid="{00000000-0005-0000-0000-0000E2240000}"/>
    <cellStyle name="Note 13 6" xfId="5583" xr:uid="{00000000-0005-0000-0000-0000E3240000}"/>
    <cellStyle name="Note 13 7" xfId="7700" xr:uid="{00000000-0005-0000-0000-0000E4240000}"/>
    <cellStyle name="Note 13 8" xfId="9787" xr:uid="{00000000-0005-0000-0000-0000E5240000}"/>
    <cellStyle name="Note 14" xfId="3407" xr:uid="{00000000-0005-0000-0000-0000E6240000}"/>
    <cellStyle name="Note 14 2" xfId="3408" xr:uid="{00000000-0005-0000-0000-0000E7240000}"/>
    <cellStyle name="Note 14 2 2" xfId="5589" xr:uid="{00000000-0005-0000-0000-0000E8240000}"/>
    <cellStyle name="Note 14 2 3" xfId="7706" xr:uid="{00000000-0005-0000-0000-0000E9240000}"/>
    <cellStyle name="Note 14 2 4" xfId="9793" xr:uid="{00000000-0005-0000-0000-0000EA240000}"/>
    <cellStyle name="Note 14 3" xfId="3409" xr:uid="{00000000-0005-0000-0000-0000EB240000}"/>
    <cellStyle name="Note 14 3 2" xfId="5590" xr:uid="{00000000-0005-0000-0000-0000EC240000}"/>
    <cellStyle name="Note 14 3 3" xfId="7707" xr:uid="{00000000-0005-0000-0000-0000ED240000}"/>
    <cellStyle name="Note 14 3 4" xfId="9794" xr:uid="{00000000-0005-0000-0000-0000EE240000}"/>
    <cellStyle name="Note 14 4" xfId="3410" xr:uid="{00000000-0005-0000-0000-0000EF240000}"/>
    <cellStyle name="Note 14 4 2" xfId="5591" xr:uid="{00000000-0005-0000-0000-0000F0240000}"/>
    <cellStyle name="Note 14 4 3" xfId="7708" xr:uid="{00000000-0005-0000-0000-0000F1240000}"/>
    <cellStyle name="Note 14 4 4" xfId="9795" xr:uid="{00000000-0005-0000-0000-0000F2240000}"/>
    <cellStyle name="Note 14 5" xfId="5588" xr:uid="{00000000-0005-0000-0000-0000F3240000}"/>
    <cellStyle name="Note 14 6" xfId="7705" xr:uid="{00000000-0005-0000-0000-0000F4240000}"/>
    <cellStyle name="Note 14 7" xfId="9792" xr:uid="{00000000-0005-0000-0000-0000F5240000}"/>
    <cellStyle name="Note 15" xfId="3411" xr:uid="{00000000-0005-0000-0000-0000F6240000}"/>
    <cellStyle name="Note 15 2" xfId="3412" xr:uid="{00000000-0005-0000-0000-0000F7240000}"/>
    <cellStyle name="Note 15 2 2" xfId="5593" xr:uid="{00000000-0005-0000-0000-0000F8240000}"/>
    <cellStyle name="Note 15 2 3" xfId="7710" xr:uid="{00000000-0005-0000-0000-0000F9240000}"/>
    <cellStyle name="Note 15 2 4" xfId="9797" xr:uid="{00000000-0005-0000-0000-0000FA240000}"/>
    <cellStyle name="Note 15 3" xfId="3413" xr:uid="{00000000-0005-0000-0000-0000FB240000}"/>
    <cellStyle name="Note 15 3 2" xfId="5594" xr:uid="{00000000-0005-0000-0000-0000FC240000}"/>
    <cellStyle name="Note 15 3 3" xfId="7711" xr:uid="{00000000-0005-0000-0000-0000FD240000}"/>
    <cellStyle name="Note 15 3 4" xfId="9798" xr:uid="{00000000-0005-0000-0000-0000FE240000}"/>
    <cellStyle name="Note 15 4" xfId="3414" xr:uid="{00000000-0005-0000-0000-0000FF240000}"/>
    <cellStyle name="Note 15 4 2" xfId="5595" xr:uid="{00000000-0005-0000-0000-000000250000}"/>
    <cellStyle name="Note 15 4 3" xfId="7712" xr:uid="{00000000-0005-0000-0000-000001250000}"/>
    <cellStyle name="Note 15 4 4" xfId="9799" xr:uid="{00000000-0005-0000-0000-000002250000}"/>
    <cellStyle name="Note 15 5" xfId="5592" xr:uid="{00000000-0005-0000-0000-000003250000}"/>
    <cellStyle name="Note 15 6" xfId="7709" xr:uid="{00000000-0005-0000-0000-000004250000}"/>
    <cellStyle name="Note 15 7" xfId="9796" xr:uid="{00000000-0005-0000-0000-000005250000}"/>
    <cellStyle name="Note 16" xfId="3415" xr:uid="{00000000-0005-0000-0000-000006250000}"/>
    <cellStyle name="Note 16 2" xfId="3416" xr:uid="{00000000-0005-0000-0000-000007250000}"/>
    <cellStyle name="Note 16 2 2" xfId="5597" xr:uid="{00000000-0005-0000-0000-000008250000}"/>
    <cellStyle name="Note 16 2 3" xfId="7714" xr:uid="{00000000-0005-0000-0000-000009250000}"/>
    <cellStyle name="Note 16 2 4" xfId="9801" xr:uid="{00000000-0005-0000-0000-00000A250000}"/>
    <cellStyle name="Note 16 3" xfId="3417" xr:uid="{00000000-0005-0000-0000-00000B250000}"/>
    <cellStyle name="Note 16 3 2" xfId="5598" xr:uid="{00000000-0005-0000-0000-00000C250000}"/>
    <cellStyle name="Note 16 3 3" xfId="7715" xr:uid="{00000000-0005-0000-0000-00000D250000}"/>
    <cellStyle name="Note 16 3 4" xfId="9802" xr:uid="{00000000-0005-0000-0000-00000E250000}"/>
    <cellStyle name="Note 16 4" xfId="3418" xr:uid="{00000000-0005-0000-0000-00000F250000}"/>
    <cellStyle name="Note 16 4 2" xfId="5599" xr:uid="{00000000-0005-0000-0000-000010250000}"/>
    <cellStyle name="Note 16 4 3" xfId="7716" xr:uid="{00000000-0005-0000-0000-000011250000}"/>
    <cellStyle name="Note 16 4 4" xfId="9803" xr:uid="{00000000-0005-0000-0000-000012250000}"/>
    <cellStyle name="Note 16 5" xfId="5596" xr:uid="{00000000-0005-0000-0000-000013250000}"/>
    <cellStyle name="Note 16 6" xfId="7713" xr:uid="{00000000-0005-0000-0000-000014250000}"/>
    <cellStyle name="Note 16 7" xfId="9800" xr:uid="{00000000-0005-0000-0000-000015250000}"/>
    <cellStyle name="Note 17" xfId="3419" xr:uid="{00000000-0005-0000-0000-000016250000}"/>
    <cellStyle name="Note 17 2" xfId="3420" xr:uid="{00000000-0005-0000-0000-000017250000}"/>
    <cellStyle name="Note 17 2 2" xfId="5601" xr:uid="{00000000-0005-0000-0000-000018250000}"/>
    <cellStyle name="Note 17 2 3" xfId="7718" xr:uid="{00000000-0005-0000-0000-000019250000}"/>
    <cellStyle name="Note 17 2 4" xfId="9805" xr:uid="{00000000-0005-0000-0000-00001A250000}"/>
    <cellStyle name="Note 17 3" xfId="3421" xr:uid="{00000000-0005-0000-0000-00001B250000}"/>
    <cellStyle name="Note 17 3 2" xfId="5602" xr:uid="{00000000-0005-0000-0000-00001C250000}"/>
    <cellStyle name="Note 17 3 3" xfId="7719" xr:uid="{00000000-0005-0000-0000-00001D250000}"/>
    <cellStyle name="Note 17 3 4" xfId="9806" xr:uid="{00000000-0005-0000-0000-00001E250000}"/>
    <cellStyle name="Note 17 4" xfId="5600" xr:uid="{00000000-0005-0000-0000-00001F250000}"/>
    <cellStyle name="Note 17 5" xfId="7717" xr:uid="{00000000-0005-0000-0000-000020250000}"/>
    <cellStyle name="Note 17 6" xfId="9804" xr:uid="{00000000-0005-0000-0000-000021250000}"/>
    <cellStyle name="Note 18" xfId="3422" xr:uid="{00000000-0005-0000-0000-000022250000}"/>
    <cellStyle name="Note 18 2" xfId="3423" xr:uid="{00000000-0005-0000-0000-000023250000}"/>
    <cellStyle name="Note 18 2 2" xfId="5604" xr:uid="{00000000-0005-0000-0000-000024250000}"/>
    <cellStyle name="Note 18 2 3" xfId="7721" xr:uid="{00000000-0005-0000-0000-000025250000}"/>
    <cellStyle name="Note 18 2 4" xfId="9808" xr:uid="{00000000-0005-0000-0000-000026250000}"/>
    <cellStyle name="Note 18 3" xfId="3424" xr:uid="{00000000-0005-0000-0000-000027250000}"/>
    <cellStyle name="Note 18 3 2" xfId="5605" xr:uid="{00000000-0005-0000-0000-000028250000}"/>
    <cellStyle name="Note 18 3 3" xfId="7722" xr:uid="{00000000-0005-0000-0000-000029250000}"/>
    <cellStyle name="Note 18 3 4" xfId="9809" xr:uid="{00000000-0005-0000-0000-00002A250000}"/>
    <cellStyle name="Note 18 4" xfId="5603" xr:uid="{00000000-0005-0000-0000-00002B250000}"/>
    <cellStyle name="Note 18 5" xfId="7720" xr:uid="{00000000-0005-0000-0000-00002C250000}"/>
    <cellStyle name="Note 18 6" xfId="9807" xr:uid="{00000000-0005-0000-0000-00002D250000}"/>
    <cellStyle name="Note 19" xfId="3425" xr:uid="{00000000-0005-0000-0000-00002E250000}"/>
    <cellStyle name="Note 19 2" xfId="3426" xr:uid="{00000000-0005-0000-0000-00002F250000}"/>
    <cellStyle name="Note 19 2 2" xfId="5607" xr:uid="{00000000-0005-0000-0000-000030250000}"/>
    <cellStyle name="Note 19 2 3" xfId="7724" xr:uid="{00000000-0005-0000-0000-000031250000}"/>
    <cellStyle name="Note 19 2 4" xfId="9811" xr:uid="{00000000-0005-0000-0000-000032250000}"/>
    <cellStyle name="Note 19 3" xfId="3427" xr:uid="{00000000-0005-0000-0000-000033250000}"/>
    <cellStyle name="Note 19 3 2" xfId="5608" xr:uid="{00000000-0005-0000-0000-000034250000}"/>
    <cellStyle name="Note 19 3 3" xfId="7725" xr:uid="{00000000-0005-0000-0000-000035250000}"/>
    <cellStyle name="Note 19 3 4" xfId="9812" xr:uid="{00000000-0005-0000-0000-000036250000}"/>
    <cellStyle name="Note 19 4" xfId="5606" xr:uid="{00000000-0005-0000-0000-000037250000}"/>
    <cellStyle name="Note 19 5" xfId="7723" xr:uid="{00000000-0005-0000-0000-000038250000}"/>
    <cellStyle name="Note 19 6" xfId="9810" xr:uid="{00000000-0005-0000-0000-000039250000}"/>
    <cellStyle name="Note 2" xfId="3428" xr:uid="{00000000-0005-0000-0000-00003A250000}"/>
    <cellStyle name="Note 2 10" xfId="5609" xr:uid="{00000000-0005-0000-0000-00003B250000}"/>
    <cellStyle name="Note 2 10 2" xfId="9962" xr:uid="{00000000-0005-0000-0000-00003C250000}"/>
    <cellStyle name="Note 2 10 3" xfId="10067" xr:uid="{00000000-0005-0000-0000-00003D250000}"/>
    <cellStyle name="Note 2 11" xfId="10035" xr:uid="{00000000-0005-0000-0000-00003E250000}"/>
    <cellStyle name="Note 2 2" xfId="3429" xr:uid="{00000000-0005-0000-0000-00003F250000}"/>
    <cellStyle name="Note 2 2 2" xfId="3430" xr:uid="{00000000-0005-0000-0000-000040250000}"/>
    <cellStyle name="Note 2 2 2 2" xfId="5611" xr:uid="{00000000-0005-0000-0000-000041250000}"/>
    <cellStyle name="Note 2 2 2 3" xfId="7726" xr:uid="{00000000-0005-0000-0000-000042250000}"/>
    <cellStyle name="Note 2 2 2 4" xfId="9813" xr:uid="{00000000-0005-0000-0000-000043250000}"/>
    <cellStyle name="Note 2 2 3" xfId="3431" xr:uid="{00000000-0005-0000-0000-000044250000}"/>
    <cellStyle name="Note 2 2 3 2" xfId="5612" xr:uid="{00000000-0005-0000-0000-000045250000}"/>
    <cellStyle name="Note 2 2 3 2 2" xfId="9964" xr:uid="{00000000-0005-0000-0000-000046250000}"/>
    <cellStyle name="Note 2 2 3 2 3" xfId="10069" xr:uid="{00000000-0005-0000-0000-000047250000}"/>
    <cellStyle name="Note 2 2 3 3" xfId="10037" xr:uid="{00000000-0005-0000-0000-000048250000}"/>
    <cellStyle name="Note 2 2 4" xfId="5610" xr:uid="{00000000-0005-0000-0000-000049250000}"/>
    <cellStyle name="Note 2 2 4 2" xfId="9963" xr:uid="{00000000-0005-0000-0000-00004A250000}"/>
    <cellStyle name="Note 2 2 4 3" xfId="10068" xr:uid="{00000000-0005-0000-0000-00004B250000}"/>
    <cellStyle name="Note 2 2 5" xfId="10036" xr:uid="{00000000-0005-0000-0000-00004C250000}"/>
    <cellStyle name="Note 2 3" xfId="3432" xr:uid="{00000000-0005-0000-0000-00004D250000}"/>
    <cellStyle name="Note 2 3 2" xfId="5613" xr:uid="{00000000-0005-0000-0000-00004E250000}"/>
    <cellStyle name="Note 2 3 2 2" xfId="9965" xr:uid="{00000000-0005-0000-0000-00004F250000}"/>
    <cellStyle name="Note 2 3 2 3" xfId="10070" xr:uid="{00000000-0005-0000-0000-000050250000}"/>
    <cellStyle name="Note 2 3 3" xfId="10038" xr:uid="{00000000-0005-0000-0000-000051250000}"/>
    <cellStyle name="Note 2 4" xfId="3433" xr:uid="{00000000-0005-0000-0000-000052250000}"/>
    <cellStyle name="Note 2 4 2" xfId="5614" xr:uid="{00000000-0005-0000-0000-000053250000}"/>
    <cellStyle name="Note 2 4 3" xfId="7727" xr:uid="{00000000-0005-0000-0000-000054250000}"/>
    <cellStyle name="Note 2 4 4" xfId="9814" xr:uid="{00000000-0005-0000-0000-000055250000}"/>
    <cellStyle name="Note 2 5" xfId="3434" xr:uid="{00000000-0005-0000-0000-000056250000}"/>
    <cellStyle name="Note 2 5 2" xfId="5615" xr:uid="{00000000-0005-0000-0000-000057250000}"/>
    <cellStyle name="Note 2 5 3" xfId="7728" xr:uid="{00000000-0005-0000-0000-000058250000}"/>
    <cellStyle name="Note 2 5 4" xfId="9815" xr:uid="{00000000-0005-0000-0000-000059250000}"/>
    <cellStyle name="Note 2 6" xfId="3435" xr:uid="{00000000-0005-0000-0000-00005A250000}"/>
    <cellStyle name="Note 2 6 2" xfId="5616" xr:uid="{00000000-0005-0000-0000-00005B250000}"/>
    <cellStyle name="Note 2 6 3" xfId="7729" xr:uid="{00000000-0005-0000-0000-00005C250000}"/>
    <cellStyle name="Note 2 6 4" xfId="9816" xr:uid="{00000000-0005-0000-0000-00005D250000}"/>
    <cellStyle name="Note 2 7" xfId="3436" xr:uid="{00000000-0005-0000-0000-00005E250000}"/>
    <cellStyle name="Note 2 7 2" xfId="5617" xr:uid="{00000000-0005-0000-0000-00005F250000}"/>
    <cellStyle name="Note 2 7 3" xfId="7730" xr:uid="{00000000-0005-0000-0000-000060250000}"/>
    <cellStyle name="Note 2 7 4" xfId="9817" xr:uid="{00000000-0005-0000-0000-000061250000}"/>
    <cellStyle name="Note 2 8" xfId="3437" xr:uid="{00000000-0005-0000-0000-000062250000}"/>
    <cellStyle name="Note 2 8 2" xfId="5618" xr:uid="{00000000-0005-0000-0000-000063250000}"/>
    <cellStyle name="Note 2 8 3" xfId="7731" xr:uid="{00000000-0005-0000-0000-000064250000}"/>
    <cellStyle name="Note 2 8 4" xfId="9818" xr:uid="{00000000-0005-0000-0000-000065250000}"/>
    <cellStyle name="Note 2 9" xfId="3438" xr:uid="{00000000-0005-0000-0000-000066250000}"/>
    <cellStyle name="Note 2 9 2" xfId="5619" xr:uid="{00000000-0005-0000-0000-000067250000}"/>
    <cellStyle name="Note 2 9 2 2" xfId="9966" xr:uid="{00000000-0005-0000-0000-000068250000}"/>
    <cellStyle name="Note 2 9 2 3" xfId="10071" xr:uid="{00000000-0005-0000-0000-000069250000}"/>
    <cellStyle name="Note 2 9 3" xfId="10039" xr:uid="{00000000-0005-0000-0000-00006A250000}"/>
    <cellStyle name="Note 20" xfId="3439" xr:uid="{00000000-0005-0000-0000-00006B250000}"/>
    <cellStyle name="Note 20 2" xfId="3440" xr:uid="{00000000-0005-0000-0000-00006C250000}"/>
    <cellStyle name="Note 20 2 2" xfId="5621" xr:uid="{00000000-0005-0000-0000-00006D250000}"/>
    <cellStyle name="Note 20 2 3" xfId="7733" xr:uid="{00000000-0005-0000-0000-00006E250000}"/>
    <cellStyle name="Note 20 2 4" xfId="9820" xr:uid="{00000000-0005-0000-0000-00006F250000}"/>
    <cellStyle name="Note 20 3" xfId="3441" xr:uid="{00000000-0005-0000-0000-000070250000}"/>
    <cellStyle name="Note 20 3 2" xfId="5622" xr:uid="{00000000-0005-0000-0000-000071250000}"/>
    <cellStyle name="Note 20 3 3" xfId="7734" xr:uid="{00000000-0005-0000-0000-000072250000}"/>
    <cellStyle name="Note 20 3 4" xfId="9821" xr:uid="{00000000-0005-0000-0000-000073250000}"/>
    <cellStyle name="Note 20 4" xfId="5620" xr:uid="{00000000-0005-0000-0000-000074250000}"/>
    <cellStyle name="Note 20 5" xfId="7732" xr:uid="{00000000-0005-0000-0000-000075250000}"/>
    <cellStyle name="Note 20 6" xfId="9819" xr:uid="{00000000-0005-0000-0000-000076250000}"/>
    <cellStyle name="Note 21" xfId="3442" xr:uid="{00000000-0005-0000-0000-000077250000}"/>
    <cellStyle name="Note 21 2" xfId="3443" xr:uid="{00000000-0005-0000-0000-000078250000}"/>
    <cellStyle name="Note 21 2 2" xfId="5624" xr:uid="{00000000-0005-0000-0000-000079250000}"/>
    <cellStyle name="Note 21 2 3" xfId="7736" xr:uid="{00000000-0005-0000-0000-00007A250000}"/>
    <cellStyle name="Note 21 2 4" xfId="9823" xr:uid="{00000000-0005-0000-0000-00007B250000}"/>
    <cellStyle name="Note 21 3" xfId="3444" xr:uid="{00000000-0005-0000-0000-00007C250000}"/>
    <cellStyle name="Note 21 3 2" xfId="5625" xr:uid="{00000000-0005-0000-0000-00007D250000}"/>
    <cellStyle name="Note 21 3 3" xfId="7737" xr:uid="{00000000-0005-0000-0000-00007E250000}"/>
    <cellStyle name="Note 21 3 4" xfId="9824" xr:uid="{00000000-0005-0000-0000-00007F250000}"/>
    <cellStyle name="Note 21 4" xfId="5623" xr:uid="{00000000-0005-0000-0000-000080250000}"/>
    <cellStyle name="Note 21 5" xfId="7735" xr:uid="{00000000-0005-0000-0000-000081250000}"/>
    <cellStyle name="Note 21 6" xfId="9822" xr:uid="{00000000-0005-0000-0000-000082250000}"/>
    <cellStyle name="Note 22" xfId="3445" xr:uid="{00000000-0005-0000-0000-000083250000}"/>
    <cellStyle name="Note 22 2" xfId="3446" xr:uid="{00000000-0005-0000-0000-000084250000}"/>
    <cellStyle name="Note 22 2 2" xfId="5627" xr:uid="{00000000-0005-0000-0000-000085250000}"/>
    <cellStyle name="Note 22 2 3" xfId="7739" xr:uid="{00000000-0005-0000-0000-000086250000}"/>
    <cellStyle name="Note 22 2 4" xfId="9826" xr:uid="{00000000-0005-0000-0000-000087250000}"/>
    <cellStyle name="Note 22 3" xfId="3447" xr:uid="{00000000-0005-0000-0000-000088250000}"/>
    <cellStyle name="Note 22 3 2" xfId="5628" xr:uid="{00000000-0005-0000-0000-000089250000}"/>
    <cellStyle name="Note 22 3 3" xfId="7740" xr:uid="{00000000-0005-0000-0000-00008A250000}"/>
    <cellStyle name="Note 22 3 4" xfId="9827" xr:uid="{00000000-0005-0000-0000-00008B250000}"/>
    <cellStyle name="Note 22 4" xfId="5626" xr:uid="{00000000-0005-0000-0000-00008C250000}"/>
    <cellStyle name="Note 22 5" xfId="7738" xr:uid="{00000000-0005-0000-0000-00008D250000}"/>
    <cellStyle name="Note 22 6" xfId="9825" xr:uid="{00000000-0005-0000-0000-00008E250000}"/>
    <cellStyle name="Note 23" xfId="3448" xr:uid="{00000000-0005-0000-0000-00008F250000}"/>
    <cellStyle name="Note 23 2" xfId="3449" xr:uid="{00000000-0005-0000-0000-000090250000}"/>
    <cellStyle name="Note 23 2 2" xfId="5630" xr:uid="{00000000-0005-0000-0000-000091250000}"/>
    <cellStyle name="Note 23 2 3" xfId="7742" xr:uid="{00000000-0005-0000-0000-000092250000}"/>
    <cellStyle name="Note 23 2 4" xfId="9829" xr:uid="{00000000-0005-0000-0000-000093250000}"/>
    <cellStyle name="Note 23 3" xfId="3450" xr:uid="{00000000-0005-0000-0000-000094250000}"/>
    <cellStyle name="Note 23 3 2" xfId="5631" xr:uid="{00000000-0005-0000-0000-000095250000}"/>
    <cellStyle name="Note 23 3 3" xfId="7743" xr:uid="{00000000-0005-0000-0000-000096250000}"/>
    <cellStyle name="Note 23 3 4" xfId="9830" xr:uid="{00000000-0005-0000-0000-000097250000}"/>
    <cellStyle name="Note 23 4" xfId="5629" xr:uid="{00000000-0005-0000-0000-000098250000}"/>
    <cellStyle name="Note 23 5" xfId="7741" xr:uid="{00000000-0005-0000-0000-000099250000}"/>
    <cellStyle name="Note 23 6" xfId="9828" xr:uid="{00000000-0005-0000-0000-00009A250000}"/>
    <cellStyle name="Note 24" xfId="3451" xr:uid="{00000000-0005-0000-0000-00009B250000}"/>
    <cellStyle name="Note 24 2" xfId="3452" xr:uid="{00000000-0005-0000-0000-00009C250000}"/>
    <cellStyle name="Note 24 2 2" xfId="5633" xr:uid="{00000000-0005-0000-0000-00009D250000}"/>
    <cellStyle name="Note 24 2 3" xfId="7745" xr:uid="{00000000-0005-0000-0000-00009E250000}"/>
    <cellStyle name="Note 24 2 4" xfId="9832" xr:uid="{00000000-0005-0000-0000-00009F250000}"/>
    <cellStyle name="Note 24 3" xfId="5632" xr:uid="{00000000-0005-0000-0000-0000A0250000}"/>
    <cellStyle name="Note 24 4" xfId="7744" xr:uid="{00000000-0005-0000-0000-0000A1250000}"/>
    <cellStyle name="Note 24 5" xfId="9831" xr:uid="{00000000-0005-0000-0000-0000A2250000}"/>
    <cellStyle name="Note 25" xfId="3453" xr:uid="{00000000-0005-0000-0000-0000A3250000}"/>
    <cellStyle name="Note 25 2" xfId="3454" xr:uid="{00000000-0005-0000-0000-0000A4250000}"/>
    <cellStyle name="Note 25 2 2" xfId="5635" xr:uid="{00000000-0005-0000-0000-0000A5250000}"/>
    <cellStyle name="Note 25 2 3" xfId="7747" xr:uid="{00000000-0005-0000-0000-0000A6250000}"/>
    <cellStyle name="Note 25 2 4" xfId="9834" xr:uid="{00000000-0005-0000-0000-0000A7250000}"/>
    <cellStyle name="Note 25 3" xfId="5634" xr:uid="{00000000-0005-0000-0000-0000A8250000}"/>
    <cellStyle name="Note 25 4" xfId="7746" xr:uid="{00000000-0005-0000-0000-0000A9250000}"/>
    <cellStyle name="Note 25 5" xfId="9833" xr:uid="{00000000-0005-0000-0000-0000AA250000}"/>
    <cellStyle name="Note 26" xfId="3455" xr:uid="{00000000-0005-0000-0000-0000AB250000}"/>
    <cellStyle name="Note 26 2" xfId="3456" xr:uid="{00000000-0005-0000-0000-0000AC250000}"/>
    <cellStyle name="Note 26 2 2" xfId="5637" xr:uid="{00000000-0005-0000-0000-0000AD250000}"/>
    <cellStyle name="Note 26 2 3" xfId="7749" xr:uid="{00000000-0005-0000-0000-0000AE250000}"/>
    <cellStyle name="Note 26 2 4" xfId="9836" xr:uid="{00000000-0005-0000-0000-0000AF250000}"/>
    <cellStyle name="Note 26 3" xfId="5636" xr:uid="{00000000-0005-0000-0000-0000B0250000}"/>
    <cellStyle name="Note 26 4" xfId="7748" xr:uid="{00000000-0005-0000-0000-0000B1250000}"/>
    <cellStyle name="Note 26 5" xfId="9835" xr:uid="{00000000-0005-0000-0000-0000B2250000}"/>
    <cellStyle name="Note 27" xfId="3457" xr:uid="{00000000-0005-0000-0000-0000B3250000}"/>
    <cellStyle name="Note 27 2" xfId="3458" xr:uid="{00000000-0005-0000-0000-0000B4250000}"/>
    <cellStyle name="Note 27 2 2" xfId="5639" xr:uid="{00000000-0005-0000-0000-0000B5250000}"/>
    <cellStyle name="Note 27 2 3" xfId="7751" xr:uid="{00000000-0005-0000-0000-0000B6250000}"/>
    <cellStyle name="Note 27 2 4" xfId="9838" xr:uid="{00000000-0005-0000-0000-0000B7250000}"/>
    <cellStyle name="Note 27 3" xfId="5638" xr:uid="{00000000-0005-0000-0000-0000B8250000}"/>
    <cellStyle name="Note 27 4" xfId="7750" xr:uid="{00000000-0005-0000-0000-0000B9250000}"/>
    <cellStyle name="Note 27 5" xfId="9837" xr:uid="{00000000-0005-0000-0000-0000BA250000}"/>
    <cellStyle name="Note 28" xfId="3459" xr:uid="{00000000-0005-0000-0000-0000BB250000}"/>
    <cellStyle name="Note 28 2" xfId="3460" xr:uid="{00000000-0005-0000-0000-0000BC250000}"/>
    <cellStyle name="Note 28 2 2" xfId="5641" xr:uid="{00000000-0005-0000-0000-0000BD250000}"/>
    <cellStyle name="Note 28 2 3" xfId="7753" xr:uid="{00000000-0005-0000-0000-0000BE250000}"/>
    <cellStyle name="Note 28 2 4" xfId="9840" xr:uid="{00000000-0005-0000-0000-0000BF250000}"/>
    <cellStyle name="Note 28 3" xfId="5640" xr:uid="{00000000-0005-0000-0000-0000C0250000}"/>
    <cellStyle name="Note 28 4" xfId="7752" xr:uid="{00000000-0005-0000-0000-0000C1250000}"/>
    <cellStyle name="Note 28 5" xfId="9839" xr:uid="{00000000-0005-0000-0000-0000C2250000}"/>
    <cellStyle name="Note 29" xfId="3461" xr:uid="{00000000-0005-0000-0000-0000C3250000}"/>
    <cellStyle name="Note 29 2" xfId="3462" xr:uid="{00000000-0005-0000-0000-0000C4250000}"/>
    <cellStyle name="Note 29 2 2" xfId="5643" xr:uid="{00000000-0005-0000-0000-0000C5250000}"/>
    <cellStyle name="Note 29 2 3" xfId="7755" xr:uid="{00000000-0005-0000-0000-0000C6250000}"/>
    <cellStyle name="Note 29 2 4" xfId="9842" xr:uid="{00000000-0005-0000-0000-0000C7250000}"/>
    <cellStyle name="Note 29 3" xfId="5642" xr:uid="{00000000-0005-0000-0000-0000C8250000}"/>
    <cellStyle name="Note 29 4" xfId="7754" xr:uid="{00000000-0005-0000-0000-0000C9250000}"/>
    <cellStyle name="Note 29 5" xfId="9841" xr:uid="{00000000-0005-0000-0000-0000CA250000}"/>
    <cellStyle name="Note 3" xfId="3463" xr:uid="{00000000-0005-0000-0000-0000CB250000}"/>
    <cellStyle name="Note 3 10" xfId="10040" xr:uid="{00000000-0005-0000-0000-0000CC250000}"/>
    <cellStyle name="Note 3 2" xfId="3464" xr:uid="{00000000-0005-0000-0000-0000CD250000}"/>
    <cellStyle name="Note 3 2 2" xfId="5645" xr:uid="{00000000-0005-0000-0000-0000CE250000}"/>
    <cellStyle name="Note 3 2 2 2" xfId="9968" xr:uid="{00000000-0005-0000-0000-0000CF250000}"/>
    <cellStyle name="Note 3 2 2 3" xfId="10073" xr:uid="{00000000-0005-0000-0000-0000D0250000}"/>
    <cellStyle name="Note 3 2 3" xfId="10041" xr:uid="{00000000-0005-0000-0000-0000D1250000}"/>
    <cellStyle name="Note 3 3" xfId="3465" xr:uid="{00000000-0005-0000-0000-0000D2250000}"/>
    <cellStyle name="Note 3 3 2" xfId="5646" xr:uid="{00000000-0005-0000-0000-0000D3250000}"/>
    <cellStyle name="Note 3 3 3" xfId="7756" xr:uid="{00000000-0005-0000-0000-0000D4250000}"/>
    <cellStyle name="Note 3 3 4" xfId="9843" xr:uid="{00000000-0005-0000-0000-0000D5250000}"/>
    <cellStyle name="Note 3 4" xfId="3466" xr:uid="{00000000-0005-0000-0000-0000D6250000}"/>
    <cellStyle name="Note 3 4 2" xfId="5647" xr:uid="{00000000-0005-0000-0000-0000D7250000}"/>
    <cellStyle name="Note 3 4 3" xfId="7757" xr:uid="{00000000-0005-0000-0000-0000D8250000}"/>
    <cellStyle name="Note 3 4 4" xfId="9844" xr:uid="{00000000-0005-0000-0000-0000D9250000}"/>
    <cellStyle name="Note 3 5" xfId="3467" xr:uid="{00000000-0005-0000-0000-0000DA250000}"/>
    <cellStyle name="Note 3 5 2" xfId="5648" xr:uid="{00000000-0005-0000-0000-0000DB250000}"/>
    <cellStyle name="Note 3 5 3" xfId="7758" xr:uid="{00000000-0005-0000-0000-0000DC250000}"/>
    <cellStyle name="Note 3 5 4" xfId="9845" xr:uid="{00000000-0005-0000-0000-0000DD250000}"/>
    <cellStyle name="Note 3 6" xfId="3468" xr:uid="{00000000-0005-0000-0000-0000DE250000}"/>
    <cellStyle name="Note 3 6 2" xfId="5649" xr:uid="{00000000-0005-0000-0000-0000DF250000}"/>
    <cellStyle name="Note 3 6 3" xfId="7759" xr:uid="{00000000-0005-0000-0000-0000E0250000}"/>
    <cellStyle name="Note 3 6 4" xfId="9846" xr:uid="{00000000-0005-0000-0000-0000E1250000}"/>
    <cellStyle name="Note 3 7" xfId="3469" xr:uid="{00000000-0005-0000-0000-0000E2250000}"/>
    <cellStyle name="Note 3 7 2" xfId="5650" xr:uid="{00000000-0005-0000-0000-0000E3250000}"/>
    <cellStyle name="Note 3 7 3" xfId="7760" xr:uid="{00000000-0005-0000-0000-0000E4250000}"/>
    <cellStyle name="Note 3 7 4" xfId="9847" xr:uid="{00000000-0005-0000-0000-0000E5250000}"/>
    <cellStyle name="Note 3 8" xfId="3470" xr:uid="{00000000-0005-0000-0000-0000E6250000}"/>
    <cellStyle name="Note 3 8 2" xfId="5651" xr:uid="{00000000-0005-0000-0000-0000E7250000}"/>
    <cellStyle name="Note 3 8 2 2" xfId="9969" xr:uid="{00000000-0005-0000-0000-0000E8250000}"/>
    <cellStyle name="Note 3 8 2 3" xfId="10074" xr:uid="{00000000-0005-0000-0000-0000E9250000}"/>
    <cellStyle name="Note 3 8 3" xfId="10042" xr:uid="{00000000-0005-0000-0000-0000EA250000}"/>
    <cellStyle name="Note 3 9" xfId="5644" xr:uid="{00000000-0005-0000-0000-0000EB250000}"/>
    <cellStyle name="Note 3 9 2" xfId="9967" xr:uid="{00000000-0005-0000-0000-0000EC250000}"/>
    <cellStyle name="Note 3 9 3" xfId="10072" xr:uid="{00000000-0005-0000-0000-0000ED250000}"/>
    <cellStyle name="Note 30" xfId="3471" xr:uid="{00000000-0005-0000-0000-0000EE250000}"/>
    <cellStyle name="Note 30 2" xfId="3472" xr:uid="{00000000-0005-0000-0000-0000EF250000}"/>
    <cellStyle name="Note 30 2 2" xfId="5653" xr:uid="{00000000-0005-0000-0000-0000F0250000}"/>
    <cellStyle name="Note 30 2 3" xfId="7762" xr:uid="{00000000-0005-0000-0000-0000F1250000}"/>
    <cellStyle name="Note 30 2 4" xfId="9849" xr:uid="{00000000-0005-0000-0000-0000F2250000}"/>
    <cellStyle name="Note 30 3" xfId="5652" xr:uid="{00000000-0005-0000-0000-0000F3250000}"/>
    <cellStyle name="Note 30 4" xfId="7761" xr:uid="{00000000-0005-0000-0000-0000F4250000}"/>
    <cellStyle name="Note 30 5" xfId="9848" xr:uid="{00000000-0005-0000-0000-0000F5250000}"/>
    <cellStyle name="Note 31" xfId="3473" xr:uid="{00000000-0005-0000-0000-0000F6250000}"/>
    <cellStyle name="Note 31 2" xfId="3474" xr:uid="{00000000-0005-0000-0000-0000F7250000}"/>
    <cellStyle name="Note 31 2 2" xfId="5655" xr:uid="{00000000-0005-0000-0000-0000F8250000}"/>
    <cellStyle name="Note 31 2 3" xfId="7764" xr:uid="{00000000-0005-0000-0000-0000F9250000}"/>
    <cellStyle name="Note 31 2 4" xfId="9851" xr:uid="{00000000-0005-0000-0000-0000FA250000}"/>
    <cellStyle name="Note 31 3" xfId="5654" xr:uid="{00000000-0005-0000-0000-0000FB250000}"/>
    <cellStyle name="Note 31 4" xfId="7763" xr:uid="{00000000-0005-0000-0000-0000FC250000}"/>
    <cellStyle name="Note 31 5" xfId="9850" xr:uid="{00000000-0005-0000-0000-0000FD250000}"/>
    <cellStyle name="Note 32" xfId="3475" xr:uid="{00000000-0005-0000-0000-0000FE250000}"/>
    <cellStyle name="Note 32 2" xfId="3476" xr:uid="{00000000-0005-0000-0000-0000FF250000}"/>
    <cellStyle name="Note 32 2 2" xfId="5657" xr:uid="{00000000-0005-0000-0000-000000260000}"/>
    <cellStyle name="Note 32 2 3" xfId="7766" xr:uid="{00000000-0005-0000-0000-000001260000}"/>
    <cellStyle name="Note 32 2 4" xfId="9853" xr:uid="{00000000-0005-0000-0000-000002260000}"/>
    <cellStyle name="Note 32 3" xfId="5656" xr:uid="{00000000-0005-0000-0000-000003260000}"/>
    <cellStyle name="Note 32 4" xfId="7765" xr:uid="{00000000-0005-0000-0000-000004260000}"/>
    <cellStyle name="Note 32 5" xfId="9852" xr:uid="{00000000-0005-0000-0000-000005260000}"/>
    <cellStyle name="Note 33" xfId="3477" xr:uid="{00000000-0005-0000-0000-000006260000}"/>
    <cellStyle name="Note 33 2" xfId="5658" xr:uid="{00000000-0005-0000-0000-000007260000}"/>
    <cellStyle name="Note 33 3" xfId="7767" xr:uid="{00000000-0005-0000-0000-000008260000}"/>
    <cellStyle name="Note 33 4" xfId="9854" xr:uid="{00000000-0005-0000-0000-000009260000}"/>
    <cellStyle name="Note 34" xfId="3478" xr:uid="{00000000-0005-0000-0000-00000A260000}"/>
    <cellStyle name="Note 34 2" xfId="5659" xr:uid="{00000000-0005-0000-0000-00000B260000}"/>
    <cellStyle name="Note 34 3" xfId="7768" xr:uid="{00000000-0005-0000-0000-00000C260000}"/>
    <cellStyle name="Note 34 4" xfId="9855" xr:uid="{00000000-0005-0000-0000-00000D260000}"/>
    <cellStyle name="Note 35" xfId="3479" xr:uid="{00000000-0005-0000-0000-00000E260000}"/>
    <cellStyle name="Note 35 2" xfId="5660" xr:uid="{00000000-0005-0000-0000-00000F260000}"/>
    <cellStyle name="Note 35 3" xfId="7769" xr:uid="{00000000-0005-0000-0000-000010260000}"/>
    <cellStyle name="Note 35 4" xfId="9856" xr:uid="{00000000-0005-0000-0000-000011260000}"/>
    <cellStyle name="Note 36" xfId="3480" xr:uid="{00000000-0005-0000-0000-000012260000}"/>
    <cellStyle name="Note 36 2" xfId="5661" xr:uid="{00000000-0005-0000-0000-000013260000}"/>
    <cellStyle name="Note 36 3" xfId="7770" xr:uid="{00000000-0005-0000-0000-000014260000}"/>
    <cellStyle name="Note 36 4" xfId="9857" xr:uid="{00000000-0005-0000-0000-000015260000}"/>
    <cellStyle name="Note 37" xfId="3481" xr:uid="{00000000-0005-0000-0000-000016260000}"/>
    <cellStyle name="Note 37 2" xfId="5662" xr:uid="{00000000-0005-0000-0000-000017260000}"/>
    <cellStyle name="Note 37 3" xfId="7771" xr:uid="{00000000-0005-0000-0000-000018260000}"/>
    <cellStyle name="Note 37 4" xfId="9858" xr:uid="{00000000-0005-0000-0000-000019260000}"/>
    <cellStyle name="Note 38" xfId="3482" xr:uid="{00000000-0005-0000-0000-00001A260000}"/>
    <cellStyle name="Note 38 2" xfId="5663" xr:uid="{00000000-0005-0000-0000-00001B260000}"/>
    <cellStyle name="Note 38 3" xfId="7772" xr:uid="{00000000-0005-0000-0000-00001C260000}"/>
    <cellStyle name="Note 38 4" xfId="9859" xr:uid="{00000000-0005-0000-0000-00001D260000}"/>
    <cellStyle name="Note 39" xfId="3483" xr:uid="{00000000-0005-0000-0000-00001E260000}"/>
    <cellStyle name="Note 39 2" xfId="5664" xr:uid="{00000000-0005-0000-0000-00001F260000}"/>
    <cellStyle name="Note 39 3" xfId="7773" xr:uid="{00000000-0005-0000-0000-000020260000}"/>
    <cellStyle name="Note 39 4" xfId="9860" xr:uid="{00000000-0005-0000-0000-000021260000}"/>
    <cellStyle name="Note 4" xfId="3484" xr:uid="{00000000-0005-0000-0000-000022260000}"/>
    <cellStyle name="Note 4 2" xfId="3485" xr:uid="{00000000-0005-0000-0000-000023260000}"/>
    <cellStyle name="Note 4 2 2" xfId="5666" xr:uid="{00000000-0005-0000-0000-000024260000}"/>
    <cellStyle name="Note 4 2 3" xfId="7774" xr:uid="{00000000-0005-0000-0000-000025260000}"/>
    <cellStyle name="Note 4 2 4" xfId="9861" xr:uid="{00000000-0005-0000-0000-000026260000}"/>
    <cellStyle name="Note 4 3" xfId="3486" xr:uid="{00000000-0005-0000-0000-000027260000}"/>
    <cellStyle name="Note 4 3 2" xfId="5667" xr:uid="{00000000-0005-0000-0000-000028260000}"/>
    <cellStyle name="Note 4 3 3" xfId="7775" xr:uid="{00000000-0005-0000-0000-000029260000}"/>
    <cellStyle name="Note 4 3 4" xfId="9862" xr:uid="{00000000-0005-0000-0000-00002A260000}"/>
    <cellStyle name="Note 4 4" xfId="3487" xr:uid="{00000000-0005-0000-0000-00002B260000}"/>
    <cellStyle name="Note 4 4 2" xfId="5668" xr:uid="{00000000-0005-0000-0000-00002C260000}"/>
    <cellStyle name="Note 4 4 3" xfId="7776" xr:uid="{00000000-0005-0000-0000-00002D260000}"/>
    <cellStyle name="Note 4 4 4" xfId="9863" xr:uid="{00000000-0005-0000-0000-00002E260000}"/>
    <cellStyle name="Note 4 5" xfId="3488" xr:uid="{00000000-0005-0000-0000-00002F260000}"/>
    <cellStyle name="Note 4 5 2" xfId="5669" xr:uid="{00000000-0005-0000-0000-000030260000}"/>
    <cellStyle name="Note 4 5 3" xfId="7777" xr:uid="{00000000-0005-0000-0000-000031260000}"/>
    <cellStyle name="Note 4 5 4" xfId="9864" xr:uid="{00000000-0005-0000-0000-000032260000}"/>
    <cellStyle name="Note 4 6" xfId="3489" xr:uid="{00000000-0005-0000-0000-000033260000}"/>
    <cellStyle name="Note 4 6 2" xfId="5670" xr:uid="{00000000-0005-0000-0000-000034260000}"/>
    <cellStyle name="Note 4 6 3" xfId="7778" xr:uid="{00000000-0005-0000-0000-000035260000}"/>
    <cellStyle name="Note 4 6 4" xfId="9865" xr:uid="{00000000-0005-0000-0000-000036260000}"/>
    <cellStyle name="Note 4 7" xfId="3490" xr:uid="{00000000-0005-0000-0000-000037260000}"/>
    <cellStyle name="Note 4 7 2" xfId="5671" xr:uid="{00000000-0005-0000-0000-000038260000}"/>
    <cellStyle name="Note 4 7 3" xfId="7779" xr:uid="{00000000-0005-0000-0000-000039260000}"/>
    <cellStyle name="Note 4 7 4" xfId="9866" xr:uid="{00000000-0005-0000-0000-00003A260000}"/>
    <cellStyle name="Note 4 8" xfId="5665" xr:uid="{00000000-0005-0000-0000-00003B260000}"/>
    <cellStyle name="Note 4 8 2" xfId="9970" xr:uid="{00000000-0005-0000-0000-00003C260000}"/>
    <cellStyle name="Note 4 8 3" xfId="10075" xr:uid="{00000000-0005-0000-0000-00003D260000}"/>
    <cellStyle name="Note 4 9" xfId="10043" xr:uid="{00000000-0005-0000-0000-00003E260000}"/>
    <cellStyle name="Note 40" xfId="3491" xr:uid="{00000000-0005-0000-0000-00003F260000}"/>
    <cellStyle name="Note 40 2" xfId="5672" xr:uid="{00000000-0005-0000-0000-000040260000}"/>
    <cellStyle name="Note 40 3" xfId="7780" xr:uid="{00000000-0005-0000-0000-000041260000}"/>
    <cellStyle name="Note 40 4" xfId="9867" xr:uid="{00000000-0005-0000-0000-000042260000}"/>
    <cellStyle name="Note 41" xfId="3492" xr:uid="{00000000-0005-0000-0000-000043260000}"/>
    <cellStyle name="Note 41 2" xfId="5673" xr:uid="{00000000-0005-0000-0000-000044260000}"/>
    <cellStyle name="Note 41 3" xfId="7781" xr:uid="{00000000-0005-0000-0000-000045260000}"/>
    <cellStyle name="Note 41 4" xfId="9868" xr:uid="{00000000-0005-0000-0000-000046260000}"/>
    <cellStyle name="Note 42" xfId="3493" xr:uid="{00000000-0005-0000-0000-000047260000}"/>
    <cellStyle name="Note 42 2" xfId="5674" xr:uid="{00000000-0005-0000-0000-000048260000}"/>
    <cellStyle name="Note 42 3" xfId="7782" xr:uid="{00000000-0005-0000-0000-000049260000}"/>
    <cellStyle name="Note 42 4" xfId="9869" xr:uid="{00000000-0005-0000-0000-00004A260000}"/>
    <cellStyle name="Note 43" xfId="3494" xr:uid="{00000000-0005-0000-0000-00004B260000}"/>
    <cellStyle name="Note 43 2" xfId="5675" xr:uid="{00000000-0005-0000-0000-00004C260000}"/>
    <cellStyle name="Note 43 3" xfId="7783" xr:uid="{00000000-0005-0000-0000-00004D260000}"/>
    <cellStyle name="Note 43 4" xfId="9870" xr:uid="{00000000-0005-0000-0000-00004E260000}"/>
    <cellStyle name="Note 44" xfId="3495" xr:uid="{00000000-0005-0000-0000-00004F260000}"/>
    <cellStyle name="Note 44 2" xfId="5676" xr:uid="{00000000-0005-0000-0000-000050260000}"/>
    <cellStyle name="Note 44 3" xfId="7784" xr:uid="{00000000-0005-0000-0000-000051260000}"/>
    <cellStyle name="Note 44 4" xfId="9871" xr:uid="{00000000-0005-0000-0000-000052260000}"/>
    <cellStyle name="Note 45" xfId="3496" xr:uid="{00000000-0005-0000-0000-000053260000}"/>
    <cellStyle name="Note 45 2" xfId="5677" xr:uid="{00000000-0005-0000-0000-000054260000}"/>
    <cellStyle name="Note 45 3" xfId="7785" xr:uid="{00000000-0005-0000-0000-000055260000}"/>
    <cellStyle name="Note 45 4" xfId="9872" xr:uid="{00000000-0005-0000-0000-000056260000}"/>
    <cellStyle name="Note 46" xfId="3497" xr:uid="{00000000-0005-0000-0000-000057260000}"/>
    <cellStyle name="Note 46 2" xfId="5678" xr:uid="{00000000-0005-0000-0000-000058260000}"/>
    <cellStyle name="Note 46 3" xfId="7786" xr:uid="{00000000-0005-0000-0000-000059260000}"/>
    <cellStyle name="Note 46 4" xfId="9873" xr:uid="{00000000-0005-0000-0000-00005A260000}"/>
    <cellStyle name="Note 47" xfId="3498" xr:uid="{00000000-0005-0000-0000-00005B260000}"/>
    <cellStyle name="Note 47 2" xfId="5679" xr:uid="{00000000-0005-0000-0000-00005C260000}"/>
    <cellStyle name="Note 47 3" xfId="7787" xr:uid="{00000000-0005-0000-0000-00005D260000}"/>
    <cellStyle name="Note 47 4" xfId="9874" xr:uid="{00000000-0005-0000-0000-00005E260000}"/>
    <cellStyle name="Note 48" xfId="3499" xr:uid="{00000000-0005-0000-0000-00005F260000}"/>
    <cellStyle name="Note 48 2" xfId="5680" xr:uid="{00000000-0005-0000-0000-000060260000}"/>
    <cellStyle name="Note 48 3" xfId="7788" xr:uid="{00000000-0005-0000-0000-000061260000}"/>
    <cellStyle name="Note 48 4" xfId="9875" xr:uid="{00000000-0005-0000-0000-000062260000}"/>
    <cellStyle name="Note 49" xfId="3500" xr:uid="{00000000-0005-0000-0000-000063260000}"/>
    <cellStyle name="Note 49 2" xfId="5681" xr:uid="{00000000-0005-0000-0000-000064260000}"/>
    <cellStyle name="Note 49 3" xfId="7789" xr:uid="{00000000-0005-0000-0000-000065260000}"/>
    <cellStyle name="Note 49 4" xfId="9876" xr:uid="{00000000-0005-0000-0000-000066260000}"/>
    <cellStyle name="Note 5" xfId="3501" xr:uid="{00000000-0005-0000-0000-000067260000}"/>
    <cellStyle name="Note 5 2" xfId="3502" xr:uid="{00000000-0005-0000-0000-000068260000}"/>
    <cellStyle name="Note 5 2 2" xfId="5683" xr:uid="{00000000-0005-0000-0000-000069260000}"/>
    <cellStyle name="Note 5 2 3" xfId="7790" xr:uid="{00000000-0005-0000-0000-00006A260000}"/>
    <cellStyle name="Note 5 2 4" xfId="9877" xr:uid="{00000000-0005-0000-0000-00006B260000}"/>
    <cellStyle name="Note 5 3" xfId="3503" xr:uid="{00000000-0005-0000-0000-00006C260000}"/>
    <cellStyle name="Note 5 3 2" xfId="5684" xr:uid="{00000000-0005-0000-0000-00006D260000}"/>
    <cellStyle name="Note 5 3 3" xfId="7791" xr:uid="{00000000-0005-0000-0000-00006E260000}"/>
    <cellStyle name="Note 5 3 4" xfId="9878" xr:uid="{00000000-0005-0000-0000-00006F260000}"/>
    <cellStyle name="Note 5 4" xfId="3504" xr:uid="{00000000-0005-0000-0000-000070260000}"/>
    <cellStyle name="Note 5 4 2" xfId="5685" xr:uid="{00000000-0005-0000-0000-000071260000}"/>
    <cellStyle name="Note 5 4 3" xfId="7792" xr:uid="{00000000-0005-0000-0000-000072260000}"/>
    <cellStyle name="Note 5 4 4" xfId="9879" xr:uid="{00000000-0005-0000-0000-000073260000}"/>
    <cellStyle name="Note 5 5" xfId="3505" xr:uid="{00000000-0005-0000-0000-000074260000}"/>
    <cellStyle name="Note 5 5 2" xfId="5686" xr:uid="{00000000-0005-0000-0000-000075260000}"/>
    <cellStyle name="Note 5 5 3" xfId="7793" xr:uid="{00000000-0005-0000-0000-000076260000}"/>
    <cellStyle name="Note 5 5 4" xfId="9880" xr:uid="{00000000-0005-0000-0000-000077260000}"/>
    <cellStyle name="Note 5 6" xfId="3506" xr:uid="{00000000-0005-0000-0000-000078260000}"/>
    <cellStyle name="Note 5 6 2" xfId="5687" xr:uid="{00000000-0005-0000-0000-000079260000}"/>
    <cellStyle name="Note 5 6 3" xfId="7794" xr:uid="{00000000-0005-0000-0000-00007A260000}"/>
    <cellStyle name="Note 5 6 4" xfId="9881" xr:uid="{00000000-0005-0000-0000-00007B260000}"/>
    <cellStyle name="Note 5 7" xfId="3507" xr:uid="{00000000-0005-0000-0000-00007C260000}"/>
    <cellStyle name="Note 5 7 2" xfId="5688" xr:uid="{00000000-0005-0000-0000-00007D260000}"/>
    <cellStyle name="Note 5 7 3" xfId="7795" xr:uid="{00000000-0005-0000-0000-00007E260000}"/>
    <cellStyle name="Note 5 7 4" xfId="9882" xr:uid="{00000000-0005-0000-0000-00007F260000}"/>
    <cellStyle name="Note 5 8" xfId="5682" xr:uid="{00000000-0005-0000-0000-000080260000}"/>
    <cellStyle name="Note 5 8 2" xfId="9971" xr:uid="{00000000-0005-0000-0000-000081260000}"/>
    <cellStyle name="Note 5 8 3" xfId="10076" xr:uid="{00000000-0005-0000-0000-000082260000}"/>
    <cellStyle name="Note 5 9" xfId="10044" xr:uid="{00000000-0005-0000-0000-000083260000}"/>
    <cellStyle name="Note 50" xfId="3508" xr:uid="{00000000-0005-0000-0000-000084260000}"/>
    <cellStyle name="Note 50 2" xfId="5689" xr:uid="{00000000-0005-0000-0000-000085260000}"/>
    <cellStyle name="Note 50 3" xfId="7796" xr:uid="{00000000-0005-0000-0000-000086260000}"/>
    <cellStyle name="Note 50 4" xfId="9883" xr:uid="{00000000-0005-0000-0000-000087260000}"/>
    <cellStyle name="Note 51" xfId="3509" xr:uid="{00000000-0005-0000-0000-000088260000}"/>
    <cellStyle name="Note 51 2" xfId="5690" xr:uid="{00000000-0005-0000-0000-000089260000}"/>
    <cellStyle name="Note 51 3" xfId="7797" xr:uid="{00000000-0005-0000-0000-00008A260000}"/>
    <cellStyle name="Note 51 4" xfId="9884" xr:uid="{00000000-0005-0000-0000-00008B260000}"/>
    <cellStyle name="Note 6" xfId="3510" xr:uid="{00000000-0005-0000-0000-00008C260000}"/>
    <cellStyle name="Note 6 2" xfId="3511" xr:uid="{00000000-0005-0000-0000-00008D260000}"/>
    <cellStyle name="Note 6 2 2" xfId="5692" xr:uid="{00000000-0005-0000-0000-00008E260000}"/>
    <cellStyle name="Note 6 2 3" xfId="7798" xr:uid="{00000000-0005-0000-0000-00008F260000}"/>
    <cellStyle name="Note 6 2 4" xfId="9885" xr:uid="{00000000-0005-0000-0000-000090260000}"/>
    <cellStyle name="Note 6 3" xfId="3512" xr:uid="{00000000-0005-0000-0000-000091260000}"/>
    <cellStyle name="Note 6 3 2" xfId="5693" xr:uid="{00000000-0005-0000-0000-000092260000}"/>
    <cellStyle name="Note 6 3 3" xfId="7799" xr:uid="{00000000-0005-0000-0000-000093260000}"/>
    <cellStyle name="Note 6 3 4" xfId="9886" xr:uid="{00000000-0005-0000-0000-000094260000}"/>
    <cellStyle name="Note 6 4" xfId="3513" xr:uid="{00000000-0005-0000-0000-000095260000}"/>
    <cellStyle name="Note 6 4 2" xfId="5694" xr:uid="{00000000-0005-0000-0000-000096260000}"/>
    <cellStyle name="Note 6 4 3" xfId="7800" xr:uid="{00000000-0005-0000-0000-000097260000}"/>
    <cellStyle name="Note 6 4 4" xfId="9887" xr:uid="{00000000-0005-0000-0000-000098260000}"/>
    <cellStyle name="Note 6 5" xfId="3514" xr:uid="{00000000-0005-0000-0000-000099260000}"/>
    <cellStyle name="Note 6 5 2" xfId="5695" xr:uid="{00000000-0005-0000-0000-00009A260000}"/>
    <cellStyle name="Note 6 5 3" xfId="7801" xr:uid="{00000000-0005-0000-0000-00009B260000}"/>
    <cellStyle name="Note 6 5 4" xfId="9888" xr:uid="{00000000-0005-0000-0000-00009C260000}"/>
    <cellStyle name="Note 6 6" xfId="3515" xr:uid="{00000000-0005-0000-0000-00009D260000}"/>
    <cellStyle name="Note 6 6 2" xfId="5696" xr:uid="{00000000-0005-0000-0000-00009E260000}"/>
    <cellStyle name="Note 6 6 3" xfId="7802" xr:uid="{00000000-0005-0000-0000-00009F260000}"/>
    <cellStyle name="Note 6 6 4" xfId="9889" xr:uid="{00000000-0005-0000-0000-0000A0260000}"/>
    <cellStyle name="Note 6 7" xfId="3516" xr:uid="{00000000-0005-0000-0000-0000A1260000}"/>
    <cellStyle name="Note 6 7 2" xfId="5697" xr:uid="{00000000-0005-0000-0000-0000A2260000}"/>
    <cellStyle name="Note 6 7 3" xfId="7803" xr:uid="{00000000-0005-0000-0000-0000A3260000}"/>
    <cellStyle name="Note 6 7 4" xfId="9890" xr:uid="{00000000-0005-0000-0000-0000A4260000}"/>
    <cellStyle name="Note 6 8" xfId="5691" xr:uid="{00000000-0005-0000-0000-0000A5260000}"/>
    <cellStyle name="Note 6 8 2" xfId="9972" xr:uid="{00000000-0005-0000-0000-0000A6260000}"/>
    <cellStyle name="Note 6 8 3" xfId="10077" xr:uid="{00000000-0005-0000-0000-0000A7260000}"/>
    <cellStyle name="Note 6 9" xfId="10045" xr:uid="{00000000-0005-0000-0000-0000A8260000}"/>
    <cellStyle name="Note 7" xfId="3517" xr:uid="{00000000-0005-0000-0000-0000A9260000}"/>
    <cellStyle name="Note 7 10" xfId="9891" xr:uid="{00000000-0005-0000-0000-0000AA260000}"/>
    <cellStyle name="Note 7 2" xfId="3518" xr:uid="{00000000-0005-0000-0000-0000AB260000}"/>
    <cellStyle name="Note 7 2 2" xfId="5699" xr:uid="{00000000-0005-0000-0000-0000AC260000}"/>
    <cellStyle name="Note 7 2 3" xfId="7805" xr:uid="{00000000-0005-0000-0000-0000AD260000}"/>
    <cellStyle name="Note 7 2 4" xfId="9892" xr:uid="{00000000-0005-0000-0000-0000AE260000}"/>
    <cellStyle name="Note 7 3" xfId="3519" xr:uid="{00000000-0005-0000-0000-0000AF260000}"/>
    <cellStyle name="Note 7 3 2" xfId="5700" xr:uid="{00000000-0005-0000-0000-0000B0260000}"/>
    <cellStyle name="Note 7 3 3" xfId="7806" xr:uid="{00000000-0005-0000-0000-0000B1260000}"/>
    <cellStyle name="Note 7 3 4" xfId="9893" xr:uid="{00000000-0005-0000-0000-0000B2260000}"/>
    <cellStyle name="Note 7 4" xfId="3520" xr:uid="{00000000-0005-0000-0000-0000B3260000}"/>
    <cellStyle name="Note 7 4 2" xfId="5701" xr:uid="{00000000-0005-0000-0000-0000B4260000}"/>
    <cellStyle name="Note 7 4 3" xfId="7807" xr:uid="{00000000-0005-0000-0000-0000B5260000}"/>
    <cellStyle name="Note 7 4 4" xfId="9894" xr:uid="{00000000-0005-0000-0000-0000B6260000}"/>
    <cellStyle name="Note 7 5" xfId="3521" xr:uid="{00000000-0005-0000-0000-0000B7260000}"/>
    <cellStyle name="Note 7 5 2" xfId="5702" xr:uid="{00000000-0005-0000-0000-0000B8260000}"/>
    <cellStyle name="Note 7 5 3" xfId="7808" xr:uid="{00000000-0005-0000-0000-0000B9260000}"/>
    <cellStyle name="Note 7 5 4" xfId="9895" xr:uid="{00000000-0005-0000-0000-0000BA260000}"/>
    <cellStyle name="Note 7 6" xfId="3522" xr:uid="{00000000-0005-0000-0000-0000BB260000}"/>
    <cellStyle name="Note 7 6 2" xfId="5703" xr:uid="{00000000-0005-0000-0000-0000BC260000}"/>
    <cellStyle name="Note 7 6 3" xfId="7809" xr:uid="{00000000-0005-0000-0000-0000BD260000}"/>
    <cellStyle name="Note 7 6 4" xfId="9896" xr:uid="{00000000-0005-0000-0000-0000BE260000}"/>
    <cellStyle name="Note 7 7" xfId="3523" xr:uid="{00000000-0005-0000-0000-0000BF260000}"/>
    <cellStyle name="Note 7 7 2" xfId="5704" xr:uid="{00000000-0005-0000-0000-0000C0260000}"/>
    <cellStyle name="Note 7 7 3" xfId="7810" xr:uid="{00000000-0005-0000-0000-0000C1260000}"/>
    <cellStyle name="Note 7 7 4" xfId="9897" xr:uid="{00000000-0005-0000-0000-0000C2260000}"/>
    <cellStyle name="Note 7 8" xfId="5698" xr:uid="{00000000-0005-0000-0000-0000C3260000}"/>
    <cellStyle name="Note 7 9" xfId="7804" xr:uid="{00000000-0005-0000-0000-0000C4260000}"/>
    <cellStyle name="Note 8" xfId="3524" xr:uid="{00000000-0005-0000-0000-0000C5260000}"/>
    <cellStyle name="Note 8 10" xfId="9898" xr:uid="{00000000-0005-0000-0000-0000C6260000}"/>
    <cellStyle name="Note 8 2" xfId="3525" xr:uid="{00000000-0005-0000-0000-0000C7260000}"/>
    <cellStyle name="Note 8 2 2" xfId="5706" xr:uid="{00000000-0005-0000-0000-0000C8260000}"/>
    <cellStyle name="Note 8 2 3" xfId="7812" xr:uid="{00000000-0005-0000-0000-0000C9260000}"/>
    <cellStyle name="Note 8 2 4" xfId="9899" xr:uid="{00000000-0005-0000-0000-0000CA260000}"/>
    <cellStyle name="Note 8 3" xfId="3526" xr:uid="{00000000-0005-0000-0000-0000CB260000}"/>
    <cellStyle name="Note 8 3 2" xfId="5707" xr:uid="{00000000-0005-0000-0000-0000CC260000}"/>
    <cellStyle name="Note 8 3 3" xfId="7813" xr:uid="{00000000-0005-0000-0000-0000CD260000}"/>
    <cellStyle name="Note 8 3 4" xfId="9900" xr:uid="{00000000-0005-0000-0000-0000CE260000}"/>
    <cellStyle name="Note 8 4" xfId="3527" xr:uid="{00000000-0005-0000-0000-0000CF260000}"/>
    <cellStyle name="Note 8 4 2" xfId="5708" xr:uid="{00000000-0005-0000-0000-0000D0260000}"/>
    <cellStyle name="Note 8 4 3" xfId="7814" xr:uid="{00000000-0005-0000-0000-0000D1260000}"/>
    <cellStyle name="Note 8 4 4" xfId="9901" xr:uid="{00000000-0005-0000-0000-0000D2260000}"/>
    <cellStyle name="Note 8 5" xfId="3528" xr:uid="{00000000-0005-0000-0000-0000D3260000}"/>
    <cellStyle name="Note 8 5 2" xfId="5709" xr:uid="{00000000-0005-0000-0000-0000D4260000}"/>
    <cellStyle name="Note 8 5 3" xfId="7815" xr:uid="{00000000-0005-0000-0000-0000D5260000}"/>
    <cellStyle name="Note 8 5 4" xfId="9902" xr:uid="{00000000-0005-0000-0000-0000D6260000}"/>
    <cellStyle name="Note 8 6" xfId="3529" xr:uid="{00000000-0005-0000-0000-0000D7260000}"/>
    <cellStyle name="Note 8 6 2" xfId="5710" xr:uid="{00000000-0005-0000-0000-0000D8260000}"/>
    <cellStyle name="Note 8 6 3" xfId="7816" xr:uid="{00000000-0005-0000-0000-0000D9260000}"/>
    <cellStyle name="Note 8 6 4" xfId="9903" xr:uid="{00000000-0005-0000-0000-0000DA260000}"/>
    <cellStyle name="Note 8 7" xfId="3530" xr:uid="{00000000-0005-0000-0000-0000DB260000}"/>
    <cellStyle name="Note 8 7 2" xfId="5711" xr:uid="{00000000-0005-0000-0000-0000DC260000}"/>
    <cellStyle name="Note 8 7 3" xfId="7817" xr:uid="{00000000-0005-0000-0000-0000DD260000}"/>
    <cellStyle name="Note 8 7 4" xfId="9904" xr:uid="{00000000-0005-0000-0000-0000DE260000}"/>
    <cellStyle name="Note 8 8" xfId="5705" xr:uid="{00000000-0005-0000-0000-0000DF260000}"/>
    <cellStyle name="Note 8 9" xfId="7811" xr:uid="{00000000-0005-0000-0000-0000E0260000}"/>
    <cellStyle name="Note 9" xfId="3531" xr:uid="{00000000-0005-0000-0000-0000E1260000}"/>
    <cellStyle name="Note 9 10" xfId="9905" xr:uid="{00000000-0005-0000-0000-0000E2260000}"/>
    <cellStyle name="Note 9 2" xfId="3532" xr:uid="{00000000-0005-0000-0000-0000E3260000}"/>
    <cellStyle name="Note 9 2 2" xfId="5713" xr:uid="{00000000-0005-0000-0000-0000E4260000}"/>
    <cellStyle name="Note 9 2 3" xfId="7819" xr:uid="{00000000-0005-0000-0000-0000E5260000}"/>
    <cellStyle name="Note 9 2 4" xfId="9906" xr:uid="{00000000-0005-0000-0000-0000E6260000}"/>
    <cellStyle name="Note 9 3" xfId="3533" xr:uid="{00000000-0005-0000-0000-0000E7260000}"/>
    <cellStyle name="Note 9 3 2" xfId="5714" xr:uid="{00000000-0005-0000-0000-0000E8260000}"/>
    <cellStyle name="Note 9 3 3" xfId="7820" xr:uid="{00000000-0005-0000-0000-0000E9260000}"/>
    <cellStyle name="Note 9 3 4" xfId="9907" xr:uid="{00000000-0005-0000-0000-0000EA260000}"/>
    <cellStyle name="Note 9 4" xfId="3534" xr:uid="{00000000-0005-0000-0000-0000EB260000}"/>
    <cellStyle name="Note 9 4 2" xfId="5715" xr:uid="{00000000-0005-0000-0000-0000EC260000}"/>
    <cellStyle name="Note 9 4 3" xfId="7821" xr:uid="{00000000-0005-0000-0000-0000ED260000}"/>
    <cellStyle name="Note 9 4 4" xfId="9908" xr:uid="{00000000-0005-0000-0000-0000EE260000}"/>
    <cellStyle name="Note 9 5" xfId="3535" xr:uid="{00000000-0005-0000-0000-0000EF260000}"/>
    <cellStyle name="Note 9 5 2" xfId="5716" xr:uid="{00000000-0005-0000-0000-0000F0260000}"/>
    <cellStyle name="Note 9 5 3" xfId="7822" xr:uid="{00000000-0005-0000-0000-0000F1260000}"/>
    <cellStyle name="Note 9 5 4" xfId="9909" xr:uid="{00000000-0005-0000-0000-0000F2260000}"/>
    <cellStyle name="Note 9 6" xfId="3536" xr:uid="{00000000-0005-0000-0000-0000F3260000}"/>
    <cellStyle name="Note 9 6 2" xfId="5717" xr:uid="{00000000-0005-0000-0000-0000F4260000}"/>
    <cellStyle name="Note 9 6 3" xfId="7823" xr:uid="{00000000-0005-0000-0000-0000F5260000}"/>
    <cellStyle name="Note 9 6 4" xfId="9910" xr:uid="{00000000-0005-0000-0000-0000F6260000}"/>
    <cellStyle name="Note 9 7" xfId="3537" xr:uid="{00000000-0005-0000-0000-0000F7260000}"/>
    <cellStyle name="Note 9 7 2" xfId="5718" xr:uid="{00000000-0005-0000-0000-0000F8260000}"/>
    <cellStyle name="Note 9 7 3" xfId="7824" xr:uid="{00000000-0005-0000-0000-0000F9260000}"/>
    <cellStyle name="Note 9 7 4" xfId="9911" xr:uid="{00000000-0005-0000-0000-0000FA260000}"/>
    <cellStyle name="Note 9 8" xfId="5712" xr:uid="{00000000-0005-0000-0000-0000FB260000}"/>
    <cellStyle name="Note 9 9" xfId="7818" xr:uid="{00000000-0005-0000-0000-0000FC260000}"/>
    <cellStyle name="Output 2" xfId="3538" xr:uid="{00000000-0005-0000-0000-0000FD260000}"/>
    <cellStyle name="Output 2 2" xfId="3539" xr:uid="{00000000-0005-0000-0000-0000FE260000}"/>
    <cellStyle name="Output 2 2 2" xfId="3636" xr:uid="{00000000-0005-0000-0000-0000FF260000}"/>
    <cellStyle name="Output 2 2 3" xfId="9943" xr:uid="{00000000-0005-0000-0000-000000270000}"/>
    <cellStyle name="Output 2 2 4" xfId="10047" xr:uid="{00000000-0005-0000-0000-000001270000}"/>
    <cellStyle name="Output 2 3" xfId="3635" xr:uid="{00000000-0005-0000-0000-000002270000}"/>
    <cellStyle name="Output 2 4" xfId="9942" xr:uid="{00000000-0005-0000-0000-000003270000}"/>
    <cellStyle name="Output 2 5" xfId="10046" xr:uid="{00000000-0005-0000-0000-000004270000}"/>
    <cellStyle name="Output 3" xfId="3540" xr:uid="{00000000-0005-0000-0000-000005270000}"/>
    <cellStyle name="Output 3 2" xfId="3637" xr:uid="{00000000-0005-0000-0000-000006270000}"/>
    <cellStyle name="Output 3 3" xfId="9944" xr:uid="{00000000-0005-0000-0000-000007270000}"/>
    <cellStyle name="Output 3 4" xfId="10048" xr:uid="{00000000-0005-0000-0000-000008270000}"/>
    <cellStyle name="Output 4" xfId="3541" xr:uid="{00000000-0005-0000-0000-000009270000}"/>
    <cellStyle name="Output 4 2" xfId="3638" xr:uid="{00000000-0005-0000-0000-00000A270000}"/>
    <cellStyle name="Output 4 3" xfId="9945" xr:uid="{00000000-0005-0000-0000-00000B270000}"/>
    <cellStyle name="Output 4 4" xfId="10049" xr:uid="{00000000-0005-0000-0000-00000C270000}"/>
    <cellStyle name="Output 5" xfId="3542" xr:uid="{00000000-0005-0000-0000-00000D270000}"/>
    <cellStyle name="Output 5 2" xfId="3639" xr:uid="{00000000-0005-0000-0000-00000E270000}"/>
    <cellStyle name="Output 5 3" xfId="9946" xr:uid="{00000000-0005-0000-0000-00000F270000}"/>
    <cellStyle name="Output 5 4" xfId="10050" xr:uid="{00000000-0005-0000-0000-000010270000}"/>
    <cellStyle name="Output 6" xfId="3543" xr:uid="{00000000-0005-0000-0000-000011270000}"/>
    <cellStyle name="Output 6 2" xfId="3640" xr:uid="{00000000-0005-0000-0000-000012270000}"/>
    <cellStyle name="Output 6 3" xfId="9947" xr:uid="{00000000-0005-0000-0000-000013270000}"/>
    <cellStyle name="Output 6 4" xfId="10051" xr:uid="{00000000-0005-0000-0000-000014270000}"/>
    <cellStyle name="Percent" xfId="12" builtinId="5"/>
    <cellStyle name="Percent 10" xfId="3544" xr:uid="{00000000-0005-0000-0000-000016270000}"/>
    <cellStyle name="Percent 10 2" xfId="3545" xr:uid="{00000000-0005-0000-0000-000017270000}"/>
    <cellStyle name="Percent 10 3" xfId="3546" xr:uid="{00000000-0005-0000-0000-000018270000}"/>
    <cellStyle name="Percent 11" xfId="3547" xr:uid="{00000000-0005-0000-0000-000019270000}"/>
    <cellStyle name="Percent 12" xfId="3548" xr:uid="{00000000-0005-0000-0000-00001A270000}"/>
    <cellStyle name="Percent 12 2" xfId="3549" xr:uid="{00000000-0005-0000-0000-00001B270000}"/>
    <cellStyle name="Percent 13" xfId="3550" xr:uid="{00000000-0005-0000-0000-00001C270000}"/>
    <cellStyle name="Percent 13 2" xfId="3551" xr:uid="{00000000-0005-0000-0000-00001D270000}"/>
    <cellStyle name="Percent 13 2 2" xfId="5719" xr:uid="{00000000-0005-0000-0000-00001E270000}"/>
    <cellStyle name="Percent 13 2 3" xfId="7825" xr:uid="{00000000-0005-0000-0000-00001F270000}"/>
    <cellStyle name="Percent 13 2 4" xfId="9912" xr:uid="{00000000-0005-0000-0000-000020270000}"/>
    <cellStyle name="Percent 14" xfId="3552" xr:uid="{00000000-0005-0000-0000-000021270000}"/>
    <cellStyle name="Percent 15" xfId="3553" xr:uid="{00000000-0005-0000-0000-000022270000}"/>
    <cellStyle name="Percent 16" xfId="3554" xr:uid="{00000000-0005-0000-0000-000023270000}"/>
    <cellStyle name="Percent 17" xfId="10006" xr:uid="{00000000-0005-0000-0000-000024270000}"/>
    <cellStyle name="Percent 18" xfId="10088" xr:uid="{00000000-0005-0000-0000-000025270000}"/>
    <cellStyle name="Percent 19" xfId="10098" xr:uid="{00000000-0005-0000-0000-000026270000}"/>
    <cellStyle name="Percent 2" xfId="13" xr:uid="{00000000-0005-0000-0000-000027270000}"/>
    <cellStyle name="Percent 2 2" xfId="3556" xr:uid="{00000000-0005-0000-0000-000028270000}"/>
    <cellStyle name="Percent 2 3" xfId="3557" xr:uid="{00000000-0005-0000-0000-000029270000}"/>
    <cellStyle name="Percent 2 3 2" xfId="3558" xr:uid="{00000000-0005-0000-0000-00002A270000}"/>
    <cellStyle name="Percent 2 4" xfId="3559" xr:uid="{00000000-0005-0000-0000-00002B270000}"/>
    <cellStyle name="Percent 2 5" xfId="3555" xr:uid="{00000000-0005-0000-0000-00002C270000}"/>
    <cellStyle name="Percent 20" xfId="10104" xr:uid="{00000000-0005-0000-0000-00002D270000}"/>
    <cellStyle name="Percent 21" xfId="10121" xr:uid="{00000000-0005-0000-0000-00002E270000}"/>
    <cellStyle name="Percent 3" xfId="14" xr:uid="{00000000-0005-0000-0000-00002F270000}"/>
    <cellStyle name="Percent 3 2" xfId="3561" xr:uid="{00000000-0005-0000-0000-000030270000}"/>
    <cellStyle name="Percent 3 2 2" xfId="3562" xr:uid="{00000000-0005-0000-0000-000031270000}"/>
    <cellStyle name="Percent 3 3" xfId="3563" xr:uid="{00000000-0005-0000-0000-000032270000}"/>
    <cellStyle name="Percent 3 3 2" xfId="5720" xr:uid="{00000000-0005-0000-0000-000033270000}"/>
    <cellStyle name="Percent 3 3 3" xfId="7826" xr:uid="{00000000-0005-0000-0000-000034270000}"/>
    <cellStyle name="Percent 3 3 4" xfId="9913" xr:uid="{00000000-0005-0000-0000-000035270000}"/>
    <cellStyle name="Percent 3 4" xfId="3560" xr:uid="{00000000-0005-0000-0000-000036270000}"/>
    <cellStyle name="Percent 4" xfId="150" xr:uid="{00000000-0005-0000-0000-000037270000}"/>
    <cellStyle name="Percent 4 2" xfId="3565" xr:uid="{00000000-0005-0000-0000-000038270000}"/>
    <cellStyle name="Percent 4 3" xfId="3566" xr:uid="{00000000-0005-0000-0000-000039270000}"/>
    <cellStyle name="Percent 4 4" xfId="3564" xr:uid="{00000000-0005-0000-0000-00003A270000}"/>
    <cellStyle name="Percent 5" xfId="316" xr:uid="{00000000-0005-0000-0000-00003B270000}"/>
    <cellStyle name="Percent 5 2" xfId="3568" xr:uid="{00000000-0005-0000-0000-00003C270000}"/>
    <cellStyle name="Percent 5 3" xfId="3567" xr:uid="{00000000-0005-0000-0000-00003D270000}"/>
    <cellStyle name="Percent 6" xfId="3569" xr:uid="{00000000-0005-0000-0000-00003E270000}"/>
    <cellStyle name="Percent 6 2" xfId="3570" xr:uid="{00000000-0005-0000-0000-00003F270000}"/>
    <cellStyle name="Percent 7" xfId="3571" xr:uid="{00000000-0005-0000-0000-000040270000}"/>
    <cellStyle name="Percent 8" xfId="3572" xr:uid="{00000000-0005-0000-0000-000041270000}"/>
    <cellStyle name="Percent 9" xfId="3573" xr:uid="{00000000-0005-0000-0000-000042270000}"/>
    <cellStyle name="Style 1" xfId="15" xr:uid="{00000000-0005-0000-0000-000043270000}"/>
    <cellStyle name="Style 2" xfId="16" xr:uid="{00000000-0005-0000-0000-000044270000}"/>
    <cellStyle name="Title 2" xfId="3574" xr:uid="{00000000-0005-0000-0000-000045270000}"/>
    <cellStyle name="Title 2 2" xfId="3575" xr:uid="{00000000-0005-0000-0000-000046270000}"/>
    <cellStyle name="Title 3" xfId="3576" xr:uid="{00000000-0005-0000-0000-000047270000}"/>
    <cellStyle name="Title 4" xfId="3577" xr:uid="{00000000-0005-0000-0000-000048270000}"/>
    <cellStyle name="Title 5" xfId="3578" xr:uid="{00000000-0005-0000-0000-000049270000}"/>
    <cellStyle name="Title 6" xfId="3579" xr:uid="{00000000-0005-0000-0000-00004A270000}"/>
    <cellStyle name="Total 2" xfId="3580" xr:uid="{00000000-0005-0000-0000-00004B270000}"/>
    <cellStyle name="Total 2 2" xfId="3581" xr:uid="{00000000-0005-0000-0000-00004C270000}"/>
    <cellStyle name="Total 2 2 2" xfId="3642" xr:uid="{00000000-0005-0000-0000-00004D270000}"/>
    <cellStyle name="Total 2 2 3" xfId="9949" xr:uid="{00000000-0005-0000-0000-00004E270000}"/>
    <cellStyle name="Total 2 2 4" xfId="10053" xr:uid="{00000000-0005-0000-0000-00004F270000}"/>
    <cellStyle name="Total 2 3" xfId="3582" xr:uid="{00000000-0005-0000-0000-000050270000}"/>
    <cellStyle name="Total 2 4" xfId="3641" xr:uid="{00000000-0005-0000-0000-000051270000}"/>
    <cellStyle name="Total 2 5" xfId="9948" xr:uid="{00000000-0005-0000-0000-000052270000}"/>
    <cellStyle name="Total 2 6" xfId="10052" xr:uid="{00000000-0005-0000-0000-000053270000}"/>
    <cellStyle name="Total 3" xfId="3583" xr:uid="{00000000-0005-0000-0000-000054270000}"/>
    <cellStyle name="Total 3 2" xfId="3584" xr:uid="{00000000-0005-0000-0000-000055270000}"/>
    <cellStyle name="Total 3 3" xfId="3643" xr:uid="{00000000-0005-0000-0000-000056270000}"/>
    <cellStyle name="Total 3 4" xfId="9950" xr:uid="{00000000-0005-0000-0000-000057270000}"/>
    <cellStyle name="Total 3 5" xfId="10054" xr:uid="{00000000-0005-0000-0000-000058270000}"/>
    <cellStyle name="Total 4" xfId="3585" xr:uid="{00000000-0005-0000-0000-000059270000}"/>
    <cellStyle name="Total 4 2" xfId="3644" xr:uid="{00000000-0005-0000-0000-00005A270000}"/>
    <cellStyle name="Total 4 3" xfId="9951" xr:uid="{00000000-0005-0000-0000-00005B270000}"/>
    <cellStyle name="Total 4 4" xfId="10055" xr:uid="{00000000-0005-0000-0000-00005C270000}"/>
    <cellStyle name="Total 5" xfId="3586" xr:uid="{00000000-0005-0000-0000-00005D270000}"/>
    <cellStyle name="Total 5 2" xfId="3645" xr:uid="{00000000-0005-0000-0000-00005E270000}"/>
    <cellStyle name="Total 5 3" xfId="9952" xr:uid="{00000000-0005-0000-0000-00005F270000}"/>
    <cellStyle name="Total 5 4" xfId="10056" xr:uid="{00000000-0005-0000-0000-000060270000}"/>
    <cellStyle name="Total 6" xfId="3587" xr:uid="{00000000-0005-0000-0000-000061270000}"/>
    <cellStyle name="Total 6 2" xfId="3646" xr:uid="{00000000-0005-0000-0000-000062270000}"/>
    <cellStyle name="Total 6 3" xfId="9953" xr:uid="{00000000-0005-0000-0000-000063270000}"/>
    <cellStyle name="Total 6 4" xfId="10057" xr:uid="{00000000-0005-0000-0000-000064270000}"/>
    <cellStyle name="Warning Text 2" xfId="3588" xr:uid="{00000000-0005-0000-0000-000065270000}"/>
    <cellStyle name="Warning Text 2 2" xfId="3589" xr:uid="{00000000-0005-0000-0000-000066270000}"/>
    <cellStyle name="Warning Text 3" xfId="3590" xr:uid="{00000000-0005-0000-0000-000067270000}"/>
    <cellStyle name="Warning Text 4" xfId="3591" xr:uid="{00000000-0005-0000-0000-000068270000}"/>
    <cellStyle name="Warning Text 5" xfId="3592" xr:uid="{00000000-0005-0000-0000-000069270000}"/>
    <cellStyle name="Warning Text 6" xfId="3593" xr:uid="{00000000-0005-0000-0000-00006A270000}"/>
    <cellStyle name="Yosha" xfId="3594" xr:uid="{00000000-0005-0000-0000-00006B270000}"/>
    <cellStyle name="เครื่องหมายจุลภาค 2" xfId="3595" xr:uid="{00000000-0005-0000-0000-00006C270000}"/>
    <cellStyle name="เครื่องหมายจุลภาค 2 2" xfId="5781" xr:uid="{00000000-0005-0000-0000-00006D270000}"/>
    <cellStyle name="เครื่องหมายจุลภาค_Sheet1" xfId="17" xr:uid="{00000000-0005-0000-0000-00006E270000}"/>
    <cellStyle name="เซลล์ที่มีการเชื่อมโยง" xfId="3597" xr:uid="{00000000-0005-0000-0000-00006F270000}"/>
    <cellStyle name="เปอร์เซ็นต์ 2" xfId="3598" xr:uid="{00000000-0005-0000-0000-000070270000}"/>
    <cellStyle name="แย่" xfId="3599" xr:uid="{00000000-0005-0000-0000-000071270000}"/>
    <cellStyle name="แสดงผล" xfId="3600" xr:uid="{00000000-0005-0000-0000-000072270000}"/>
    <cellStyle name="แสดงผล 2" xfId="3647" xr:uid="{00000000-0005-0000-0000-000073270000}"/>
    <cellStyle name="แสดงผล 3" xfId="9954" xr:uid="{00000000-0005-0000-0000-000074270000}"/>
    <cellStyle name="แสดงผล 4" xfId="10058" xr:uid="{00000000-0005-0000-0000-000075270000}"/>
    <cellStyle name="การคำนวณ" xfId="3601" xr:uid="{00000000-0005-0000-0000-000076270000}"/>
    <cellStyle name="การคำนวณ 2" xfId="3648" xr:uid="{00000000-0005-0000-0000-000077270000}"/>
    <cellStyle name="การคำนวณ 3" xfId="3665" xr:uid="{00000000-0005-0000-0000-000078270000}"/>
    <cellStyle name="การคำนวณ 4" xfId="9955" xr:uid="{00000000-0005-0000-0000-000079270000}"/>
    <cellStyle name="การคำนวณ 5" xfId="10059" xr:uid="{00000000-0005-0000-0000-00007A270000}"/>
    <cellStyle name="ข้อความเตือน" xfId="3602" xr:uid="{00000000-0005-0000-0000-00007B270000}"/>
    <cellStyle name="ข้อความอธิบาย" xfId="3603" xr:uid="{00000000-0005-0000-0000-00007C270000}"/>
    <cellStyle name="ชื่อเรื่อง" xfId="3604" xr:uid="{00000000-0005-0000-0000-00007D270000}"/>
    <cellStyle name="ดี" xfId="3605" xr:uid="{00000000-0005-0000-0000-00007E270000}"/>
    <cellStyle name="น้บะภฒ_95" xfId="18" xr:uid="{00000000-0005-0000-0000-00007F270000}"/>
    <cellStyle name="ปกติ 2" xfId="3606" xr:uid="{00000000-0005-0000-0000-000080270000}"/>
    <cellStyle name="ปกติ_dashboard" xfId="19" xr:uid="{00000000-0005-0000-0000-000081270000}"/>
    <cellStyle name="ป้อนค่า" xfId="3607" xr:uid="{00000000-0005-0000-0000-000082270000}"/>
    <cellStyle name="ป้อนค่า 2" xfId="3649" xr:uid="{00000000-0005-0000-0000-000083270000}"/>
    <cellStyle name="ป้อนค่า 3" xfId="3666" xr:uid="{00000000-0005-0000-0000-000084270000}"/>
    <cellStyle name="ป้อนค่า 4" xfId="9956" xr:uid="{00000000-0005-0000-0000-000085270000}"/>
    <cellStyle name="ป้อนค่า 5" xfId="10060" xr:uid="{00000000-0005-0000-0000-000086270000}"/>
    <cellStyle name="ปานกลาง" xfId="3608" xr:uid="{00000000-0005-0000-0000-000087270000}"/>
    <cellStyle name="ผลรวม" xfId="3609" xr:uid="{00000000-0005-0000-0000-000088270000}"/>
    <cellStyle name="ผลรวม 2" xfId="3650" xr:uid="{00000000-0005-0000-0000-000089270000}"/>
    <cellStyle name="ผลรวม 3" xfId="9957" xr:uid="{00000000-0005-0000-0000-00008A270000}"/>
    <cellStyle name="ผลรวม 4" xfId="10061" xr:uid="{00000000-0005-0000-0000-00008B270000}"/>
    <cellStyle name="ฤธถ [0]_95" xfId="20" xr:uid="{00000000-0005-0000-0000-00008C270000}"/>
    <cellStyle name="ฤธถ_95" xfId="21" xr:uid="{00000000-0005-0000-0000-00008D270000}"/>
    <cellStyle name="ล๋ศญ [0]_95" xfId="22" xr:uid="{00000000-0005-0000-0000-00008E270000}"/>
    <cellStyle name="ล๋ศญ_95" xfId="23" xr:uid="{00000000-0005-0000-0000-00008F270000}"/>
    <cellStyle name="วฅมุ_4ฟ๙ฝวภ๛" xfId="24" xr:uid="{00000000-0005-0000-0000-000090270000}"/>
    <cellStyle name="ส่วนที่ถูกเน้น1" xfId="3610" xr:uid="{00000000-0005-0000-0000-000091270000}"/>
    <cellStyle name="ส่วนที่ถูกเน้น2" xfId="3611" xr:uid="{00000000-0005-0000-0000-000092270000}"/>
    <cellStyle name="ส่วนที่ถูกเน้น3" xfId="3612" xr:uid="{00000000-0005-0000-0000-000093270000}"/>
    <cellStyle name="ส่วนที่ถูกเน้น4" xfId="3613" xr:uid="{00000000-0005-0000-0000-000094270000}"/>
    <cellStyle name="ส่วนที่ถูกเน้น5" xfId="3614" xr:uid="{00000000-0005-0000-0000-000095270000}"/>
    <cellStyle name="ส่วนที่ถูกเน้น6" xfId="3615" xr:uid="{00000000-0005-0000-0000-000096270000}"/>
    <cellStyle name="หมายเหตุ" xfId="3616" xr:uid="{00000000-0005-0000-0000-000097270000}"/>
    <cellStyle name="หมายเหตุ 2" xfId="5721" xr:uid="{00000000-0005-0000-0000-000098270000}"/>
    <cellStyle name="หมายเหตุ 2 2" xfId="9973" xr:uid="{00000000-0005-0000-0000-000099270000}"/>
    <cellStyle name="หมายเหตุ 2 3" xfId="10078" xr:uid="{00000000-0005-0000-0000-00009A270000}"/>
    <cellStyle name="หมายเหตุ 3" xfId="10062" xr:uid="{00000000-0005-0000-0000-00009B270000}"/>
    <cellStyle name="หัวเรื่อง 1" xfId="3617" xr:uid="{00000000-0005-0000-0000-00009C270000}"/>
    <cellStyle name="หัวเรื่อง 2" xfId="3618" xr:uid="{00000000-0005-0000-0000-00009D270000}"/>
    <cellStyle name="หัวเรื่อง 3" xfId="3619" xr:uid="{00000000-0005-0000-0000-00009E270000}"/>
    <cellStyle name="หัวเรื่อง 4" xfId="3620" xr:uid="{00000000-0005-0000-0000-00009F270000}"/>
  </cellStyles>
  <dxfs count="71"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4"/>
      </font>
    </dxf>
    <dxf>
      <font>
        <color rgb="FFFF0000"/>
      </font>
      <fill>
        <patternFill>
          <bgColor theme="0"/>
        </patternFill>
      </fill>
    </dxf>
    <dxf>
      <font>
        <color theme="4"/>
      </font>
    </dxf>
    <dxf>
      <font>
        <color rgb="FF0070C0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0070C0"/>
      </font>
    </dxf>
    <dxf>
      <font>
        <color rgb="FF0070C0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FF0000"/>
      </font>
    </dxf>
  </dxfs>
  <tableStyles count="0" defaultTableStyle="TableStyleMedium9" defaultPivotStyle="PivotStyleLight16"/>
  <colors>
    <mruColors>
      <color rgb="FF00CCFF"/>
      <color rgb="FFFFCCCC"/>
      <color rgb="FF0066CC"/>
      <color rgb="FF66FF66"/>
      <color rgb="FFFFCC66"/>
      <color rgb="FFFF99CC"/>
      <color rgb="FFFF9933"/>
      <color rgb="FFFFFF99"/>
      <color rgb="FFFF66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43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externalLink" Target="externalLinks/externalLink4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externalLink" Target="externalLinks/externalLink4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externalLink" Target="externalLinks/externalLink47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37759220972174"/>
          <c:y val="2.9453214666627581E-2"/>
          <c:w val="0.35681822033658928"/>
          <c:h val="0.799141527726377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A2-46A7-9809-91D7B0C6B7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A2-46A7-9809-91D7B0C6B7A0}"/>
              </c:ext>
            </c:extLst>
          </c:dPt>
          <c:val>
            <c:numRef>
              <c:f>Dashboard!$AS$22:$AT$22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A2-46A7-9809-91D7B0C6B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21-46EE-A916-BBAC10ABF39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21-46EE-A916-BBAC10ABF39E}"/>
              </c:ext>
            </c:extLst>
          </c:dPt>
          <c:val>
            <c:numRef>
              <c:f>Dashboard!$AS$16:$AT$16</c:f>
              <c:numCache>
                <c:formatCode>0%</c:formatCode>
                <c:ptCount val="2"/>
                <c:pt idx="0">
                  <c:v>0.29256717791411041</c:v>
                </c:pt>
                <c:pt idx="1">
                  <c:v>0.70743282208588965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1-46EE-A916-BBAC10AB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C99FF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989C-41AB-8653-3FCCB9F0C33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989C-41AB-8653-3FCCB9F0C331}"/>
              </c:ext>
            </c:extLst>
          </c:dPt>
          <c:val>
            <c:numRef>
              <c:f>Dashboard!$AS$20:$AT$20</c:f>
              <c:numCache>
                <c:formatCode>0%</c:formatCode>
                <c:ptCount val="2"/>
                <c:pt idx="0">
                  <c:v>8.3094810126582274E-3</c:v>
                </c:pt>
                <c:pt idx="1">
                  <c:v>0.99169051898734173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9C-41AB-8653-3FCCB9F0C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EB-4475-8E33-4D0020C4640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EB-4475-8E33-4D0020C46400}"/>
              </c:ext>
            </c:extLst>
          </c:dPt>
          <c:val>
            <c:numRef>
              <c:f>Dashboard!$AS$10:$AT$10</c:f>
              <c:numCache>
                <c:formatCode>0%</c:formatCode>
                <c:ptCount val="2"/>
                <c:pt idx="0">
                  <c:v>0.42703864473684211</c:v>
                </c:pt>
                <c:pt idx="1">
                  <c:v>0.57296135526315783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B-4475-8E33-4D0020C46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F3-4E69-B3C7-BECD1A8D81C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F3-4E69-B3C7-BECD1A8D81C9}"/>
              </c:ext>
            </c:extLst>
          </c:dPt>
          <c:val>
            <c:numRef>
              <c:f>Dashboard!$AS$9:$AT$9</c:f>
              <c:numCache>
                <c:formatCode>0%</c:formatCode>
                <c:ptCount val="2"/>
                <c:pt idx="0">
                  <c:v>0.44249127508196728</c:v>
                </c:pt>
                <c:pt idx="1">
                  <c:v>0.55750872491803272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F3-4E69-B3C7-BECD1A8D8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9225503532406"/>
          <c:y val="9.8961646517782637E-2"/>
          <c:w val="0.66245878859683771"/>
          <c:h val="0.8020767069644347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66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83-4324-B9FB-8F5766EE17C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83-4324-B9FB-8F5766EE17C1}"/>
              </c:ext>
            </c:extLst>
          </c:dPt>
          <c:val>
            <c:numRef>
              <c:f>Dashboard!$AS$8:$AT$8</c:f>
              <c:numCache>
                <c:formatCode>0%</c:formatCode>
                <c:ptCount val="2"/>
                <c:pt idx="0">
                  <c:v>0.47572084399999998</c:v>
                </c:pt>
                <c:pt idx="1">
                  <c:v>0.52427915599999997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83-4324-B9FB-8F5766EE1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C3-4644-83DA-E33477F1393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C3-4644-83DA-E33477F13936}"/>
              </c:ext>
            </c:extLst>
          </c:dPt>
          <c:val>
            <c:numRef>
              <c:f>Dashboard!$AS$7:$AT$7</c:f>
              <c:numCache>
                <c:formatCode>0%</c:formatCode>
                <c:ptCount val="2"/>
                <c:pt idx="0">
                  <c:v>0.56133571985654029</c:v>
                </c:pt>
                <c:pt idx="1">
                  <c:v>0.43866428014345971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C3-4644-83DA-E33477F1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1">
                    <a:lumMod val="50000"/>
                  </a:schemeClr>
                </a:solidFill>
              </a:rPr>
              <a:t>Water Level Port GPK</a:t>
            </a:r>
          </a:p>
        </c:rich>
      </c:tx>
      <c:layout>
        <c:manualLayout>
          <c:xMode val="edge"/>
          <c:yMode val="edge"/>
          <c:x val="2.027448204456371E-2"/>
          <c:y val="1.4887984883032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0537692432068E-2"/>
          <c:y val="0.16911089238845145"/>
          <c:w val="0.84671392403604573"/>
          <c:h val="0.63175697950959808"/>
        </c:manualLayout>
      </c:layout>
      <c:areaChart>
        <c:grouping val="standard"/>
        <c:varyColors val="0"/>
        <c:ser>
          <c:idx val="0"/>
          <c:order val="1"/>
          <c:tx>
            <c:strRef>
              <c:f>'Water Level'!$G$4</c:f>
              <c:strCache>
                <c:ptCount val="1"/>
                <c:pt idx="0">
                  <c:v>High water level tolerance</c:v>
                </c:pt>
              </c:strCache>
            </c:strRef>
          </c:tx>
          <c:spPr>
            <a:solidFill>
              <a:srgbClr val="00CCFF"/>
            </a:solidFill>
            <a:ln>
              <a:solidFill>
                <a:srgbClr val="FF0000"/>
              </a:solidFill>
            </a:ln>
            <a:effectLst/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'Water Level'!$B$5:$B$35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'Water Level'!$G$5:$G$35</c:f>
              <c:numCache>
                <c:formatCode>General</c:formatCode>
                <c:ptCount val="31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2-4512-A93E-1B7B0FC80734}"/>
            </c:ext>
          </c:extLst>
        </c:ser>
        <c:ser>
          <c:idx val="2"/>
          <c:order val="2"/>
          <c:tx>
            <c:strRef>
              <c:f>'Water Level'!$H$4</c:f>
              <c:strCache>
                <c:ptCount val="1"/>
                <c:pt idx="0">
                  <c:v>Low water level tolerance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'Water Level'!$B$5:$B$35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'Water Level'!$H$5:$H$35</c:f>
              <c:numCache>
                <c:formatCode>General</c:formatCode>
                <c:ptCount val="31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2-4512-A93E-1B7B0FC80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599069727"/>
        <c:axId val="1599071391"/>
      </c:areaChart>
      <c:barChart>
        <c:barDir val="col"/>
        <c:grouping val="clustered"/>
        <c:varyColors val="0"/>
        <c:ser>
          <c:idx val="1"/>
          <c:order val="0"/>
          <c:tx>
            <c:strRef>
              <c:f>'Water Level'!$B$2:$F$2</c:f>
              <c:strCache>
                <c:ptCount val="5"/>
                <c:pt idx="0">
                  <c:v>Water Level Report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3175"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2.773810747727765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74-4A71-8C71-E780596FB5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'Water Level'!$B$5:$B$35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'Water Level'!$F$5:$F$35</c:f>
              <c:numCache>
                <c:formatCode>0.0</c:formatCode>
                <c:ptCount val="31"/>
                <c:pt idx="0">
                  <c:v>5.85</c:v>
                </c:pt>
                <c:pt idx="1">
                  <c:v>4.9800000000000004</c:v>
                </c:pt>
                <c:pt idx="2">
                  <c:v>4.96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4.9000000000000004</c:v>
                </c:pt>
                <c:pt idx="7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4-45A1-9C4E-0F490EE48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069727"/>
        <c:axId val="1599071391"/>
      </c:barChart>
      <c:scatterChart>
        <c:scatterStyle val="lineMarker"/>
        <c:varyColors val="0"/>
        <c:ser>
          <c:idx val="3"/>
          <c:order val="3"/>
          <c:tx>
            <c:strRef>
              <c:f>'Water Level'!$J$4</c:f>
              <c:strCache>
                <c:ptCount val="1"/>
                <c:pt idx="0">
                  <c:v>Actual Loading (KTon)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'Water Level'!$J$5:$J$35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A-446D-99CA-7CE76437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25759"/>
        <c:axId val="1680203839"/>
      </c:scatterChart>
      <c:catAx>
        <c:axId val="159906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71391"/>
        <c:crosses val="autoZero"/>
        <c:auto val="1"/>
        <c:lblAlgn val="ctr"/>
        <c:lblOffset val="100"/>
        <c:noMultiLvlLbl val="1"/>
      </c:catAx>
      <c:valAx>
        <c:axId val="1599071391"/>
        <c:scaling>
          <c:orientation val="minMax"/>
          <c:max val="17"/>
          <c:min val="4"/>
        </c:scaling>
        <c:delete val="0"/>
        <c:axPos val="l"/>
        <c:majorGridlines>
          <c:spPr>
            <a:ln w="222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Meter</a:t>
                </a:r>
              </a:p>
            </c:rich>
          </c:tx>
          <c:layout>
            <c:manualLayout>
              <c:xMode val="edge"/>
              <c:yMode val="edge"/>
              <c:x val="1.0109902157352774E-2"/>
              <c:y val="0.36139163503519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69727"/>
        <c:crosses val="autoZero"/>
        <c:crossBetween val="between"/>
        <c:majorUnit val="2"/>
        <c:minorUnit val="1"/>
      </c:valAx>
      <c:valAx>
        <c:axId val="1680203839"/>
        <c:scaling>
          <c:orientation val="minMax"/>
          <c:min val="1.0000000000000002E-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Kton</a:t>
                </a:r>
              </a:p>
            </c:rich>
          </c:tx>
          <c:layout>
            <c:manualLayout>
              <c:xMode val="edge"/>
              <c:yMode val="edge"/>
              <c:x val="0.96076442574824239"/>
              <c:y val="0.445544608741088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5759"/>
        <c:crosses val="max"/>
        <c:crossBetween val="midCat"/>
        <c:majorUnit val="7.5"/>
        <c:minorUnit val="2.5"/>
      </c:valAx>
      <c:valAx>
        <c:axId val="107025759"/>
        <c:scaling>
          <c:orientation val="minMax"/>
        </c:scaling>
        <c:delete val="1"/>
        <c:axPos val="b"/>
        <c:majorTickMark val="out"/>
        <c:minorTickMark val="none"/>
        <c:tickLblPos val="nextTo"/>
        <c:crossAx val="168020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446035363557852"/>
          <c:y val="0.90035304070632283"/>
          <c:w val="0.27996123168497683"/>
          <c:h val="8.1314773358058284E-2"/>
        </c:manualLayout>
      </c:layout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96252465874185"/>
          <c:y val="1.5506200100572182E-2"/>
          <c:w val="0.5067913588328814"/>
          <c:h val="0.8253994502826049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E5-4F42-8BC1-43600818F59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E5-4F42-8BC1-43600818F59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E5-4F42-8BC1-43600818F595}"/>
              </c:ext>
            </c:extLst>
          </c:dPt>
          <c:val>
            <c:numRef>
              <c:f>Dashboard!$AU$33:$AV$33</c:f>
              <c:numCache>
                <c:formatCode>0%</c:formatCode>
                <c:ptCount val="2"/>
                <c:pt idx="0">
                  <c:v>0.43998622105263174</c:v>
                </c:pt>
                <c:pt idx="1">
                  <c:v>0.56001377894736826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E5-4F42-8BC1-43600818F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77-4E26-A775-DF5A8098B71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77-4E26-A775-DF5A8098B7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9C-4128-B3E1-74F898B5F3F1}"/>
              </c:ext>
            </c:extLst>
          </c:dPt>
          <c:val>
            <c:numRef>
              <c:f>Dashboard!$AU$26:$AV$26</c:f>
              <c:numCache>
                <c:formatCode>0%</c:formatCode>
                <c:ptCount val="2"/>
                <c:pt idx="0">
                  <c:v>0.7217752128978917</c:v>
                </c:pt>
                <c:pt idx="1">
                  <c:v>0.2782247871021083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77-4E26-A775-DF5A8098B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19-485F-9250-EEFF81B26D6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19-485F-9250-EEFF81B26D6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19-485F-9250-EEFF81B26D6A}"/>
              </c:ext>
            </c:extLst>
          </c:dPt>
          <c:val>
            <c:numRef>
              <c:f>Dashboard!$AU$28:$AV$28</c:f>
              <c:numCache>
                <c:formatCode>0%</c:formatCode>
                <c:ptCount val="2"/>
                <c:pt idx="0">
                  <c:v>0.42080578048780493</c:v>
                </c:pt>
                <c:pt idx="1">
                  <c:v>0.57919421951219507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19-485F-9250-EEFF81B26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ROM vs Outlook</a:t>
            </a:r>
          </a:p>
        </c:rich>
      </c:tx>
      <c:layout>
        <c:manualLayout>
          <c:xMode val="edge"/>
          <c:yMode val="edge"/>
          <c:x val="1.0212187357659374E-2"/>
          <c:y val="2.4151699542855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313553451858687E-2"/>
          <c:y val="0.18962175322518768"/>
          <c:w val="0.87197841492613926"/>
          <c:h val="0.57482914465852886"/>
        </c:manualLayout>
      </c:layout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Coal Actual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-2.6086595877134681E-2"/>
                  <c:y val="-4.6664994287994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82-4F6F-867B-56A2CEE6B890}"/>
                </c:ext>
              </c:extLst>
            </c:dLbl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Sheet1!$B$3:$B$33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Sheet1!$C$3:$C$33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1312.8979999999999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E-4BC9-879F-8C466FA0077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Coal Outlook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Sheet1!$B$3:$B$33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Sheet1!$D$3:$D$33</c:f>
              <c:numCache>
                <c:formatCode>0.00</c:formatCode>
                <c:ptCount val="31"/>
                <c:pt idx="0">
                  <c:v>5266.666666666667</c:v>
                </c:pt>
                <c:pt idx="1">
                  <c:v>5266.666666666667</c:v>
                </c:pt>
                <c:pt idx="2">
                  <c:v>5266.666666666667</c:v>
                </c:pt>
                <c:pt idx="3">
                  <c:v>5266.666666666667</c:v>
                </c:pt>
                <c:pt idx="4">
                  <c:v>5266.666666666667</c:v>
                </c:pt>
                <c:pt idx="5">
                  <c:v>5266.666666666667</c:v>
                </c:pt>
                <c:pt idx="6">
                  <c:v>5266.666666666667</c:v>
                </c:pt>
                <c:pt idx="7">
                  <c:v>5266.666666666667</c:v>
                </c:pt>
                <c:pt idx="8">
                  <c:v>5266.666666666667</c:v>
                </c:pt>
                <c:pt idx="9">
                  <c:v>5266.666666666667</c:v>
                </c:pt>
                <c:pt idx="10">
                  <c:v>5266.666666666667</c:v>
                </c:pt>
                <c:pt idx="11">
                  <c:v>5266.666666666667</c:v>
                </c:pt>
                <c:pt idx="12">
                  <c:v>5266.666666666667</c:v>
                </c:pt>
                <c:pt idx="13">
                  <c:v>5266.666666666667</c:v>
                </c:pt>
                <c:pt idx="14">
                  <c:v>5266.666666666667</c:v>
                </c:pt>
                <c:pt idx="15">
                  <c:v>5266.666666666667</c:v>
                </c:pt>
                <c:pt idx="16">
                  <c:v>5266.666666666667</c:v>
                </c:pt>
                <c:pt idx="17">
                  <c:v>5266.666666666667</c:v>
                </c:pt>
                <c:pt idx="18">
                  <c:v>5266.666666666667</c:v>
                </c:pt>
                <c:pt idx="19">
                  <c:v>5266.666666666667</c:v>
                </c:pt>
                <c:pt idx="20">
                  <c:v>5266.666666666667</c:v>
                </c:pt>
                <c:pt idx="21">
                  <c:v>5266.666666666667</c:v>
                </c:pt>
                <c:pt idx="22">
                  <c:v>5266.666666666667</c:v>
                </c:pt>
                <c:pt idx="23">
                  <c:v>5266.666666666667</c:v>
                </c:pt>
                <c:pt idx="24">
                  <c:v>5266.666666666667</c:v>
                </c:pt>
                <c:pt idx="25">
                  <c:v>5266.666666666667</c:v>
                </c:pt>
                <c:pt idx="26">
                  <c:v>5266.666666666667</c:v>
                </c:pt>
                <c:pt idx="27">
                  <c:v>5266.666666666667</c:v>
                </c:pt>
                <c:pt idx="28">
                  <c:v>5266.666666666667</c:v>
                </c:pt>
                <c:pt idx="29">
                  <c:v>5266.666666666667</c:v>
                </c:pt>
                <c:pt idx="30">
                  <c:v>5266.666666666667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6E-4BC9-879F-8C466FA0077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Avg. Coal Actual 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C7-4362-B2DF-0BCCE6FC7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Sheet1!$B$3:$B$33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Sheet1!$E$3:$E$33</c:f>
              <c:numCache>
                <c:formatCode>0.00</c:formatCode>
                <c:ptCount val="31"/>
                <c:pt idx="0">
                  <c:v>1312.8979999999999</c:v>
                </c:pt>
                <c:pt idx="1">
                  <c:v>1312.8979999999999</c:v>
                </c:pt>
                <c:pt idx="2">
                  <c:v>1312.8979999999999</c:v>
                </c:pt>
                <c:pt idx="3">
                  <c:v>1312.8979999999999</c:v>
                </c:pt>
                <c:pt idx="4">
                  <c:v>1312.8979999999999</c:v>
                </c:pt>
                <c:pt idx="5">
                  <c:v>1312.8979999999999</c:v>
                </c:pt>
                <c:pt idx="6">
                  <c:v>1312.8979999999999</c:v>
                </c:pt>
                <c:pt idx="7">
                  <c:v>1312.8979999999999</c:v>
                </c:pt>
                <c:pt idx="8">
                  <c:v>1312.8979999999999</c:v>
                </c:pt>
                <c:pt idx="9">
                  <c:v>1312.8979999999999</c:v>
                </c:pt>
                <c:pt idx="10">
                  <c:v>1312.8979999999999</c:v>
                </c:pt>
                <c:pt idx="11">
                  <c:v>1312.8979999999999</c:v>
                </c:pt>
                <c:pt idx="12">
                  <c:v>1312.8979999999999</c:v>
                </c:pt>
                <c:pt idx="13">
                  <c:v>1312.8979999999999</c:v>
                </c:pt>
                <c:pt idx="14">
                  <c:v>1312.8979999999999</c:v>
                </c:pt>
                <c:pt idx="15">
                  <c:v>1312.8979999999999</c:v>
                </c:pt>
                <c:pt idx="16">
                  <c:v>1312.8979999999999</c:v>
                </c:pt>
                <c:pt idx="17">
                  <c:v>1312.8979999999999</c:v>
                </c:pt>
                <c:pt idx="18">
                  <c:v>1312.8979999999999</c:v>
                </c:pt>
                <c:pt idx="19">
                  <c:v>1312.8979999999999</c:v>
                </c:pt>
                <c:pt idx="20">
                  <c:v>1312.8979999999999</c:v>
                </c:pt>
                <c:pt idx="21">
                  <c:v>1312.8979999999999</c:v>
                </c:pt>
                <c:pt idx="22">
                  <c:v>1312.8979999999999</c:v>
                </c:pt>
                <c:pt idx="23">
                  <c:v>1312.8979999999999</c:v>
                </c:pt>
                <c:pt idx="24">
                  <c:v>1312.8979999999999</c:v>
                </c:pt>
                <c:pt idx="25">
                  <c:v>1312.8979999999999</c:v>
                </c:pt>
                <c:pt idx="26">
                  <c:v>1312.8979999999999</c:v>
                </c:pt>
                <c:pt idx="27">
                  <c:v>1312.8979999999999</c:v>
                </c:pt>
                <c:pt idx="28">
                  <c:v>1312.8979999999999</c:v>
                </c:pt>
                <c:pt idx="29">
                  <c:v>1312.8979999999999</c:v>
                </c:pt>
                <c:pt idx="30">
                  <c:v>1312.8979999999999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6E-4BC9-879F-8C466FA0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49713775"/>
        <c:axId val="1849717519"/>
      </c:lineChart>
      <c:catAx>
        <c:axId val="184971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17519"/>
        <c:crosses val="autoZero"/>
        <c:auto val="1"/>
        <c:lblAlgn val="ctr"/>
        <c:lblOffset val="100"/>
        <c:noMultiLvlLbl val="0"/>
      </c:catAx>
      <c:valAx>
        <c:axId val="184971751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1377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8.1618773745303404E-3"/>
                <c:y val="0.3627051641560045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1" i="0" u="none" strike="noStrike" kern="1200" cap="all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b="1"/>
                    <a:t>KTon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225310629650972"/>
          <c:y val="0.86892279090113744"/>
          <c:w val="0.71014636157146105"/>
          <c:h val="0.11718832020997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297982893718471"/>
          <c:y val="7.0300465295768055E-2"/>
          <c:w val="0.35681822033658928"/>
          <c:h val="0.79914152772637703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2F-42F5-9828-6E39BBCD725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2F-42F5-9828-6E39BBCD725F}"/>
              </c:ext>
            </c:extLst>
          </c:dPt>
          <c:val>
            <c:numRef>
              <c:f>Dashboard!$AS$22:$AT$22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2F-42F5-9828-6E39BBCD7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57-42AC-ABEB-06E44AE81A1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57-42AC-ABEB-06E44AE81A1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57-42AC-ABEB-06E44AE81A1F}"/>
              </c:ext>
            </c:extLst>
          </c:dPt>
          <c:dLbls>
            <c:delete val="1"/>
          </c:dLbls>
          <c:val>
            <c:numRef>
              <c:f>Dashboard!$AU$26:$AV$26</c:f>
              <c:numCache>
                <c:formatCode>0%</c:formatCode>
                <c:ptCount val="2"/>
                <c:pt idx="0">
                  <c:v>0.7217752128978917</c:v>
                </c:pt>
                <c:pt idx="1">
                  <c:v>0.2782247871021083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7-42AC-ABEB-06E44AE81A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 Production</a:t>
            </a:r>
          </a:p>
        </c:rich>
      </c:tx>
      <c:layout>
        <c:manualLayout>
          <c:xMode val="edge"/>
          <c:yMode val="edge"/>
          <c:x val="2.8493000874890602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26791268569839E-2"/>
          <c:y val="0.17967743606720329"/>
          <c:w val="0.88481114665354332"/>
          <c:h val="0.630058289702748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'Loading &amp; Stock'!$B$6</c:f>
              <c:strCache>
                <c:ptCount val="1"/>
                <c:pt idx="0">
                  <c:v>Production FC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'Loading &amp; Stock'!$C$6:$AG$6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8-474A-A6A5-759E8681F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5706959"/>
        <c:axId val="1555712367"/>
      </c:barChart>
      <c:lineChart>
        <c:grouping val="standard"/>
        <c:varyColors val="0"/>
        <c:ser>
          <c:idx val="0"/>
          <c:order val="1"/>
          <c:tx>
            <c:strRef>
              <c:f>'Loading &amp; Stock'!$B$25</c:f>
              <c:strCache>
                <c:ptCount val="1"/>
                <c:pt idx="0">
                  <c:v>Avg. FC prod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30"/>
              <c:layout>
                <c:manualLayout>
                  <c:x val="0"/>
                  <c:y val="-5.79306043609263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CE-4308-A18C-39991A6E19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'Loading &amp; Stock'!$C$25:$AG$25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8-474A-A6A5-759E8681F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706959"/>
        <c:axId val="1555712367"/>
      </c:lineChart>
      <c:catAx>
        <c:axId val="1555706959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12367"/>
        <c:crosses val="autoZero"/>
        <c:auto val="1"/>
        <c:lblAlgn val="ctr"/>
        <c:lblOffset val="100"/>
        <c:noMultiLvlLbl val="0"/>
      </c:catAx>
      <c:valAx>
        <c:axId val="15557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745516933355092"/>
          <c:y val="0.90416424821283214"/>
          <c:w val="0.42508920337602679"/>
          <c:h val="9.3661460630012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Rain &amp; Slippery Time</a:t>
            </a:r>
          </a:p>
        </c:rich>
      </c:tx>
      <c:layout>
        <c:manualLayout>
          <c:xMode val="edge"/>
          <c:yMode val="edge"/>
          <c:x val="1.8473829125124682E-2"/>
          <c:y val="3.6324789380576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'R&amp;S'!$C$3</c:f>
              <c:strCache>
                <c:ptCount val="1"/>
                <c:pt idx="0">
                  <c:v>R&amp;S Daily Plan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3C-4425-9C4C-220D949183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'R&amp;S'!$B$4:$B$34</c:f>
              <c:numCache>
                <c:formatCode>dd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'R&amp;S'!$C$4:$C$34</c:f>
              <c:numCache>
                <c:formatCode>0.00</c:formatCode>
                <c:ptCount val="31"/>
                <c:pt idx="0">
                  <c:v>3.096774193548387</c:v>
                </c:pt>
                <c:pt idx="1">
                  <c:v>3.096774193548387</c:v>
                </c:pt>
                <c:pt idx="2">
                  <c:v>3.096774193548387</c:v>
                </c:pt>
                <c:pt idx="3">
                  <c:v>3.096774193548387</c:v>
                </c:pt>
                <c:pt idx="4">
                  <c:v>3.096774193548387</c:v>
                </c:pt>
                <c:pt idx="5">
                  <c:v>3.096774193548387</c:v>
                </c:pt>
                <c:pt idx="6">
                  <c:v>3.096774193548387</c:v>
                </c:pt>
                <c:pt idx="7">
                  <c:v>3.096774193548387</c:v>
                </c:pt>
                <c:pt idx="8">
                  <c:v>3.096774193548387</c:v>
                </c:pt>
                <c:pt idx="9">
                  <c:v>3.096774193548387</c:v>
                </c:pt>
                <c:pt idx="10">
                  <c:v>3.096774193548387</c:v>
                </c:pt>
                <c:pt idx="11">
                  <c:v>3.096774193548387</c:v>
                </c:pt>
                <c:pt idx="12">
                  <c:v>3.096774193548387</c:v>
                </c:pt>
                <c:pt idx="13">
                  <c:v>3.096774193548387</c:v>
                </c:pt>
                <c:pt idx="14">
                  <c:v>3.096774193548387</c:v>
                </c:pt>
                <c:pt idx="15">
                  <c:v>3.096774193548387</c:v>
                </c:pt>
                <c:pt idx="16">
                  <c:v>3.096774193548387</c:v>
                </c:pt>
                <c:pt idx="17">
                  <c:v>3.096774193548387</c:v>
                </c:pt>
                <c:pt idx="18">
                  <c:v>3.096774193548387</c:v>
                </c:pt>
                <c:pt idx="19">
                  <c:v>3.096774193548387</c:v>
                </c:pt>
                <c:pt idx="20">
                  <c:v>3.096774193548387</c:v>
                </c:pt>
                <c:pt idx="21">
                  <c:v>3.096774193548387</c:v>
                </c:pt>
                <c:pt idx="22">
                  <c:v>3.096774193548387</c:v>
                </c:pt>
                <c:pt idx="23">
                  <c:v>3.096774193548387</c:v>
                </c:pt>
                <c:pt idx="24">
                  <c:v>3.096774193548387</c:v>
                </c:pt>
                <c:pt idx="25">
                  <c:v>3.096774193548387</c:v>
                </c:pt>
                <c:pt idx="26">
                  <c:v>3.096774193548387</c:v>
                </c:pt>
                <c:pt idx="27">
                  <c:v>3.096774193548387</c:v>
                </c:pt>
                <c:pt idx="28">
                  <c:v>3.096774193548387</c:v>
                </c:pt>
                <c:pt idx="29">
                  <c:v>3.096774193548387</c:v>
                </c:pt>
                <c:pt idx="30">
                  <c:v>3.096774193548387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C-4425-9C4C-220D94918313}"/>
            </c:ext>
          </c:extLst>
        </c:ser>
        <c:ser>
          <c:idx val="1"/>
          <c:order val="1"/>
          <c:tx>
            <c:strRef>
              <c:f>'R&amp;S'!$F$3</c:f>
              <c:strCache>
                <c:ptCount val="1"/>
                <c:pt idx="0">
                  <c:v>R&amp;S Actual</c:v>
                </c:pt>
              </c:strCache>
            </c:strRef>
          </c:tx>
          <c:spPr>
            <a:ln w="22225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'R&amp;S'!$B$4:$B$34</c:f>
              <c:numCache>
                <c:formatCode>dd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'R&amp;S'!$F$4:$F$34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C-4425-9C4C-220D94918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17349455"/>
        <c:axId val="417342799"/>
      </c:lineChart>
      <c:lineChart>
        <c:grouping val="standard"/>
        <c:varyColors val="0"/>
        <c:ser>
          <c:idx val="2"/>
          <c:order val="2"/>
          <c:tx>
            <c:v>Forecast (hour)</c:v>
          </c:tx>
          <c:spPr>
            <a:ln w="22225" cap="rnd" cmpd="sng" algn="ctr">
              <a:solidFill>
                <a:srgbClr val="00CCFF"/>
              </a:solidFill>
              <a:prstDash val="sysDot"/>
              <a:round/>
            </a:ln>
            <a:effectLst/>
          </c:spPr>
          <c:marker>
            <c:symbol val="none"/>
          </c:marker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'R&amp;S'!$H$4:$H$34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C-4425-9C4C-220D94918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472575"/>
        <c:axId val="1817473407"/>
      </c:lineChart>
      <c:dateAx>
        <c:axId val="417349455"/>
        <c:scaling>
          <c:orientation val="minMax"/>
        </c:scaling>
        <c:delete val="0"/>
        <c:axPos val="b"/>
        <c:numFmt formatCode="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42799"/>
        <c:crosses val="autoZero"/>
        <c:auto val="1"/>
        <c:lblOffset val="100"/>
        <c:baseTimeUnit val="days"/>
        <c:majorUnit val="1"/>
        <c:majorTimeUnit val="days"/>
      </c:dateAx>
      <c:valAx>
        <c:axId val="4173427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49455"/>
        <c:crosses val="autoZero"/>
        <c:crossBetween val="between"/>
      </c:valAx>
      <c:valAx>
        <c:axId val="1817473407"/>
        <c:scaling>
          <c:orientation val="minMax"/>
        </c:scaling>
        <c:delete val="1"/>
        <c:axPos val="r"/>
        <c:numFmt formatCode="#,##0.00" sourceLinked="1"/>
        <c:majorTickMark val="out"/>
        <c:minorTickMark val="none"/>
        <c:tickLblPos val="nextTo"/>
        <c:crossAx val="1817472575"/>
        <c:crosses val="max"/>
        <c:crossBetween val="between"/>
      </c:valAx>
      <c:catAx>
        <c:axId val="1817472575"/>
        <c:scaling>
          <c:orientation val="minMax"/>
        </c:scaling>
        <c:delete val="1"/>
        <c:axPos val="b"/>
        <c:majorTickMark val="out"/>
        <c:minorTickMark val="none"/>
        <c:tickLblPos val="nextTo"/>
        <c:crossAx val="1817473407"/>
        <c:crosses val="autoZero"/>
        <c:auto val="1"/>
        <c:lblAlgn val="ctr"/>
        <c:lblOffset val="100"/>
        <c:noMultiLvlLbl val="0"/>
      </c:cat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OB Removal production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3"/>
          <c:order val="1"/>
          <c:tx>
            <c:strRef>
              <c:f>Actual!$C$4</c:f>
              <c:strCache>
                <c:ptCount val="1"/>
                <c:pt idx="0">
                  <c:v>PIT 1 
(Source)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Actual!$F$139:$AJ$139</c15:sqref>
                  </c15:fullRef>
                </c:ext>
              </c:extLst>
              <c:f>Actual!$F$139:$AI$139</c:f>
              <c:numCache>
                <c:formatCode>_(* #,##0.00_);_(* \(#,##0.00\);_(* "-"??_);_(@_)</c:formatCode>
                <c:ptCount val="30"/>
                <c:pt idx="0">
                  <c:v>34987.5</c:v>
                </c:pt>
                <c:pt idx="1">
                  <c:v>36594</c:v>
                </c:pt>
                <c:pt idx="2">
                  <c:v>32709.75</c:v>
                </c:pt>
                <c:pt idx="3">
                  <c:v>32669.25</c:v>
                </c:pt>
                <c:pt idx="4">
                  <c:v>31549.5</c:v>
                </c:pt>
                <c:pt idx="5">
                  <c:v>33361.5</c:v>
                </c:pt>
                <c:pt idx="6">
                  <c:v>36570.75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5-4ED6-9700-97F21E8BD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482310144"/>
        <c:axId val="482292736"/>
      </c:barChart>
      <c:lineChart>
        <c:grouping val="standard"/>
        <c:varyColors val="0"/>
        <c:ser>
          <c:idx val="1"/>
          <c:order val="0"/>
          <c:tx>
            <c:strRef>
              <c:f>'Graphic Production'!$B$6</c:f>
              <c:strCache>
                <c:ptCount val="1"/>
                <c:pt idx="0">
                  <c:v>Plan OB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Production'!$C$6:$AG$6</c15:sqref>
                  </c15:fullRef>
                </c:ext>
              </c:extLst>
              <c:f>'Graphic Production'!$C$6:$AF$6</c:f>
              <c:numCache>
                <c:formatCode>_-* #,##0_-;\-* #,##0_-;_-* "-"??_-;_-@_-</c:formatCode>
                <c:ptCount val="30"/>
                <c:pt idx="0">
                  <c:v>27166.666666666668</c:v>
                </c:pt>
                <c:pt idx="1">
                  <c:v>27166.666666666668</c:v>
                </c:pt>
                <c:pt idx="2">
                  <c:v>27166.666666666668</c:v>
                </c:pt>
                <c:pt idx="3">
                  <c:v>27166.666666666668</c:v>
                </c:pt>
                <c:pt idx="4">
                  <c:v>27166.666666666668</c:v>
                </c:pt>
                <c:pt idx="5">
                  <c:v>27166.666666666668</c:v>
                </c:pt>
                <c:pt idx="6">
                  <c:v>27166.666666666668</c:v>
                </c:pt>
                <c:pt idx="7">
                  <c:v>27166.666666666668</c:v>
                </c:pt>
                <c:pt idx="8">
                  <c:v>27166.666666666668</c:v>
                </c:pt>
                <c:pt idx="9">
                  <c:v>27166.666666666668</c:v>
                </c:pt>
                <c:pt idx="10">
                  <c:v>27166.666666666668</c:v>
                </c:pt>
                <c:pt idx="11">
                  <c:v>27166.666666666668</c:v>
                </c:pt>
                <c:pt idx="12">
                  <c:v>27166.666666666668</c:v>
                </c:pt>
                <c:pt idx="13">
                  <c:v>27166.666666666668</c:v>
                </c:pt>
                <c:pt idx="14">
                  <c:v>27166.666666666668</c:v>
                </c:pt>
                <c:pt idx="15">
                  <c:v>27166.666666666668</c:v>
                </c:pt>
                <c:pt idx="16">
                  <c:v>27166.666666666668</c:v>
                </c:pt>
                <c:pt idx="17">
                  <c:v>27166.666666666668</c:v>
                </c:pt>
                <c:pt idx="18">
                  <c:v>27166.666666666668</c:v>
                </c:pt>
                <c:pt idx="19">
                  <c:v>27166.666666666668</c:v>
                </c:pt>
                <c:pt idx="20">
                  <c:v>27166.666666666668</c:v>
                </c:pt>
                <c:pt idx="21">
                  <c:v>27166.666666666668</c:v>
                </c:pt>
                <c:pt idx="22">
                  <c:v>27166.666666666668</c:v>
                </c:pt>
                <c:pt idx="23">
                  <c:v>27166.666666666668</c:v>
                </c:pt>
                <c:pt idx="24">
                  <c:v>27166.666666666668</c:v>
                </c:pt>
                <c:pt idx="25">
                  <c:v>27166.666666666668</c:v>
                </c:pt>
                <c:pt idx="26">
                  <c:v>27166.666666666668</c:v>
                </c:pt>
                <c:pt idx="27">
                  <c:v>27166.666666666668</c:v>
                </c:pt>
                <c:pt idx="28">
                  <c:v>27166.666666666668</c:v>
                </c:pt>
                <c:pt idx="29">
                  <c:v>27166.666666666668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05-4ED6-9700-97F21E8BD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310144"/>
        <c:axId val="482292736"/>
      </c:lineChart>
      <c:catAx>
        <c:axId val="4823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2292736"/>
        <c:crosses val="autoZero"/>
        <c:auto val="1"/>
        <c:lblAlgn val="ctr"/>
        <c:lblOffset val="100"/>
        <c:noMultiLvlLbl val="0"/>
      </c:catAx>
      <c:valAx>
        <c:axId val="48229273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crossAx val="482310144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path path="circle">
            <a:fillToRect l="100000" b="100000"/>
          </a:path>
          <a:tileRect t="-100000" r="-100000"/>
        </a:gradFill>
      </c:spPr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ROM Production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Actual!$C$139</c:f>
              <c:strCache>
                <c:ptCount val="1"/>
                <c:pt idx="0">
                  <c:v>PIT 1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numRef>
              <c:f>Graph!$D$55:$AG$55</c:f>
              <c:numCache>
                <c:formatCode>_-* #,##0_-;\-* #,##0_-;_-* "-"??_-;_-@_-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  <c:extLst/>
            </c:numRef>
          </c:cat>
          <c:val>
            <c:numRef>
              <c:f>Actual!$F$142:$AI$142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1312.8979999999999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39A3-4EB1-9273-88603855E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968181856"/>
        <c:axId val="1968179680"/>
      </c:barChart>
      <c:lineChart>
        <c:grouping val="standard"/>
        <c:varyColors val="0"/>
        <c:ser>
          <c:idx val="3"/>
          <c:order val="1"/>
          <c:tx>
            <c:strRef>
              <c:f>'Graphic Production'!$B$9</c:f>
              <c:strCache>
                <c:ptCount val="1"/>
                <c:pt idx="0">
                  <c:v>Plan ROM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Graph!$E$55:$AG$55</c:f>
              <c:numCache>
                <c:formatCode>_-* #,##0_-;\-* #,##0_-;_-* "-"??_-;_-@_-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  <c:extLst/>
            </c:numRef>
          </c:cat>
          <c:val>
            <c:numRef>
              <c:f>'Graphic Production'!$C$9:$AF$9</c:f>
              <c:numCache>
                <c:formatCode>_-* #,##0_-;\-* #,##0_-;_-* "-"??_-;_-@_-</c:formatCode>
                <c:ptCount val="30"/>
                <c:pt idx="0">
                  <c:v>5266.666666666667</c:v>
                </c:pt>
                <c:pt idx="1">
                  <c:v>5266.666666666667</c:v>
                </c:pt>
                <c:pt idx="2">
                  <c:v>5266.666666666667</c:v>
                </c:pt>
                <c:pt idx="3">
                  <c:v>5266.666666666667</c:v>
                </c:pt>
                <c:pt idx="4">
                  <c:v>5266.666666666667</c:v>
                </c:pt>
                <c:pt idx="5">
                  <c:v>5266.666666666667</c:v>
                </c:pt>
                <c:pt idx="6">
                  <c:v>5266.666666666667</c:v>
                </c:pt>
                <c:pt idx="7">
                  <c:v>5266.666666666667</c:v>
                </c:pt>
                <c:pt idx="8">
                  <c:v>5266.666666666667</c:v>
                </c:pt>
                <c:pt idx="9">
                  <c:v>5266.666666666667</c:v>
                </c:pt>
                <c:pt idx="10">
                  <c:v>5266.666666666667</c:v>
                </c:pt>
                <c:pt idx="11">
                  <c:v>5266.666666666667</c:v>
                </c:pt>
                <c:pt idx="12">
                  <c:v>5266.666666666667</c:v>
                </c:pt>
                <c:pt idx="13">
                  <c:v>5266.666666666667</c:v>
                </c:pt>
                <c:pt idx="14">
                  <c:v>5266.666666666667</c:v>
                </c:pt>
                <c:pt idx="15">
                  <c:v>5266.666666666667</c:v>
                </c:pt>
                <c:pt idx="16">
                  <c:v>5266.666666666667</c:v>
                </c:pt>
                <c:pt idx="17">
                  <c:v>5266.666666666667</c:v>
                </c:pt>
                <c:pt idx="18">
                  <c:v>5266.666666666667</c:v>
                </c:pt>
                <c:pt idx="19">
                  <c:v>5266.666666666667</c:v>
                </c:pt>
                <c:pt idx="20">
                  <c:v>5266.666666666667</c:v>
                </c:pt>
                <c:pt idx="21">
                  <c:v>5266.666666666667</c:v>
                </c:pt>
                <c:pt idx="22">
                  <c:v>5266.666666666667</c:v>
                </c:pt>
                <c:pt idx="23">
                  <c:v>5266.666666666667</c:v>
                </c:pt>
                <c:pt idx="24">
                  <c:v>5266.666666666667</c:v>
                </c:pt>
                <c:pt idx="25">
                  <c:v>5266.666666666667</c:v>
                </c:pt>
                <c:pt idx="26">
                  <c:v>5266.666666666667</c:v>
                </c:pt>
                <c:pt idx="27">
                  <c:v>5266.666666666667</c:v>
                </c:pt>
                <c:pt idx="28">
                  <c:v>5266.666666666667</c:v>
                </c:pt>
                <c:pt idx="29">
                  <c:v>5266.666666666667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39A3-4EB1-9273-88603855E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81856"/>
        <c:axId val="1968179680"/>
      </c:lineChart>
      <c:catAx>
        <c:axId val="1968181856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crossAx val="1968179680"/>
        <c:crosses val="autoZero"/>
        <c:auto val="1"/>
        <c:lblAlgn val="ctr"/>
        <c:lblOffset val="100"/>
        <c:noMultiLvlLbl val="0"/>
      </c:catAx>
      <c:valAx>
        <c:axId val="1968179680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none"/>
        <c:minorTickMark val="none"/>
        <c:tickLblPos val="nextTo"/>
        <c:spPr>
          <a:ln w="9525">
            <a:noFill/>
          </a:ln>
        </c:spPr>
        <c:crossAx val="1968181856"/>
        <c:crosses val="autoZero"/>
        <c:crossBetween val="between"/>
        <c:majorUnit val="500"/>
      </c:valAx>
      <c:spPr>
        <a:gradFill flip="none" rotWithShape="1">
          <a:gsLst>
            <a:gs pos="0">
              <a:srgbClr val="FF66CC">
                <a:tint val="66000"/>
                <a:satMod val="160000"/>
              </a:srgbClr>
            </a:gs>
            <a:gs pos="50000">
              <a:srgbClr val="FF66CC">
                <a:tint val="44500"/>
                <a:satMod val="160000"/>
              </a:srgbClr>
            </a:gs>
            <a:gs pos="100000">
              <a:srgbClr val="FF66CC">
                <a:tint val="23500"/>
                <a:satMod val="160000"/>
              </a:srgbClr>
            </a:gs>
          </a:gsLst>
          <a:path path="circle">
            <a:fillToRect l="100000" t="100000"/>
          </a:path>
          <a:tileRect r="-100000" b="-100000"/>
        </a:gradFill>
      </c:spPr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Data Rainfall</a:t>
            </a:r>
            <a:r>
              <a:rPr lang="en-US" sz="1800" b="1" baseline="0"/>
              <a:t> 2004 -2022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0"/>
          <c:tx>
            <c:strRef>
              <c:f>Budget!$E$32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Budget!$F$32:$Q$32</c:f>
              <c:numCache>
                <c:formatCode>_(* #,##0_);_(* \(#,##0\);_(* "-"??_);_(@_)</c:formatCode>
                <c:ptCount val="12"/>
                <c:pt idx="0">
                  <c:v>237</c:v>
                </c:pt>
                <c:pt idx="1">
                  <c:v>522.4</c:v>
                </c:pt>
                <c:pt idx="2">
                  <c:v>519</c:v>
                </c:pt>
                <c:pt idx="3">
                  <c:v>443</c:v>
                </c:pt>
                <c:pt idx="4">
                  <c:v>315.5</c:v>
                </c:pt>
                <c:pt idx="5">
                  <c:v>63</c:v>
                </c:pt>
                <c:pt idx="6">
                  <c:v>333.5</c:v>
                </c:pt>
                <c:pt idx="7">
                  <c:v>59</c:v>
                </c:pt>
                <c:pt idx="8">
                  <c:v>136.19999999999999</c:v>
                </c:pt>
                <c:pt idx="9">
                  <c:v>155.30000000000001</c:v>
                </c:pt>
                <c:pt idx="10">
                  <c:v>351</c:v>
                </c:pt>
                <c:pt idx="11">
                  <c:v>355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E64-459A-8908-C92EDF016FAB}"/>
            </c:ext>
          </c:extLst>
        </c:ser>
        <c:ser>
          <c:idx val="10"/>
          <c:order val="1"/>
          <c:tx>
            <c:strRef>
              <c:f>Budget!$E$33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Budget!$F$33:$Q$33</c:f>
              <c:numCache>
                <c:formatCode>_(* #,##0_);_(* \(#,##0\);_(* "-"??_);_(@_)</c:formatCode>
                <c:ptCount val="12"/>
                <c:pt idx="0">
                  <c:v>200</c:v>
                </c:pt>
                <c:pt idx="1">
                  <c:v>155.4</c:v>
                </c:pt>
                <c:pt idx="2">
                  <c:v>261.60000000000002</c:v>
                </c:pt>
                <c:pt idx="3">
                  <c:v>609.90000000000009</c:v>
                </c:pt>
                <c:pt idx="4">
                  <c:v>209.3</c:v>
                </c:pt>
                <c:pt idx="5">
                  <c:v>120.5</c:v>
                </c:pt>
                <c:pt idx="6">
                  <c:v>134</c:v>
                </c:pt>
                <c:pt idx="7">
                  <c:v>118.35</c:v>
                </c:pt>
                <c:pt idx="8">
                  <c:v>36.700000000000003</c:v>
                </c:pt>
                <c:pt idx="9">
                  <c:v>78.5</c:v>
                </c:pt>
                <c:pt idx="10">
                  <c:v>367.9</c:v>
                </c:pt>
                <c:pt idx="11">
                  <c:v>286.59999999999997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64-459A-8908-C92EDF016FAB}"/>
            </c:ext>
          </c:extLst>
        </c:ser>
        <c:ser>
          <c:idx val="11"/>
          <c:order val="2"/>
          <c:tx>
            <c:strRef>
              <c:f>Budget!$E$34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Budget!$F$34:$Q$34</c:f>
              <c:numCache>
                <c:formatCode>_(* #,##0_);_(* \(#,##0\);_(* "-"??_);_(@_)</c:formatCode>
                <c:ptCount val="12"/>
                <c:pt idx="0">
                  <c:v>313.89999999999998</c:v>
                </c:pt>
                <c:pt idx="1">
                  <c:v>385</c:v>
                </c:pt>
                <c:pt idx="2">
                  <c:v>204.4</c:v>
                </c:pt>
                <c:pt idx="3">
                  <c:v>425.25</c:v>
                </c:pt>
                <c:pt idx="4">
                  <c:v>110.7</c:v>
                </c:pt>
                <c:pt idx="5">
                  <c:v>146</c:v>
                </c:pt>
                <c:pt idx="6">
                  <c:v>47.75</c:v>
                </c:pt>
                <c:pt idx="7">
                  <c:v>2.15</c:v>
                </c:pt>
                <c:pt idx="8">
                  <c:v>9.9</c:v>
                </c:pt>
                <c:pt idx="9">
                  <c:v>68.400000000000006</c:v>
                </c:pt>
                <c:pt idx="10">
                  <c:v>342</c:v>
                </c:pt>
                <c:pt idx="11">
                  <c:v>217.7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64-459A-8908-C92EDF016FAB}"/>
            </c:ext>
          </c:extLst>
        </c:ser>
        <c:ser>
          <c:idx val="12"/>
          <c:order val="3"/>
          <c:tx>
            <c:strRef>
              <c:f>Budget!$E$35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Budget!$F$35:$Q$35</c:f>
              <c:numCache>
                <c:formatCode>_(* #,##0_);_(* \(#,##0\);_(* "-"??_);_(@_)</c:formatCode>
                <c:ptCount val="12"/>
                <c:pt idx="0">
                  <c:v>209.9</c:v>
                </c:pt>
                <c:pt idx="1">
                  <c:v>534.5</c:v>
                </c:pt>
                <c:pt idx="2">
                  <c:v>507.1</c:v>
                </c:pt>
                <c:pt idx="3">
                  <c:v>196.6</c:v>
                </c:pt>
                <c:pt idx="4">
                  <c:v>233.5</c:v>
                </c:pt>
                <c:pt idx="5">
                  <c:v>198.4</c:v>
                </c:pt>
                <c:pt idx="6">
                  <c:v>338.00000000000006</c:v>
                </c:pt>
                <c:pt idx="7">
                  <c:v>163.5</c:v>
                </c:pt>
                <c:pt idx="8">
                  <c:v>460.6</c:v>
                </c:pt>
                <c:pt idx="9">
                  <c:v>482.3</c:v>
                </c:pt>
                <c:pt idx="10">
                  <c:v>388.3</c:v>
                </c:pt>
                <c:pt idx="11">
                  <c:v>252.6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E64-459A-8908-C92EDF016FAB}"/>
            </c:ext>
          </c:extLst>
        </c:ser>
        <c:ser>
          <c:idx val="13"/>
          <c:order val="4"/>
          <c:tx>
            <c:strRef>
              <c:f>Budget!$E$36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Budget!$F$36:$Q$36</c:f>
              <c:numCache>
                <c:formatCode>_(* #,##0_);_(* \(#,##0\);_(* "-"??_);_(@_)</c:formatCode>
                <c:ptCount val="12"/>
                <c:pt idx="0">
                  <c:v>500.1</c:v>
                </c:pt>
                <c:pt idx="1">
                  <c:v>208.8</c:v>
                </c:pt>
                <c:pt idx="2">
                  <c:v>465.8</c:v>
                </c:pt>
                <c:pt idx="3">
                  <c:v>481.14</c:v>
                </c:pt>
                <c:pt idx="4">
                  <c:v>493.7</c:v>
                </c:pt>
                <c:pt idx="5">
                  <c:v>269</c:v>
                </c:pt>
                <c:pt idx="6">
                  <c:v>210.8</c:v>
                </c:pt>
                <c:pt idx="7">
                  <c:v>196.04999999999998</c:v>
                </c:pt>
                <c:pt idx="8">
                  <c:v>177.75</c:v>
                </c:pt>
                <c:pt idx="9">
                  <c:v>143.6</c:v>
                </c:pt>
                <c:pt idx="10">
                  <c:v>704.55</c:v>
                </c:pt>
                <c:pt idx="11">
                  <c:v>201.1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E64-459A-8908-C92EDF016FAB}"/>
            </c:ext>
          </c:extLst>
        </c:ser>
        <c:ser>
          <c:idx val="14"/>
          <c:order val="5"/>
          <c:tx>
            <c:strRef>
              <c:f>Budget!$E$37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Budget!$F$37:$Q$37</c:f>
              <c:numCache>
                <c:formatCode>_(* #,##0_);_(* \(#,##0\);_(* "-"??_);_(@_)</c:formatCode>
                <c:ptCount val="12"/>
                <c:pt idx="0">
                  <c:v>233.45</c:v>
                </c:pt>
                <c:pt idx="1">
                  <c:v>417</c:v>
                </c:pt>
                <c:pt idx="2">
                  <c:v>178</c:v>
                </c:pt>
                <c:pt idx="3">
                  <c:v>300.39999999999998</c:v>
                </c:pt>
                <c:pt idx="4">
                  <c:v>269.85000000000002</c:v>
                </c:pt>
                <c:pt idx="5">
                  <c:v>123</c:v>
                </c:pt>
                <c:pt idx="6">
                  <c:v>227.8</c:v>
                </c:pt>
                <c:pt idx="7">
                  <c:v>113.95</c:v>
                </c:pt>
                <c:pt idx="8">
                  <c:v>183.5</c:v>
                </c:pt>
                <c:pt idx="9">
                  <c:v>229</c:v>
                </c:pt>
                <c:pt idx="10">
                  <c:v>320.2</c:v>
                </c:pt>
                <c:pt idx="11">
                  <c:v>248.35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E64-459A-8908-C92EDF016FAB}"/>
            </c:ext>
          </c:extLst>
        </c:ser>
        <c:ser>
          <c:idx val="15"/>
          <c:order val="6"/>
          <c:tx>
            <c:strRef>
              <c:f>Budget!$E$38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Budget!$F$38:$Q$38</c:f>
              <c:numCache>
                <c:formatCode>_(* #,##0_);_(* \(#,##0\);_(* "-"??_);_(@_)</c:formatCode>
                <c:ptCount val="12"/>
                <c:pt idx="0">
                  <c:v>245.9</c:v>
                </c:pt>
                <c:pt idx="1">
                  <c:v>217.2</c:v>
                </c:pt>
                <c:pt idx="2">
                  <c:v>468.75</c:v>
                </c:pt>
                <c:pt idx="3">
                  <c:v>332.5</c:v>
                </c:pt>
                <c:pt idx="4">
                  <c:v>183.9</c:v>
                </c:pt>
                <c:pt idx="5">
                  <c:v>276.29999999999995</c:v>
                </c:pt>
                <c:pt idx="6">
                  <c:v>39</c:v>
                </c:pt>
                <c:pt idx="7">
                  <c:v>99</c:v>
                </c:pt>
                <c:pt idx="8">
                  <c:v>3.5</c:v>
                </c:pt>
                <c:pt idx="9">
                  <c:v>131</c:v>
                </c:pt>
                <c:pt idx="10">
                  <c:v>138.5</c:v>
                </c:pt>
                <c:pt idx="11">
                  <c:v>373.5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E64-459A-8908-C92EDF016FAB}"/>
            </c:ext>
          </c:extLst>
        </c:ser>
        <c:ser>
          <c:idx val="16"/>
          <c:order val="7"/>
          <c:tx>
            <c:strRef>
              <c:f>Budget!$E$39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Budget!$F$39:$Q$39</c:f>
              <c:numCache>
                <c:formatCode>_(* #,##0_);_(* \(#,##0\);_(* "-"??_);_(@_)</c:formatCode>
                <c:ptCount val="12"/>
                <c:pt idx="0">
                  <c:v>287.5</c:v>
                </c:pt>
                <c:pt idx="1">
                  <c:v>360</c:v>
                </c:pt>
                <c:pt idx="2">
                  <c:v>470.5</c:v>
                </c:pt>
                <c:pt idx="3">
                  <c:v>341</c:v>
                </c:pt>
                <c:pt idx="4">
                  <c:v>308</c:v>
                </c:pt>
                <c:pt idx="5">
                  <c:v>88.5</c:v>
                </c:pt>
                <c:pt idx="6">
                  <c:v>58</c:v>
                </c:pt>
                <c:pt idx="7">
                  <c:v>66.5</c:v>
                </c:pt>
                <c:pt idx="8">
                  <c:v>87.5</c:v>
                </c:pt>
                <c:pt idx="9">
                  <c:v>351</c:v>
                </c:pt>
                <c:pt idx="10">
                  <c:v>271.5</c:v>
                </c:pt>
                <c:pt idx="11">
                  <c:v>369.5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E64-459A-8908-C92EDF016FAB}"/>
            </c:ext>
          </c:extLst>
        </c:ser>
        <c:ser>
          <c:idx val="17"/>
          <c:order val="8"/>
          <c:tx>
            <c:strRef>
              <c:f>Budget!$E$40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Budget!$F$40:$Q$40</c:f>
              <c:numCache>
                <c:formatCode>_(* #,##0_);_(* \(#,##0\);_(* "-"??_);_(@_)</c:formatCode>
                <c:ptCount val="12"/>
                <c:pt idx="0">
                  <c:v>354</c:v>
                </c:pt>
                <c:pt idx="1">
                  <c:v>183.5</c:v>
                </c:pt>
                <c:pt idx="2">
                  <c:v>374.5</c:v>
                </c:pt>
                <c:pt idx="3">
                  <c:v>471.10606060606062</c:v>
                </c:pt>
                <c:pt idx="4">
                  <c:v>301.25757575757575</c:v>
                </c:pt>
                <c:pt idx="5">
                  <c:v>209.18181818181819</c:v>
                </c:pt>
                <c:pt idx="6">
                  <c:v>48</c:v>
                </c:pt>
                <c:pt idx="7">
                  <c:v>239</c:v>
                </c:pt>
                <c:pt idx="8">
                  <c:v>353</c:v>
                </c:pt>
                <c:pt idx="9">
                  <c:v>255.1933795529448</c:v>
                </c:pt>
                <c:pt idx="10">
                  <c:v>433.99999999999994</c:v>
                </c:pt>
                <c:pt idx="11">
                  <c:v>368.45476548155568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EE64-459A-8908-C92EDF016FAB}"/>
            </c:ext>
          </c:extLst>
        </c:ser>
        <c:ser>
          <c:idx val="18"/>
          <c:order val="9"/>
          <c:tx>
            <c:strRef>
              <c:f>Budget!$E$42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Budget!$F$31:$Q$31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Budget!$F$42:$Q$42</c:f>
              <c:numCache>
                <c:formatCode>_(* #,##0_);_(* \(#,##0\);_(* "-"??_);_(@_)</c:formatCode>
                <c:ptCount val="12"/>
                <c:pt idx="0">
                  <c:v>146</c:v>
                </c:pt>
                <c:pt idx="1">
                  <c:v>386</c:v>
                </c:pt>
                <c:pt idx="2">
                  <c:v>488</c:v>
                </c:pt>
                <c:pt idx="3">
                  <c:v>173</c:v>
                </c:pt>
                <c:pt idx="4">
                  <c:v>377</c:v>
                </c:pt>
                <c:pt idx="5">
                  <c:v>180</c:v>
                </c:pt>
                <c:pt idx="6">
                  <c:v>116.5</c:v>
                </c:pt>
                <c:pt idx="7">
                  <c:v>53.5</c:v>
                </c:pt>
                <c:pt idx="8">
                  <c:v>191.8</c:v>
                </c:pt>
                <c:pt idx="9">
                  <c:v>256.08000000000004</c:v>
                </c:pt>
                <c:pt idx="10">
                  <c:v>360.25</c:v>
                </c:pt>
                <c:pt idx="11">
                  <c:v>414.81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EE64-459A-8908-C92EDF01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185120"/>
        <c:axId val="1968180224"/>
      </c:lineChart>
      <c:catAx>
        <c:axId val="19681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80224"/>
        <c:crosses val="autoZero"/>
        <c:auto val="1"/>
        <c:lblAlgn val="ctr"/>
        <c:lblOffset val="100"/>
        <c:noMultiLvlLbl val="0"/>
      </c:catAx>
      <c:valAx>
        <c:axId val="1968180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8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88146620750053E-2"/>
          <c:y val="2.5173254555203712E-2"/>
          <c:w val="0.92851458871428327"/>
          <c:h val="0.83434513984720982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Production'!$B$20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47000"/>
              </a:srgbClr>
            </a:solidFill>
            <a:ln>
              <a:solidFill>
                <a:srgbClr val="0070C0"/>
              </a:solidFill>
            </a:ln>
          </c:spPr>
          <c:invertIfNegative val="0"/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Production'!$C$20:$AG$20</c15:sqref>
                  </c15:fullRef>
                </c:ext>
              </c:extLst>
              <c:f>'Graphic Production'!$C$20:$AF$20</c:f>
              <c:numCache>
                <c:formatCode>_-* #,##0.00_-;\-* #,##0.00_-;_-* "-"??_-;_-@_-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7-4B77-B329-679915A5F0CE}"/>
            </c:ext>
          </c:extLst>
        </c:ser>
        <c:ser>
          <c:idx val="0"/>
          <c:order val="3"/>
          <c:tx>
            <c:strRef>
              <c:f>'Graphic Production'!$B$21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Production'!$C$21:$AG$21</c15:sqref>
                  </c15:fullRef>
                </c:ext>
              </c:extLst>
              <c:f>'Graphic Production'!$C$21:$AF$21</c:f>
              <c:numCache>
                <c:formatCode>_-* #,##0.00_-;\-* #,##0.00_-;_-* "-"??_-;_-@_-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7-4B77-B329-679915A5F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68182400"/>
        <c:axId val="1968180768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Production'!$B$5</c:f>
              <c:strCache>
                <c:ptCount val="1"/>
                <c:pt idx="0">
                  <c:v>OB Production</c:v>
                </c:pt>
              </c:strCache>
            </c:strRef>
          </c:tx>
          <c:spPr>
            <a:solidFill>
              <a:schemeClr val="bg1">
                <a:lumMod val="65000"/>
                <a:alpha val="47000"/>
              </a:schemeClr>
            </a:solidFill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:spPr>
          <c:invertIfNegative val="0"/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Production'!$C$5:$AG$5</c15:sqref>
                  </c15:fullRef>
                </c:ext>
              </c:extLst>
              <c:f>'Graphic Production'!$C$5:$AF$5</c:f>
              <c:numCache>
                <c:formatCode>_-* #,##0_-;\-* #,##0_-;_-* "-"??_-;_-@_-</c:formatCode>
                <c:ptCount val="30"/>
                <c:pt idx="0">
                  <c:v>34987.5</c:v>
                </c:pt>
                <c:pt idx="1">
                  <c:v>36594</c:v>
                </c:pt>
                <c:pt idx="2">
                  <c:v>32709.75</c:v>
                </c:pt>
                <c:pt idx="3">
                  <c:v>32669.25</c:v>
                </c:pt>
                <c:pt idx="4">
                  <c:v>31549.5</c:v>
                </c:pt>
                <c:pt idx="5">
                  <c:v>33361.5</c:v>
                </c:pt>
                <c:pt idx="6">
                  <c:v>36570.75</c:v>
                </c:pt>
                <c:pt idx="7">
                  <c:v>34063.178571428572</c:v>
                </c:pt>
                <c:pt idx="8">
                  <c:v>34063.178571428572</c:v>
                </c:pt>
                <c:pt idx="9">
                  <c:v>34063.178571428572</c:v>
                </c:pt>
                <c:pt idx="10">
                  <c:v>34063.178571428572</c:v>
                </c:pt>
                <c:pt idx="11">
                  <c:v>34063.178571428572</c:v>
                </c:pt>
                <c:pt idx="12">
                  <c:v>34063.178571428572</c:v>
                </c:pt>
                <c:pt idx="13">
                  <c:v>34063.178571428572</c:v>
                </c:pt>
                <c:pt idx="14">
                  <c:v>34063.178571428572</c:v>
                </c:pt>
                <c:pt idx="15">
                  <c:v>34063.178571428572</c:v>
                </c:pt>
                <c:pt idx="16">
                  <c:v>34063.178571428572</c:v>
                </c:pt>
                <c:pt idx="17">
                  <c:v>34063.178571428572</c:v>
                </c:pt>
                <c:pt idx="18">
                  <c:v>34063.178571428572</c:v>
                </c:pt>
                <c:pt idx="19">
                  <c:v>34063.178571428572</c:v>
                </c:pt>
                <c:pt idx="20">
                  <c:v>34063.178571428572</c:v>
                </c:pt>
                <c:pt idx="21">
                  <c:v>34063.178571428572</c:v>
                </c:pt>
                <c:pt idx="22">
                  <c:v>34063.178571428572</c:v>
                </c:pt>
                <c:pt idx="23">
                  <c:v>34063.178571428572</c:v>
                </c:pt>
                <c:pt idx="24">
                  <c:v>34063.178571428572</c:v>
                </c:pt>
                <c:pt idx="25">
                  <c:v>34063.178571428572</c:v>
                </c:pt>
                <c:pt idx="26">
                  <c:v>34063.178571428572</c:v>
                </c:pt>
                <c:pt idx="27">
                  <c:v>34063.178571428572</c:v>
                </c:pt>
                <c:pt idx="28">
                  <c:v>34063.178571428572</c:v>
                </c:pt>
                <c:pt idx="29">
                  <c:v>34063.178571428572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7-4B77-B329-679915A5F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176960"/>
        <c:axId val="1968178048"/>
      </c:barChart>
      <c:lineChart>
        <c:grouping val="standard"/>
        <c:varyColors val="0"/>
        <c:ser>
          <c:idx val="3"/>
          <c:order val="1"/>
          <c:tx>
            <c:strRef>
              <c:f>'Graphic Production'!$B$18</c:f>
              <c:strCache>
                <c:ptCount val="1"/>
                <c:pt idx="0">
                  <c:v>OB Working Hour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rgbClr val="00CCFF"/>
              </a:solidFill>
            </c:spPr>
          </c:marker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Production'!$C$18:$AG$18</c15:sqref>
                  </c15:fullRef>
                </c:ext>
              </c:extLst>
              <c:f>'Graphic Production'!$C$18:$AF$18</c:f>
              <c:numCache>
                <c:formatCode>0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47-4B77-B329-679915A5F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82400"/>
        <c:axId val="1968180768"/>
      </c:lineChart>
      <c:catAx>
        <c:axId val="196818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68180768"/>
        <c:crosses val="autoZero"/>
        <c:auto val="1"/>
        <c:lblAlgn val="ctr"/>
        <c:lblOffset val="100"/>
        <c:noMultiLvlLbl val="0"/>
      </c:catAx>
      <c:valAx>
        <c:axId val="1968180768"/>
        <c:scaling>
          <c:orientation val="minMax"/>
          <c:max val="24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968182400"/>
        <c:crosses val="autoZero"/>
        <c:crossBetween val="between"/>
        <c:majorUnit val="2"/>
      </c:valAx>
      <c:valAx>
        <c:axId val="196817804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crossAx val="1968176960"/>
        <c:crosses val="max"/>
        <c:crossBetween val="between"/>
      </c:valAx>
      <c:catAx>
        <c:axId val="19681769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6817804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5.5994833679402117E-5"/>
          <c:y val="8.5850432359542547E-4"/>
          <c:w val="0.83274361747013026"/>
          <c:h val="9.743633899262700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742671122540069E-2"/>
          <c:y val="5.0870651477843622E-2"/>
          <c:w val="0.92851458871428327"/>
          <c:h val="0.83434513984720982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Production'!$B$20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Production'!$C$49:$AG$49</c:f>
            </c:numRef>
          </c:val>
          <c:extLst>
            <c:ext xmlns:c16="http://schemas.microsoft.com/office/drawing/2014/chart" uri="{C3380CC4-5D6E-409C-BE32-E72D297353CC}">
              <c16:uniqueId val="{00000000-EDD4-4B56-9CFF-0F8587C7B7CA}"/>
            </c:ext>
          </c:extLst>
        </c:ser>
        <c:ser>
          <c:idx val="0"/>
          <c:order val="3"/>
          <c:tx>
            <c:strRef>
              <c:f>'Graphic Production'!$B$21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Production'!$C$50:$AG$50</c:f>
            </c:numRef>
          </c:val>
          <c:extLst>
            <c:ext xmlns:c16="http://schemas.microsoft.com/office/drawing/2014/chart" uri="{C3380CC4-5D6E-409C-BE32-E72D297353CC}">
              <c16:uniqueId val="{00000001-EDD4-4B56-9CFF-0F8587C7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68184032"/>
        <c:axId val="1968177504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Production'!$B$8</c:f>
              <c:strCache>
                <c:ptCount val="1"/>
                <c:pt idx="0">
                  <c:v>ROM Production</c:v>
                </c:pt>
              </c:strCache>
            </c:strRef>
          </c:tx>
          <c:spPr>
            <a:solidFill>
              <a:srgbClr val="66FF66">
                <a:alpha val="60000"/>
              </a:srgbClr>
            </a:solidFill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:spPr>
          <c:invertIfNegative val="0"/>
          <c:val>
            <c:numRef>
              <c:f>'Graphic Production'!$C$46:$AG$46</c:f>
            </c:numRef>
          </c:val>
          <c:extLst>
            <c:ext xmlns:c16="http://schemas.microsoft.com/office/drawing/2014/chart" uri="{C3380CC4-5D6E-409C-BE32-E72D297353CC}">
              <c16:uniqueId val="{00000002-EDD4-4B56-9CFF-0F8587C7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181312"/>
        <c:axId val="1968184576"/>
      </c:barChart>
      <c:lineChart>
        <c:grouping val="standard"/>
        <c:varyColors val="0"/>
        <c:ser>
          <c:idx val="3"/>
          <c:order val="1"/>
          <c:tx>
            <c:strRef>
              <c:f>'Graphic Production'!$B$48</c:f>
            </c:strRef>
          </c:tx>
          <c:spPr>
            <a:ln>
              <a:solidFill>
                <a:srgbClr val="7030A0"/>
              </a:solidFill>
            </a:ln>
          </c:spPr>
          <c:marker>
            <c:symbol val="circle"/>
            <c:size val="5"/>
            <c:spPr>
              <a:solidFill>
                <a:srgbClr val="FF3399"/>
              </a:solidFill>
            </c:spPr>
          </c:marker>
          <c:val>
            <c:numRef>
              <c:f>'Graphic Production'!$C$48:$AG$48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EDD4-4B56-9CFF-0F8587C7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84032"/>
        <c:axId val="1968177504"/>
      </c:lineChart>
      <c:catAx>
        <c:axId val="1968184032"/>
        <c:scaling>
          <c:orientation val="minMax"/>
        </c:scaling>
        <c:delete val="0"/>
        <c:axPos val="b"/>
        <c:majorTickMark val="out"/>
        <c:minorTickMark val="none"/>
        <c:tickLblPos val="nextTo"/>
        <c:crossAx val="1968177504"/>
        <c:crosses val="autoZero"/>
        <c:auto val="1"/>
        <c:lblAlgn val="ctr"/>
        <c:lblOffset val="100"/>
        <c:noMultiLvlLbl val="0"/>
      </c:catAx>
      <c:valAx>
        <c:axId val="1968177504"/>
        <c:scaling>
          <c:orientation val="minMax"/>
          <c:max val="24"/>
          <c:min val="0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968184032"/>
        <c:crosses val="autoZero"/>
        <c:crossBetween val="between"/>
        <c:majorUnit val="2"/>
      </c:valAx>
      <c:valAx>
        <c:axId val="1968184576"/>
        <c:scaling>
          <c:orientation val="minMax"/>
          <c:max val="4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crossAx val="1968181312"/>
        <c:crosses val="max"/>
        <c:crossBetween val="between"/>
      </c:valAx>
      <c:catAx>
        <c:axId val="1968181312"/>
        <c:scaling>
          <c:orientation val="minMax"/>
        </c:scaling>
        <c:delete val="1"/>
        <c:axPos val="b"/>
        <c:majorTickMark val="out"/>
        <c:minorTickMark val="none"/>
        <c:tickLblPos val="nextTo"/>
        <c:crossAx val="196818457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5910475184689652E-2"/>
          <c:y val="4.1239999639220364E-2"/>
          <c:w val="0.83274361747013026"/>
          <c:h val="9.743633899262700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742671122540069E-2"/>
          <c:y val="5.0870651477843622E-2"/>
          <c:w val="0.92851458871428327"/>
          <c:h val="0.83434513984720982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Production'!$B$20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Production'!$C$49:$AG$49</c:f>
            </c:numRef>
          </c:val>
          <c:extLst>
            <c:ext xmlns:c16="http://schemas.microsoft.com/office/drawing/2014/chart" uri="{C3380CC4-5D6E-409C-BE32-E72D297353CC}">
              <c16:uniqueId val="{00000000-4CA9-48B3-BADE-D77217A2ED4D}"/>
            </c:ext>
          </c:extLst>
        </c:ser>
        <c:ser>
          <c:idx val="0"/>
          <c:order val="3"/>
          <c:tx>
            <c:strRef>
              <c:f>'Graphic Production'!$B$21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Production'!$C$50:$AG$50</c:f>
            </c:numRef>
          </c:val>
          <c:extLst>
            <c:ext xmlns:c16="http://schemas.microsoft.com/office/drawing/2014/chart" uri="{C3380CC4-5D6E-409C-BE32-E72D297353CC}">
              <c16:uniqueId val="{00000001-4CA9-48B3-BADE-D77217A2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68187296"/>
        <c:axId val="1968179136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Production'!$B$5</c:f>
              <c:strCache>
                <c:ptCount val="1"/>
                <c:pt idx="0">
                  <c:v>OB Production</c:v>
                </c:pt>
              </c:strCache>
            </c:strRef>
          </c:tx>
          <c:spPr>
            <a:solidFill>
              <a:srgbClr val="66FF66">
                <a:alpha val="60000"/>
              </a:srgbClr>
            </a:solidFill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:spPr>
          <c:invertIfNegative val="0"/>
          <c:val>
            <c:numRef>
              <c:f>'Graphic Production'!$C$45:$AG$45</c:f>
            </c:numRef>
          </c:val>
          <c:extLst>
            <c:ext xmlns:c16="http://schemas.microsoft.com/office/drawing/2014/chart" uri="{C3380CC4-5D6E-409C-BE32-E72D297353CC}">
              <c16:uniqueId val="{00000002-4CA9-48B3-BADE-D77217A2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188384"/>
        <c:axId val="1968187840"/>
      </c:barChart>
      <c:lineChart>
        <c:grouping val="standard"/>
        <c:varyColors val="0"/>
        <c:ser>
          <c:idx val="3"/>
          <c:order val="1"/>
          <c:tx>
            <c:strRef>
              <c:f>'Graphic Production'!$B$18</c:f>
              <c:strCache>
                <c:ptCount val="1"/>
                <c:pt idx="0">
                  <c:v>OB Working Hour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circle"/>
            <c:size val="5"/>
            <c:spPr>
              <a:solidFill>
                <a:srgbClr val="FF3399"/>
              </a:solidFill>
            </c:spPr>
          </c:marker>
          <c:val>
            <c:numRef>
              <c:f>'Graphic Production'!$C$47:$AG$47</c:f>
            </c:numRef>
          </c:val>
          <c:smooth val="0"/>
          <c:extLst>
            <c:ext xmlns:c16="http://schemas.microsoft.com/office/drawing/2014/chart" uri="{C3380CC4-5D6E-409C-BE32-E72D297353CC}">
              <c16:uniqueId val="{00000003-4CA9-48B3-BADE-D77217A2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87296"/>
        <c:axId val="1968179136"/>
      </c:lineChart>
      <c:catAx>
        <c:axId val="1968187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968179136"/>
        <c:crosses val="autoZero"/>
        <c:auto val="1"/>
        <c:lblAlgn val="ctr"/>
        <c:lblOffset val="100"/>
        <c:noMultiLvlLbl val="0"/>
      </c:catAx>
      <c:valAx>
        <c:axId val="1968179136"/>
        <c:scaling>
          <c:orientation val="minMax"/>
          <c:max val="24"/>
          <c:min val="0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968187296"/>
        <c:crosses val="autoZero"/>
        <c:crossBetween val="between"/>
        <c:majorUnit val="2"/>
      </c:valAx>
      <c:valAx>
        <c:axId val="196818784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crossAx val="1968188384"/>
        <c:crosses val="max"/>
        <c:crossBetween val="between"/>
      </c:valAx>
      <c:catAx>
        <c:axId val="1968188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9681878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5910475184689652E-2"/>
          <c:y val="4.1239999639220364E-2"/>
          <c:w val="0.83274361747013026"/>
          <c:h val="9.743633899262700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2742671122540069E-2"/>
          <c:y val="5.0870651477843622E-2"/>
          <c:w val="0.92851458871428327"/>
          <c:h val="0.83434513984720982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'Graphic Production'!$B$20</c:f>
              <c:strCache>
                <c:ptCount val="1"/>
                <c:pt idx="0">
                  <c:v>Rain Duration </c:v>
                </c:pt>
              </c:strCache>
            </c:strRef>
          </c:tx>
          <c:spPr>
            <a:solidFill>
              <a:srgbClr val="FFFF00">
                <a:alpha val="47000"/>
              </a:srgbClr>
            </a:solidFill>
            <a:ln>
              <a:solidFill>
                <a:srgbClr val="0070C0"/>
              </a:solidFill>
            </a:ln>
          </c:spPr>
          <c:invertIfNegative val="0"/>
          <c:val>
            <c:numRef>
              <c:f>'Graphic Production'!$C$20:$AG$20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9-4698-B294-BA73C3E1ABC9}"/>
            </c:ext>
          </c:extLst>
        </c:ser>
        <c:ser>
          <c:idx val="0"/>
          <c:order val="3"/>
          <c:tx>
            <c:strRef>
              <c:f>'Graphic Production'!$B$21</c:f>
              <c:strCache>
                <c:ptCount val="1"/>
                <c:pt idx="0">
                  <c:v>Slippery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val>
            <c:numRef>
              <c:f>'Graphic Production'!$C$21:$AG$21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9-4698-B294-BA73C3E1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1968190560"/>
        <c:axId val="471470160"/>
      </c:barChart>
      <c:barChart>
        <c:barDir val="col"/>
        <c:grouping val="clustered"/>
        <c:varyColors val="0"/>
        <c:ser>
          <c:idx val="2"/>
          <c:order val="0"/>
          <c:tx>
            <c:strRef>
              <c:f>'Graphic Production'!$B$8</c:f>
              <c:strCache>
                <c:ptCount val="1"/>
                <c:pt idx="0">
                  <c:v>ROM Production</c:v>
                </c:pt>
              </c:strCache>
            </c:strRef>
          </c:tx>
          <c:spPr>
            <a:solidFill>
              <a:srgbClr val="66FF66">
                <a:alpha val="50000"/>
              </a:srgbClr>
            </a:solidFill>
            <a:ln w="38100">
              <a:solidFill>
                <a:srgbClr val="4BACC6">
                  <a:lumMod val="60000"/>
                  <a:lumOff val="40000"/>
                </a:srgbClr>
              </a:solidFill>
            </a:ln>
          </c:spPr>
          <c:invertIfNegative val="0"/>
          <c:val>
            <c:numRef>
              <c:f>'Graphic Production'!$C$8:$AG$8</c:f>
              <c:numCache>
                <c:formatCode>_-* #,##0_-;\-* #,##0_-;_-* "-"??_-;_-@_-</c:formatCode>
                <c:ptCount val="31"/>
                <c:pt idx="0">
                  <c:v>1312.8979999999999</c:v>
                </c:pt>
                <c:pt idx="1">
                  <c:v>1312.8979999999999</c:v>
                </c:pt>
                <c:pt idx="2">
                  <c:v>1312.8979999999999</c:v>
                </c:pt>
                <c:pt idx="3">
                  <c:v>1312.8979999999999</c:v>
                </c:pt>
                <c:pt idx="4">
                  <c:v>1312.8979999999999</c:v>
                </c:pt>
                <c:pt idx="5">
                  <c:v>1312.8979999999999</c:v>
                </c:pt>
                <c:pt idx="6">
                  <c:v>1312.8979999999999</c:v>
                </c:pt>
                <c:pt idx="7">
                  <c:v>1312.8979999999999</c:v>
                </c:pt>
                <c:pt idx="8">
                  <c:v>1312.8979999999999</c:v>
                </c:pt>
                <c:pt idx="9">
                  <c:v>1312.8979999999999</c:v>
                </c:pt>
                <c:pt idx="10">
                  <c:v>1312.8979999999999</c:v>
                </c:pt>
                <c:pt idx="11">
                  <c:v>1312.8979999999999</c:v>
                </c:pt>
                <c:pt idx="12">
                  <c:v>1312.8979999999999</c:v>
                </c:pt>
                <c:pt idx="13">
                  <c:v>1312.8979999999999</c:v>
                </c:pt>
                <c:pt idx="14">
                  <c:v>1312.8979999999999</c:v>
                </c:pt>
                <c:pt idx="15">
                  <c:v>1312.8979999999999</c:v>
                </c:pt>
                <c:pt idx="16">
                  <c:v>1312.8979999999999</c:v>
                </c:pt>
                <c:pt idx="17">
                  <c:v>1312.8979999999999</c:v>
                </c:pt>
                <c:pt idx="18">
                  <c:v>1312.8979999999999</c:v>
                </c:pt>
                <c:pt idx="19">
                  <c:v>1312.8979999999999</c:v>
                </c:pt>
                <c:pt idx="20">
                  <c:v>1312.8979999999999</c:v>
                </c:pt>
                <c:pt idx="21">
                  <c:v>1312.8979999999999</c:v>
                </c:pt>
                <c:pt idx="22">
                  <c:v>1312.8979999999999</c:v>
                </c:pt>
                <c:pt idx="23">
                  <c:v>1312.8979999999999</c:v>
                </c:pt>
                <c:pt idx="24">
                  <c:v>1312.8979999999999</c:v>
                </c:pt>
                <c:pt idx="25">
                  <c:v>1312.8979999999999</c:v>
                </c:pt>
                <c:pt idx="26">
                  <c:v>1312.8979999999999</c:v>
                </c:pt>
                <c:pt idx="27">
                  <c:v>1312.8979999999999</c:v>
                </c:pt>
                <c:pt idx="28">
                  <c:v>1312.8979999999999</c:v>
                </c:pt>
                <c:pt idx="29">
                  <c:v>1312.8979999999999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9-4698-B294-BA73C3E1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469072"/>
        <c:axId val="471467984"/>
      </c:barChart>
      <c:lineChart>
        <c:grouping val="standard"/>
        <c:varyColors val="0"/>
        <c:ser>
          <c:idx val="3"/>
          <c:order val="1"/>
          <c:tx>
            <c:strRef>
              <c:f>'Graphic Production'!$B$19</c:f>
              <c:strCache>
                <c:ptCount val="1"/>
                <c:pt idx="0">
                  <c:v>ROM Working Hour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rgbClr val="00CCFF"/>
              </a:solidFill>
            </c:spPr>
          </c:marker>
          <c:val>
            <c:numRef>
              <c:f>'Graphic Production'!$C$19:$AG$19</c:f>
              <c:numCache>
                <c:formatCode>0</c:formatCode>
                <c:ptCount val="31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E9-4698-B294-BA73C3E1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90560"/>
        <c:axId val="471470160"/>
      </c:lineChart>
      <c:lineChart>
        <c:grouping val="standard"/>
        <c:varyColors val="0"/>
        <c:ser>
          <c:idx val="1"/>
          <c:order val="4"/>
          <c:tx>
            <c:v>Plan ROM</c:v>
          </c:tx>
          <c:val>
            <c:numRef>
              <c:f>'Graphic Production'!$C$9:$AG$9</c:f>
              <c:numCache>
                <c:formatCode>_-* #,##0_-;\-* #,##0_-;_-* "-"??_-;_-@_-</c:formatCode>
                <c:ptCount val="31"/>
                <c:pt idx="0">
                  <c:v>5266.666666666667</c:v>
                </c:pt>
                <c:pt idx="1">
                  <c:v>5266.666666666667</c:v>
                </c:pt>
                <c:pt idx="2">
                  <c:v>5266.666666666667</c:v>
                </c:pt>
                <c:pt idx="3">
                  <c:v>5266.666666666667</c:v>
                </c:pt>
                <c:pt idx="4">
                  <c:v>5266.666666666667</c:v>
                </c:pt>
                <c:pt idx="5">
                  <c:v>5266.666666666667</c:v>
                </c:pt>
                <c:pt idx="6">
                  <c:v>5266.666666666667</c:v>
                </c:pt>
                <c:pt idx="7">
                  <c:v>5266.666666666667</c:v>
                </c:pt>
                <c:pt idx="8">
                  <c:v>5266.666666666667</c:v>
                </c:pt>
                <c:pt idx="9">
                  <c:v>5266.666666666667</c:v>
                </c:pt>
                <c:pt idx="10">
                  <c:v>5266.666666666667</c:v>
                </c:pt>
                <c:pt idx="11">
                  <c:v>5266.666666666667</c:v>
                </c:pt>
                <c:pt idx="12">
                  <c:v>5266.666666666667</c:v>
                </c:pt>
                <c:pt idx="13">
                  <c:v>5266.666666666667</c:v>
                </c:pt>
                <c:pt idx="14">
                  <c:v>5266.666666666667</c:v>
                </c:pt>
                <c:pt idx="15">
                  <c:v>5266.666666666667</c:v>
                </c:pt>
                <c:pt idx="16">
                  <c:v>5266.666666666667</c:v>
                </c:pt>
                <c:pt idx="17">
                  <c:v>5266.666666666667</c:v>
                </c:pt>
                <c:pt idx="18">
                  <c:v>5266.666666666667</c:v>
                </c:pt>
                <c:pt idx="19">
                  <c:v>5266.666666666667</c:v>
                </c:pt>
                <c:pt idx="20">
                  <c:v>5266.666666666667</c:v>
                </c:pt>
                <c:pt idx="21">
                  <c:v>5266.666666666667</c:v>
                </c:pt>
                <c:pt idx="22">
                  <c:v>5266.666666666667</c:v>
                </c:pt>
                <c:pt idx="23">
                  <c:v>5266.666666666667</c:v>
                </c:pt>
                <c:pt idx="24">
                  <c:v>5266.666666666667</c:v>
                </c:pt>
                <c:pt idx="25">
                  <c:v>5266.666666666667</c:v>
                </c:pt>
                <c:pt idx="26">
                  <c:v>5266.666666666667</c:v>
                </c:pt>
                <c:pt idx="27">
                  <c:v>5266.666666666667</c:v>
                </c:pt>
                <c:pt idx="28">
                  <c:v>5266.666666666667</c:v>
                </c:pt>
                <c:pt idx="29">
                  <c:v>5266.666666666667</c:v>
                </c:pt>
                <c:pt idx="30">
                  <c:v>5266.666666666667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1-49AC-9376-B0C6CDBF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469072"/>
        <c:axId val="471467984"/>
      </c:lineChart>
      <c:catAx>
        <c:axId val="1968190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71470160"/>
        <c:crosses val="autoZero"/>
        <c:auto val="1"/>
        <c:lblAlgn val="ctr"/>
        <c:lblOffset val="100"/>
        <c:noMultiLvlLbl val="0"/>
      </c:catAx>
      <c:valAx>
        <c:axId val="471470160"/>
        <c:scaling>
          <c:orientation val="minMax"/>
          <c:max val="24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968190560"/>
        <c:crosses val="autoZero"/>
        <c:crossBetween val="between"/>
        <c:majorUnit val="2"/>
      </c:valAx>
      <c:valAx>
        <c:axId val="471467984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crossAx val="471469072"/>
        <c:crosses val="max"/>
        <c:crossBetween val="between"/>
      </c:valAx>
      <c:catAx>
        <c:axId val="471469072"/>
        <c:scaling>
          <c:orientation val="minMax"/>
        </c:scaling>
        <c:delete val="1"/>
        <c:axPos val="b"/>
        <c:majorTickMark val="out"/>
        <c:minorTickMark val="none"/>
        <c:tickLblPos val="nextTo"/>
        <c:crossAx val="4714679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 Production</a:t>
            </a:r>
          </a:p>
        </c:rich>
      </c:tx>
      <c:layout>
        <c:manualLayout>
          <c:xMode val="edge"/>
          <c:yMode val="edge"/>
          <c:x val="2.8493000874890602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'Loading &amp; Stock'!$B$6</c:f>
              <c:strCache>
                <c:ptCount val="1"/>
                <c:pt idx="0">
                  <c:v>Production FC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'Loading &amp; Stock'!$C$6:$AG$6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3-4A43-8A4B-FAAF84B0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5706959"/>
        <c:axId val="1555712367"/>
      </c:barChart>
      <c:lineChart>
        <c:grouping val="standard"/>
        <c:varyColors val="0"/>
        <c:ser>
          <c:idx val="0"/>
          <c:order val="1"/>
          <c:tx>
            <c:strRef>
              <c:f>'Loading &amp; Stock'!$B$25</c:f>
              <c:strCache>
                <c:ptCount val="1"/>
                <c:pt idx="0">
                  <c:v>Avg. FC prod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'Loading &amp; Stock'!$C$25:$AF$25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8-4DD7-9956-41E64AA48360}"/>
            </c:ext>
          </c:extLst>
        </c:ser>
        <c:ser>
          <c:idx val="1"/>
          <c:order val="2"/>
          <c:tx>
            <c:v>Plan FC Prod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'Loading &amp; Stock'!$C$26:$AF$26</c:f>
              <c:numCache>
                <c:formatCode>_(* #,##0.00_);_(* \(#,##0.00\);_(* "-"??_);_(@_)</c:formatCode>
                <c:ptCount val="30"/>
                <c:pt idx="0">
                  <c:v>5.9499931666666672</c:v>
                </c:pt>
                <c:pt idx="1">
                  <c:v>5.9499931666666672</c:v>
                </c:pt>
                <c:pt idx="2">
                  <c:v>5.9499931666666672</c:v>
                </c:pt>
                <c:pt idx="3">
                  <c:v>5.9499931666666672</c:v>
                </c:pt>
                <c:pt idx="4">
                  <c:v>5.9499931666666672</c:v>
                </c:pt>
                <c:pt idx="5">
                  <c:v>5.9499931666666672</c:v>
                </c:pt>
                <c:pt idx="6">
                  <c:v>5.9499931666666672</c:v>
                </c:pt>
                <c:pt idx="7">
                  <c:v>5.9499931666666672</c:v>
                </c:pt>
                <c:pt idx="8">
                  <c:v>5.9499931666666672</c:v>
                </c:pt>
                <c:pt idx="9">
                  <c:v>5.9499931666666672</c:v>
                </c:pt>
                <c:pt idx="10">
                  <c:v>5.9499931666666672</c:v>
                </c:pt>
                <c:pt idx="11">
                  <c:v>5.9499931666666672</c:v>
                </c:pt>
                <c:pt idx="12">
                  <c:v>5.9499931666666672</c:v>
                </c:pt>
                <c:pt idx="13">
                  <c:v>5.9499931666666672</c:v>
                </c:pt>
                <c:pt idx="14">
                  <c:v>5.9499931666666672</c:v>
                </c:pt>
                <c:pt idx="15">
                  <c:v>5.9499931666666672</c:v>
                </c:pt>
                <c:pt idx="16">
                  <c:v>5.9499931666666672</c:v>
                </c:pt>
                <c:pt idx="17">
                  <c:v>5.9499931666666672</c:v>
                </c:pt>
                <c:pt idx="18">
                  <c:v>5.9499931666666672</c:v>
                </c:pt>
                <c:pt idx="19">
                  <c:v>5.9499931666666672</c:v>
                </c:pt>
                <c:pt idx="20">
                  <c:v>5.9499931666666672</c:v>
                </c:pt>
                <c:pt idx="21">
                  <c:v>5.9499931666666672</c:v>
                </c:pt>
                <c:pt idx="22">
                  <c:v>5.9499931666666672</c:v>
                </c:pt>
                <c:pt idx="23">
                  <c:v>5.9499931666666672</c:v>
                </c:pt>
                <c:pt idx="24">
                  <c:v>5.9499931666666672</c:v>
                </c:pt>
                <c:pt idx="25">
                  <c:v>5.9499931666666672</c:v>
                </c:pt>
                <c:pt idx="26">
                  <c:v>5.9499931666666672</c:v>
                </c:pt>
                <c:pt idx="27">
                  <c:v>5.9499931666666672</c:v>
                </c:pt>
                <c:pt idx="28">
                  <c:v>5.9499931666666672</c:v>
                </c:pt>
                <c:pt idx="29">
                  <c:v>5.9499931666666672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B-4012-8838-BEB4C803E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706959"/>
        <c:axId val="1555712367"/>
      </c:lineChart>
      <c:catAx>
        <c:axId val="1555706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12367"/>
        <c:crosses val="autoZero"/>
        <c:auto val="1"/>
        <c:lblAlgn val="ctr"/>
        <c:lblOffset val="100"/>
        <c:noMultiLvlLbl val="0"/>
      </c:catAx>
      <c:valAx>
        <c:axId val="15557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94097090060855E-2"/>
          <c:y val="3.520417131055531E-2"/>
          <c:w val="0.85333003794652196"/>
          <c:h val="0.885361364444391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Actual!$C$157</c:f>
              <c:strCache>
                <c:ptCount val="1"/>
                <c:pt idx="0">
                  <c:v>ROM to Stock</c:v>
                </c:pt>
              </c:strCache>
            </c:strRef>
          </c:tx>
          <c:spPr>
            <a:solidFill>
              <a:srgbClr val="0066FF"/>
            </a:solidFill>
          </c:spPr>
          <c:invertIfNegative val="0"/>
          <c:val>
            <c:numRef>
              <c:f>Actual!$F$157:$AJ$157</c:f>
              <c:numCache>
                <c:formatCode>_-* #,##0.00_-;\-* #,##0.00_-;_-*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1312.8979999999999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C-4502-BA83-6FCAAB02AEEE}"/>
            </c:ext>
          </c:extLst>
        </c:ser>
        <c:ser>
          <c:idx val="1"/>
          <c:order val="1"/>
          <c:tx>
            <c:strRef>
              <c:f>Actual!$C$160</c:f>
              <c:strCache>
                <c:ptCount val="1"/>
                <c:pt idx="0">
                  <c:v>PIT Direct Crushed</c:v>
                </c:pt>
              </c:strCache>
            </c:strRef>
          </c:tx>
          <c:spPr>
            <a:solidFill>
              <a:srgbClr val="FF3399"/>
            </a:solidFill>
          </c:spPr>
          <c:invertIfNegative val="0"/>
          <c:val>
            <c:numRef>
              <c:f>Actual!$F$160:$AJ$160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_-* #,##0.00_-;\-* #,##0.00_-;_-* &quot;-&quot;??_-;_-@_-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C-4502-BA83-6FCAAB02A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1464176"/>
        <c:axId val="471470704"/>
      </c:barChart>
      <c:lineChart>
        <c:grouping val="standard"/>
        <c:varyColors val="0"/>
        <c:ser>
          <c:idx val="2"/>
          <c:order val="2"/>
          <c:tx>
            <c:strRef>
              <c:f>Actual!$C$177</c:f>
              <c:strCache>
                <c:ptCount val="1"/>
                <c:pt idx="0">
                  <c:v>Rainfall </c:v>
                </c:pt>
              </c:strCache>
            </c:strRef>
          </c:tx>
          <c:marker>
            <c:symbol val="none"/>
          </c:marker>
          <c:val>
            <c:numRef>
              <c:f>Actual!$F$177:$AJ$177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2C-4502-BA83-6FCAAB02AEEE}"/>
            </c:ext>
          </c:extLst>
        </c:ser>
        <c:ser>
          <c:idx val="3"/>
          <c:order val="3"/>
          <c:tx>
            <c:strRef>
              <c:f>Actual!$C$184</c:f>
              <c:strCache>
                <c:ptCount val="1"/>
                <c:pt idx="0">
                  <c:v>Rainfall Duration </c:v>
                </c:pt>
              </c:strCache>
            </c:strRef>
          </c:tx>
          <c:marker>
            <c:symbol val="none"/>
          </c:marker>
          <c:val>
            <c:numRef>
              <c:f>Actual!$F$184:$AJ$184</c:f>
              <c:numCache>
                <c:formatCode>#,##0.0_ ;\-#,##0.0\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#,##0_ ;\-#,##0\ ">
                  <c:v>0</c:v>
                </c:pt>
                <c:pt idx="7" formatCode="#,##0_ ;\-#,##0\ ">
                  <c:v>0</c:v>
                </c:pt>
                <c:pt idx="8" formatCode="#,##0_ ;\-#,##0\ ">
                  <c:v>0</c:v>
                </c:pt>
                <c:pt idx="9" formatCode="#,##0_ ;\-#,##0\ ">
                  <c:v>0</c:v>
                </c:pt>
                <c:pt idx="10" formatCode="#,##0_ ;\-#,##0\ ">
                  <c:v>0</c:v>
                </c:pt>
                <c:pt idx="11" formatCode="#,##0_ ;\-#,##0\ ">
                  <c:v>0</c:v>
                </c:pt>
                <c:pt idx="12" formatCode="#,##0_ ;\-#,##0\ ">
                  <c:v>0</c:v>
                </c:pt>
                <c:pt idx="13" formatCode="#,##0_ ;\-#,##0\ ">
                  <c:v>0</c:v>
                </c:pt>
                <c:pt idx="14" formatCode="#,##0_ ;\-#,##0\ ">
                  <c:v>0</c:v>
                </c:pt>
                <c:pt idx="15" formatCode="#,##0_ ;\-#,##0\ ">
                  <c:v>0</c:v>
                </c:pt>
                <c:pt idx="16" formatCode="#,##0_ ;\-#,##0\ ">
                  <c:v>0</c:v>
                </c:pt>
                <c:pt idx="17" formatCode="#,##0_ ;\-#,##0\ ">
                  <c:v>0</c:v>
                </c:pt>
                <c:pt idx="18" formatCode="#,##0_ ;\-#,##0\ ">
                  <c:v>0</c:v>
                </c:pt>
                <c:pt idx="19" formatCode="#,##0_ ;\-#,##0\ ">
                  <c:v>0</c:v>
                </c:pt>
                <c:pt idx="20" formatCode="#,##0_ ;\-#,##0\ ">
                  <c:v>0</c:v>
                </c:pt>
                <c:pt idx="21" formatCode="#,##0_ ;\-#,##0\ ">
                  <c:v>0</c:v>
                </c:pt>
                <c:pt idx="22" formatCode="#,##0_ ;\-#,##0\ ">
                  <c:v>0</c:v>
                </c:pt>
                <c:pt idx="23" formatCode="#,##0_ ;\-#,##0\ ">
                  <c:v>0</c:v>
                </c:pt>
                <c:pt idx="24" formatCode="#,##0_ ;\-#,##0\ ">
                  <c:v>0</c:v>
                </c:pt>
                <c:pt idx="25" formatCode="#,##0_ ;\-#,##0\ ">
                  <c:v>0</c:v>
                </c:pt>
                <c:pt idx="26" formatCode="#,##0_ ;\-#,##0\ ">
                  <c:v>0</c:v>
                </c:pt>
                <c:pt idx="27" formatCode="#,##0_ ;\-#,##0\ ">
                  <c:v>0</c:v>
                </c:pt>
                <c:pt idx="28" formatCode="#,##0_ ;\-#,##0\ ">
                  <c:v>0</c:v>
                </c:pt>
                <c:pt idx="29" formatCode="#,##0_ ;\-#,##0\ ">
                  <c:v>0</c:v>
                </c:pt>
                <c:pt idx="30" formatCode="#,##0_ ;\-#,##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2C-4502-BA83-6FCAAB02A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457648"/>
        <c:axId val="471459824"/>
      </c:lineChart>
      <c:catAx>
        <c:axId val="471464176"/>
        <c:scaling>
          <c:orientation val="minMax"/>
        </c:scaling>
        <c:delete val="0"/>
        <c:axPos val="b"/>
        <c:majorTickMark val="out"/>
        <c:minorTickMark val="none"/>
        <c:tickLblPos val="nextTo"/>
        <c:crossAx val="471470704"/>
        <c:crosses val="autoZero"/>
        <c:auto val="1"/>
        <c:lblAlgn val="ctr"/>
        <c:lblOffset val="100"/>
        <c:noMultiLvlLbl val="0"/>
      </c:catAx>
      <c:valAx>
        <c:axId val="471470704"/>
        <c:scaling>
          <c:orientation val="minMax"/>
        </c:scaling>
        <c:delete val="0"/>
        <c:axPos val="l"/>
        <c:majorGridlines/>
        <c:numFmt formatCode="_-* #,##0.00_-;\-* #,##0.00_-;_-* &quot;-&quot;??_-;_-@_-" sourceLinked="1"/>
        <c:majorTickMark val="out"/>
        <c:minorTickMark val="none"/>
        <c:tickLblPos val="nextTo"/>
        <c:crossAx val="471464176"/>
        <c:crosses val="autoZero"/>
        <c:crossBetween val="between"/>
      </c:valAx>
      <c:valAx>
        <c:axId val="471459824"/>
        <c:scaling>
          <c:orientation val="minMax"/>
          <c:max val="200"/>
        </c:scaling>
        <c:delete val="0"/>
        <c:axPos val="r"/>
        <c:numFmt formatCode="0" sourceLinked="1"/>
        <c:majorTickMark val="out"/>
        <c:minorTickMark val="none"/>
        <c:tickLblPos val="nextTo"/>
        <c:crossAx val="471457648"/>
        <c:crosses val="max"/>
        <c:crossBetween val="between"/>
      </c:valAx>
      <c:catAx>
        <c:axId val="471457648"/>
        <c:scaling>
          <c:orientation val="minMax"/>
        </c:scaling>
        <c:delete val="1"/>
        <c:axPos val="b"/>
        <c:majorTickMark val="out"/>
        <c:minorTickMark val="none"/>
        <c:tickLblPos val="nextTo"/>
        <c:crossAx val="471459824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27432622631251746"/>
          <c:y val="3.6196248441514429E-2"/>
          <c:w val="0.45134754737496513"/>
          <c:h val="5.950305685997933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003795818252224E-2"/>
          <c:y val="0.10847145680257833"/>
          <c:w val="0.85685695498589554"/>
          <c:h val="0.814298021416349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Actual!$C$160</c:f>
              <c:strCache>
                <c:ptCount val="1"/>
                <c:pt idx="0">
                  <c:v>PIT Direct Crushed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val>
            <c:numRef>
              <c:f>Actual!$F$160:$AJ$160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_-* #,##0.00_-;\-* #,##0.00_-;_-* &quot;-&quot;??_-;_-@_-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7-4CC2-BE28-741C0E32274A}"/>
            </c:ext>
          </c:extLst>
        </c:ser>
        <c:ser>
          <c:idx val="1"/>
          <c:order val="1"/>
          <c:tx>
            <c:strRef>
              <c:f>Actual!#REF!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val>
            <c:numRef>
              <c:f>Actual!#REF!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7-4CC2-BE28-741C0E32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1460912"/>
        <c:axId val="471465808"/>
      </c:barChart>
      <c:catAx>
        <c:axId val="47146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471465808"/>
        <c:crosses val="autoZero"/>
        <c:auto val="1"/>
        <c:lblAlgn val="ctr"/>
        <c:lblOffset val="100"/>
        <c:noMultiLvlLbl val="0"/>
      </c:catAx>
      <c:valAx>
        <c:axId val="471465808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47146091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>
                <a:solidFill>
                  <a:srgbClr val="0000FF"/>
                </a:solidFill>
              </a:rPr>
              <a:t>GRAPH OF PRODUCTION vs RAINFALL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57549231505999"/>
          <c:y val="0.15961255847709269"/>
          <c:w val="0.77145664058696262"/>
          <c:h val="0.67566083406240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Summary!$A$82</c:f>
              <c:strCache>
                <c:ptCount val="1"/>
                <c:pt idx="0">
                  <c:v>ROM Production</c:v>
                </c:pt>
              </c:strCache>
            </c:strRef>
          </c:tx>
          <c:spPr>
            <a:ln w="9525" cap="flat" cmpd="sng" algn="ctr">
              <a:solidFill>
                <a:srgbClr val="0066FF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Summary!$B$81:$AJ$81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Summary!$B$82:$AJ$82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1312.8979999999999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E-4F90-8CF8-135602A5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460368"/>
        <c:axId val="471466352"/>
      </c:barChart>
      <c:lineChart>
        <c:grouping val="standard"/>
        <c:varyColors val="0"/>
        <c:ser>
          <c:idx val="1"/>
          <c:order val="1"/>
          <c:tx>
            <c:strRef>
              <c:f>Summary!$A$83</c:f>
              <c:strCache>
                <c:ptCount val="1"/>
                <c:pt idx="0">
                  <c:v>Rainfall (mm)</c:v>
                </c:pt>
              </c:strCache>
            </c:strRef>
          </c:tx>
          <c:spPr>
            <a:ln w="1587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pPr>
              <a:solidFill>
                <a:srgbClr val="FFFF00"/>
              </a:solidFill>
            </c:spPr>
          </c:marker>
          <c:cat>
            <c:numRef>
              <c:f>Summary!$B$81:$AJ$81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Summary!$B$83:$AJ$83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E-4F90-8CF8-135602A5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467440"/>
        <c:axId val="471462000"/>
      </c:lineChart>
      <c:catAx>
        <c:axId val="471460368"/>
        <c:scaling>
          <c:orientation val="minMax"/>
        </c:scaling>
        <c:delete val="0"/>
        <c:axPos val="b"/>
        <c:title>
          <c:tx>
            <c:rich>
              <a:bodyPr rot="5400000" vert="horz" anchor="b" anchorCtr="1"/>
              <a:lstStyle/>
              <a:p>
                <a:pPr>
                  <a:defRPr/>
                </a:pPr>
                <a:r>
                  <a:rPr lang="en-US">
                    <a:solidFill>
                      <a:srgbClr val="0000FF"/>
                    </a:solidFill>
                  </a:rPr>
                  <a:t>Rainfall (mm)</a:t>
                </a:r>
              </a:p>
            </c:rich>
          </c:tx>
          <c:layout>
            <c:manualLayout>
              <c:xMode val="edge"/>
              <c:yMode val="edge"/>
              <c:x val="0.93088865434145385"/>
              <c:y val="0.384382151825650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crossAx val="471466352"/>
        <c:crosses val="autoZero"/>
        <c:auto val="1"/>
        <c:lblAlgn val="ctr"/>
        <c:lblOffset val="100"/>
        <c:noMultiLvlLbl val="0"/>
      </c:catAx>
      <c:valAx>
        <c:axId val="4714663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olidFill>
                      <a:srgbClr val="0000FF"/>
                    </a:solidFill>
                  </a:rPr>
                  <a:t>ROM Coal (Ton)</a:t>
                </a:r>
              </a:p>
            </c:rich>
          </c:tx>
          <c:layout>
            <c:manualLayout>
              <c:xMode val="edge"/>
              <c:yMode val="edge"/>
              <c:x val="1.2224109312413101E-2"/>
              <c:y val="0.3192913357124948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471460368"/>
        <c:crosses val="autoZero"/>
        <c:crossBetween val="between"/>
      </c:valAx>
      <c:valAx>
        <c:axId val="471462000"/>
        <c:scaling>
          <c:orientation val="minMax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471467440"/>
        <c:crosses val="max"/>
        <c:crossBetween val="between"/>
      </c:valAx>
      <c:catAx>
        <c:axId val="47146744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471462000"/>
        <c:crosses val="autoZero"/>
        <c:auto val="1"/>
        <c:lblAlgn val="ctr"/>
        <c:lblOffset val="100"/>
        <c:noMultiLvlLbl val="0"/>
      </c:catAx>
      <c:spPr>
        <a:gradFill>
          <a:gsLst>
            <a:gs pos="0">
              <a:srgbClr val="4F81BD">
                <a:tint val="66000"/>
                <a:satMod val="160000"/>
                <a:lumMod val="52000"/>
                <a:lumOff val="48000"/>
                <a:alpha val="64000"/>
              </a:srgbClr>
            </a:gs>
            <a:gs pos="52000">
              <a:sysClr val="window" lastClr="FFFFFF">
                <a:lumMod val="0"/>
                <a:lumOff val="100000"/>
                <a:alpha val="46000"/>
              </a:sysClr>
            </a:gs>
            <a:gs pos="100000">
              <a:schemeClr val="accent1">
                <a:lumMod val="40000"/>
                <a:lumOff val="60000"/>
              </a:schemeClr>
            </a:gs>
          </a:gsLst>
          <a:path path="rect">
            <a:fillToRect l="100000" t="100000"/>
          </a:path>
        </a:gradFill>
        <a:ln w="0" cmpd="sng">
          <a:solidFill>
            <a:schemeClr val="tx1"/>
          </a:solidFill>
          <a:prstDash val="solid"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legend>
      <c:legendPos val="b"/>
      <c:overlay val="0"/>
    </c:legend>
    <c:plotVisOnly val="1"/>
    <c:dispBlanksAs val="gap"/>
    <c:showDLblsOverMax val="0"/>
  </c:chart>
  <c:spPr>
    <a:effectLst>
      <a:glow>
        <a:schemeClr val="accent1">
          <a:alpha val="40000"/>
        </a:schemeClr>
      </a:glow>
      <a:outerShdw blurRad="50800" dist="50800" dir="5400000" algn="ctr" rotWithShape="0">
        <a:srgbClr val="000000">
          <a:alpha val="82000"/>
        </a:srgbClr>
      </a:outerShdw>
    </a:effectLst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>
                <a:solidFill>
                  <a:srgbClr val="0000FF"/>
                </a:solidFill>
              </a:rPr>
              <a:t>GRAPH OF PRODUCTION vs LOSS TIME RAIN</a:t>
            </a:r>
            <a:r>
              <a:rPr lang="en-US" sz="1400" b="1" baseline="0">
                <a:solidFill>
                  <a:srgbClr val="0000FF"/>
                </a:solidFill>
              </a:rPr>
              <a:t> DURATION</a:t>
            </a:r>
            <a:endParaRPr lang="en-US" sz="1400" b="1">
              <a:solidFill>
                <a:srgbClr val="0000FF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66051450666495"/>
          <c:y val="0.14971823133145878"/>
          <c:w val="0.77145664058696262"/>
          <c:h val="0.68356997553783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Summary!$A$87</c:f>
              <c:strCache>
                <c:ptCount val="1"/>
                <c:pt idx="0">
                  <c:v>ROM Production</c:v>
                </c:pt>
              </c:strCache>
            </c:strRef>
          </c:tx>
          <c:spPr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Summary!$B$86:$AJ$86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Summary!$B$87:$AJ$87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1312.8979999999999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A-40B5-BFF5-9D8BB72E9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455472"/>
        <c:axId val="471462544"/>
      </c:barChart>
      <c:lineChart>
        <c:grouping val="standard"/>
        <c:varyColors val="0"/>
        <c:ser>
          <c:idx val="1"/>
          <c:order val="1"/>
          <c:tx>
            <c:strRef>
              <c:f>Summary!$A$88</c:f>
              <c:strCache>
                <c:ptCount val="1"/>
                <c:pt idx="0">
                  <c:v>Rainfall (hr)</c:v>
                </c:pt>
              </c:strCache>
            </c:strRef>
          </c:tx>
          <c:spPr>
            <a:ln w="22225" cap="flat" cmpd="sng" algn="ctr">
              <a:solidFill>
                <a:srgbClr val="BE4B48"/>
              </a:solidFill>
              <a:prstDash val="solid"/>
            </a:ln>
            <a:effectLst/>
          </c:spPr>
          <c:marker>
            <c:spPr>
              <a:solidFill>
                <a:srgbClr val="FFFF00"/>
              </a:solidFill>
              <a:ln>
                <a:solidFill>
                  <a:srgbClr val="BE4B48"/>
                </a:solidFill>
              </a:ln>
            </c:spPr>
          </c:marker>
          <c:cat>
            <c:numRef>
              <c:f>Summary!$B$86:$AJ$86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</c:numCache>
            </c:numRef>
          </c:cat>
          <c:val>
            <c:numRef>
              <c:f>Summary!$B$88:$AJ$88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A-40B5-BFF5-9D8BB72E9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456560"/>
        <c:axId val="471456016"/>
      </c:lineChart>
      <c:catAx>
        <c:axId val="471455472"/>
        <c:scaling>
          <c:orientation val="minMax"/>
        </c:scaling>
        <c:delete val="0"/>
        <c:axPos val="b"/>
        <c:title>
          <c:tx>
            <c:rich>
              <a:bodyPr rot="5400000" vert="horz" anchor="b" anchorCtr="1"/>
              <a:lstStyle/>
              <a:p>
                <a:pPr>
                  <a:defRPr/>
                </a:pPr>
                <a:r>
                  <a:rPr lang="en-US">
                    <a:solidFill>
                      <a:schemeClr val="accent6">
                        <a:lumMod val="75000"/>
                      </a:schemeClr>
                    </a:solidFill>
                  </a:rPr>
                  <a:t>Rainfall Duration (hr)</a:t>
                </a:r>
              </a:p>
            </c:rich>
          </c:tx>
          <c:layout>
            <c:manualLayout>
              <c:xMode val="edge"/>
              <c:yMode val="edge"/>
              <c:x val="0.94305778875487822"/>
              <c:y val="0.43670219512116171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crossAx val="471462544"/>
        <c:crosses val="autoZero"/>
        <c:auto val="1"/>
        <c:lblAlgn val="ctr"/>
        <c:lblOffset val="100"/>
        <c:noMultiLvlLbl val="0"/>
      </c:catAx>
      <c:valAx>
        <c:axId val="4714625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olidFill>
                      <a:schemeClr val="accent6">
                        <a:lumMod val="75000"/>
                      </a:schemeClr>
                    </a:solidFill>
                  </a:rPr>
                  <a:t>ROM Coal (Ton)</a:t>
                </a:r>
              </a:p>
            </c:rich>
          </c:tx>
          <c:layout>
            <c:manualLayout>
              <c:xMode val="edge"/>
              <c:yMode val="edge"/>
              <c:x val="1.2224109312413101E-2"/>
              <c:y val="0.3192913357124948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471455472"/>
        <c:crosses val="autoZero"/>
        <c:crossBetween val="between"/>
      </c:valAx>
      <c:valAx>
        <c:axId val="471456016"/>
        <c:scaling>
          <c:orientation val="minMax"/>
          <c:max val="25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471456560"/>
        <c:crosses val="max"/>
        <c:crossBetween val="between"/>
        <c:majorUnit val="2"/>
      </c:valAx>
      <c:catAx>
        <c:axId val="47145656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471456016"/>
        <c:crosses val="autoZero"/>
        <c:auto val="1"/>
        <c:lblAlgn val="ctr"/>
        <c:lblOffset val="100"/>
        <c:noMultiLvlLbl val="0"/>
      </c:catAx>
      <c:spPr>
        <a:gradFill flip="none" rotWithShape="1">
          <a:gsLst>
            <a:gs pos="0">
              <a:srgbClr val="FF3399">
                <a:tint val="66000"/>
                <a:satMod val="160000"/>
              </a:srgbClr>
            </a:gs>
            <a:gs pos="50000">
              <a:srgbClr val="FF3399">
                <a:tint val="44500"/>
                <a:satMod val="160000"/>
              </a:srgbClr>
            </a:gs>
            <a:gs pos="100000">
              <a:srgbClr val="FF3399">
                <a:tint val="23500"/>
                <a:satMod val="160000"/>
              </a:srgbClr>
            </a:gs>
          </a:gsLst>
          <a:path path="circle">
            <a:fillToRect t="100000" r="100000"/>
          </a:path>
          <a:tileRect l="-100000" b="-100000"/>
        </a:gradFill>
        <a:ln w="0" cmpd="sng">
          <a:solidFill>
            <a:schemeClr val="tx1"/>
          </a:solidFill>
          <a:prstDash val="solid"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legend>
      <c:legendPos val="b"/>
      <c:overlay val="0"/>
    </c:legend>
    <c:plotVisOnly val="1"/>
    <c:dispBlanksAs val="gap"/>
    <c:showDLblsOverMax val="0"/>
  </c:chart>
  <c:spPr>
    <a:effectLst>
      <a:glow>
        <a:schemeClr val="accent1">
          <a:alpha val="40000"/>
        </a:schemeClr>
      </a:glow>
      <a:outerShdw blurRad="50800" dist="50800" dir="5400000" algn="ctr" rotWithShape="0">
        <a:srgbClr val="000000">
          <a:alpha val="82000"/>
        </a:srgbClr>
      </a:outerShdw>
    </a:effectLst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Rain &amp; Slippery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'R&amp;S'!$C$3</c:f>
              <c:strCache>
                <c:ptCount val="1"/>
                <c:pt idx="0">
                  <c:v>R&amp;S Daily Plan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'R&amp;S'!$B$4:$B$34</c:f>
              <c:numCache>
                <c:formatCode>dd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'R&amp;S'!$C$4:$C$34</c:f>
              <c:numCache>
                <c:formatCode>0.00</c:formatCode>
                <c:ptCount val="31"/>
                <c:pt idx="0">
                  <c:v>3.096774193548387</c:v>
                </c:pt>
                <c:pt idx="1">
                  <c:v>3.096774193548387</c:v>
                </c:pt>
                <c:pt idx="2">
                  <c:v>3.096774193548387</c:v>
                </c:pt>
                <c:pt idx="3">
                  <c:v>3.096774193548387</c:v>
                </c:pt>
                <c:pt idx="4">
                  <c:v>3.096774193548387</c:v>
                </c:pt>
                <c:pt idx="5">
                  <c:v>3.096774193548387</c:v>
                </c:pt>
                <c:pt idx="6">
                  <c:v>3.096774193548387</c:v>
                </c:pt>
                <c:pt idx="7">
                  <c:v>3.096774193548387</c:v>
                </c:pt>
                <c:pt idx="8">
                  <c:v>3.096774193548387</c:v>
                </c:pt>
                <c:pt idx="9">
                  <c:v>3.096774193548387</c:v>
                </c:pt>
                <c:pt idx="10">
                  <c:v>3.096774193548387</c:v>
                </c:pt>
                <c:pt idx="11">
                  <c:v>3.096774193548387</c:v>
                </c:pt>
                <c:pt idx="12">
                  <c:v>3.096774193548387</c:v>
                </c:pt>
                <c:pt idx="13">
                  <c:v>3.096774193548387</c:v>
                </c:pt>
                <c:pt idx="14">
                  <c:v>3.096774193548387</c:v>
                </c:pt>
                <c:pt idx="15">
                  <c:v>3.096774193548387</c:v>
                </c:pt>
                <c:pt idx="16">
                  <c:v>3.096774193548387</c:v>
                </c:pt>
                <c:pt idx="17">
                  <c:v>3.096774193548387</c:v>
                </c:pt>
                <c:pt idx="18">
                  <c:v>3.096774193548387</c:v>
                </c:pt>
                <c:pt idx="19">
                  <c:v>3.096774193548387</c:v>
                </c:pt>
                <c:pt idx="20">
                  <c:v>3.096774193548387</c:v>
                </c:pt>
                <c:pt idx="21">
                  <c:v>3.096774193548387</c:v>
                </c:pt>
                <c:pt idx="22">
                  <c:v>3.096774193548387</c:v>
                </c:pt>
                <c:pt idx="23">
                  <c:v>3.096774193548387</c:v>
                </c:pt>
                <c:pt idx="24">
                  <c:v>3.096774193548387</c:v>
                </c:pt>
                <c:pt idx="25">
                  <c:v>3.096774193548387</c:v>
                </c:pt>
                <c:pt idx="26">
                  <c:v>3.096774193548387</c:v>
                </c:pt>
                <c:pt idx="27">
                  <c:v>3.096774193548387</c:v>
                </c:pt>
                <c:pt idx="28">
                  <c:v>3.096774193548387</c:v>
                </c:pt>
                <c:pt idx="29">
                  <c:v>3.096774193548387</c:v>
                </c:pt>
                <c:pt idx="30">
                  <c:v>3.096774193548387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6-431B-9D12-7142E271BF70}"/>
            </c:ext>
          </c:extLst>
        </c:ser>
        <c:ser>
          <c:idx val="1"/>
          <c:order val="1"/>
          <c:tx>
            <c:strRef>
              <c:f>'R&amp;S'!$F$3</c:f>
              <c:strCache>
                <c:ptCount val="1"/>
                <c:pt idx="0">
                  <c:v>R&amp;S Actual</c:v>
                </c:pt>
              </c:strCache>
            </c:strRef>
          </c:tx>
          <c:spPr>
            <a:ln w="22225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'R&amp;S'!$B$4:$B$34</c:f>
              <c:numCache>
                <c:formatCode>dd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'R&amp;S'!$F$4:$F$34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96-431B-9D12-7142E271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17349455"/>
        <c:axId val="417342799"/>
      </c:lineChart>
      <c:lineChart>
        <c:grouping val="standard"/>
        <c:varyColors val="0"/>
        <c:ser>
          <c:idx val="2"/>
          <c:order val="2"/>
          <c:tx>
            <c:v>Forecast (hour)</c:v>
          </c:tx>
          <c:spPr>
            <a:ln w="22225" cap="rnd" cmpd="sng" algn="ctr">
              <a:solidFill>
                <a:srgbClr val="00CCFF"/>
              </a:solidFill>
              <a:prstDash val="sysDot"/>
              <a:round/>
            </a:ln>
            <a:effectLst/>
          </c:spPr>
          <c:marker>
            <c:symbol val="none"/>
          </c:marker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'R&amp;S'!$H$4:$H$34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0-440B-B579-A559876A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472575"/>
        <c:axId val="1817473407"/>
      </c:lineChart>
      <c:dateAx>
        <c:axId val="417349455"/>
        <c:scaling>
          <c:orientation val="minMax"/>
        </c:scaling>
        <c:delete val="0"/>
        <c:axPos val="b"/>
        <c:numFmt formatCode="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42799"/>
        <c:crosses val="autoZero"/>
        <c:auto val="1"/>
        <c:lblOffset val="100"/>
        <c:baseTimeUnit val="days"/>
        <c:majorUnit val="1"/>
        <c:majorTimeUnit val="days"/>
      </c:dateAx>
      <c:valAx>
        <c:axId val="417342799"/>
        <c:scaling>
          <c:orientation val="minMax"/>
          <c:max val="12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49455"/>
        <c:crosses val="autoZero"/>
        <c:crossBetween val="between"/>
      </c:valAx>
      <c:valAx>
        <c:axId val="1817473407"/>
        <c:scaling>
          <c:orientation val="minMax"/>
          <c:max val="12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72575"/>
        <c:crosses val="max"/>
        <c:crossBetween val="between"/>
      </c:valAx>
      <c:catAx>
        <c:axId val="1817472575"/>
        <c:scaling>
          <c:orientation val="minMax"/>
        </c:scaling>
        <c:delete val="1"/>
        <c:axPos val="b"/>
        <c:majorTickMark val="out"/>
        <c:minorTickMark val="none"/>
        <c:tickLblPos val="nextTo"/>
        <c:crossAx val="1817473407"/>
        <c:crosses val="autoZero"/>
        <c:auto val="1"/>
        <c:lblAlgn val="ctr"/>
        <c:lblOffset val="100"/>
        <c:noMultiLvlLbl val="0"/>
      </c:cat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4.png"/><Relationship Id="rId18" Type="http://schemas.microsoft.com/office/2007/relationships/hdphoto" Target="../media/hdphoto5.wdp"/><Relationship Id="rId26" Type="http://schemas.openxmlformats.org/officeDocument/2006/relationships/chart" Target="../charts/chart14.xml"/><Relationship Id="rId3" Type="http://schemas.openxmlformats.org/officeDocument/2006/relationships/chart" Target="../charts/chart3.xml"/><Relationship Id="rId21" Type="http://schemas.openxmlformats.org/officeDocument/2006/relationships/chart" Target="../charts/chart10.xml"/><Relationship Id="rId7" Type="http://schemas.openxmlformats.org/officeDocument/2006/relationships/chart" Target="../charts/chart7.xml"/><Relationship Id="rId12" Type="http://schemas.microsoft.com/office/2007/relationships/hdphoto" Target="../media/hdphoto2.wdp"/><Relationship Id="rId17" Type="http://schemas.openxmlformats.org/officeDocument/2006/relationships/image" Target="../media/image6.png"/><Relationship Id="rId25" Type="http://schemas.openxmlformats.org/officeDocument/2006/relationships/chart" Target="../charts/chart13.xml"/><Relationship Id="rId2" Type="http://schemas.openxmlformats.org/officeDocument/2006/relationships/chart" Target="../charts/chart2.xml"/><Relationship Id="rId16" Type="http://schemas.microsoft.com/office/2007/relationships/hdphoto" Target="../media/hdphoto4.wdp"/><Relationship Id="rId20" Type="http://schemas.openxmlformats.org/officeDocument/2006/relationships/chart" Target="../charts/chart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24" Type="http://schemas.openxmlformats.org/officeDocument/2006/relationships/image" Target="../media/image7.emf"/><Relationship Id="rId5" Type="http://schemas.openxmlformats.org/officeDocument/2006/relationships/chart" Target="../charts/chart5.xml"/><Relationship Id="rId15" Type="http://schemas.openxmlformats.org/officeDocument/2006/relationships/image" Target="../media/image5.png"/><Relationship Id="rId23" Type="http://schemas.openxmlformats.org/officeDocument/2006/relationships/chart" Target="../charts/chart12.xml"/><Relationship Id="rId28" Type="http://schemas.openxmlformats.org/officeDocument/2006/relationships/chart" Target="../charts/chart16.xml"/><Relationship Id="rId10" Type="http://schemas.microsoft.com/office/2007/relationships/hdphoto" Target="../media/hdphoto1.wdp"/><Relationship Id="rId19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microsoft.com/office/2007/relationships/hdphoto" Target="../media/hdphoto3.wdp"/><Relationship Id="rId22" Type="http://schemas.openxmlformats.org/officeDocument/2006/relationships/chart" Target="../charts/chart11.xml"/><Relationship Id="rId27" Type="http://schemas.openxmlformats.org/officeDocument/2006/relationships/chart" Target="../charts/chart1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165492</xdr:colOff>
      <xdr:row>63</xdr:row>
      <xdr:rowOff>61476</xdr:rowOff>
    </xdr:from>
    <xdr:to>
      <xdr:col>16</xdr:col>
      <xdr:colOff>742596</xdr:colOff>
      <xdr:row>64</xdr:row>
      <xdr:rowOff>377266</xdr:rowOff>
    </xdr:to>
    <xdr:sp macro="" textlink="$AS$22">
      <xdr:nvSpPr>
        <xdr:cNvPr id="71" name="Oval 7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7817023" y="11733214"/>
          <a:ext cx="577104" cy="515486"/>
        </a:xfrm>
        <a:prstGeom prst="ellipse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76362065-F5AE-42BA-BEB5-51AB012F989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0%</a:t>
          </a:fld>
          <a:endParaRPr lang="en-US" sz="700" b="1"/>
        </a:p>
      </xdr:txBody>
    </xdr:sp>
    <xdr:clientData/>
  </xdr:twoCellAnchor>
  <xdr:twoCellAnchor>
    <xdr:from>
      <xdr:col>14</xdr:col>
      <xdr:colOff>418017</xdr:colOff>
      <xdr:row>61</xdr:row>
      <xdr:rowOff>248106</xdr:rowOff>
    </xdr:from>
    <xdr:to>
      <xdr:col>20</xdr:col>
      <xdr:colOff>446314</xdr:colOff>
      <xdr:row>66</xdr:row>
      <xdr:rowOff>163286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21206</xdr:colOff>
      <xdr:row>44</xdr:row>
      <xdr:rowOff>9805</xdr:rowOff>
    </xdr:from>
    <xdr:to>
      <xdr:col>20</xdr:col>
      <xdr:colOff>2359</xdr:colOff>
      <xdr:row>51</xdr:row>
      <xdr:rowOff>70009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650606" y="7191655"/>
          <a:ext cx="2676728" cy="1403229"/>
          <a:chOff x="6703313" y="5744011"/>
          <a:chExt cx="1898558" cy="1370690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GrpSpPr/>
        </xdr:nvGrpSpPr>
        <xdr:grpSpPr>
          <a:xfrm>
            <a:off x="6719283" y="5915207"/>
            <a:ext cx="1882588" cy="1199494"/>
            <a:chOff x="8127377" y="1577283"/>
            <a:chExt cx="1248833" cy="976289"/>
          </a:xfrm>
        </xdr:grpSpPr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aphicFramePr/>
          </xdr:nvGraphicFramePr>
          <xdr:xfrm>
            <a:off x="8127377" y="1577283"/>
            <a:ext cx="1248833" cy="97628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$AS$16">
          <xdr:nvSpPr>
            <xdr:cNvPr id="42" name="Oval 41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/>
          </xdr:nvSpPr>
          <xdr:spPr>
            <a:xfrm>
              <a:off x="8633849" y="1872177"/>
              <a:ext cx="233951" cy="390420"/>
            </a:xfrm>
            <a:prstGeom prst="ellipse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fld id="{FF3A15B8-49A5-4A24-BF16-08A9C6AD048F}" type="TxLink">
                <a:rPr lang="en-US" sz="105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29%</a:t>
              </a:fld>
              <a:endParaRPr lang="en-US" sz="600" b="1"/>
            </a:p>
          </xdr:txBody>
        </xdr:sp>
      </xdr:grp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 txBox="1"/>
        </xdr:nvSpPr>
        <xdr:spPr>
          <a:xfrm>
            <a:off x="6703313" y="5744011"/>
            <a:ext cx="1884065" cy="3335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0" baseline="0">
                <a:solidFill>
                  <a:srgbClr val="002060"/>
                </a:solidFill>
              </a:rPr>
              <a:t>OB</a:t>
            </a:r>
            <a:endParaRPr lang="en-US" sz="1200" b="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14</xdr:col>
      <xdr:colOff>27736</xdr:colOff>
      <xdr:row>51</xdr:row>
      <xdr:rowOff>91817</xdr:rowOff>
    </xdr:from>
    <xdr:to>
      <xdr:col>20</xdr:col>
      <xdr:colOff>102</xdr:colOff>
      <xdr:row>56</xdr:row>
      <xdr:rowOff>203451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6657136" y="8616692"/>
          <a:ext cx="2667941" cy="1235584"/>
          <a:chOff x="8127373" y="1539206"/>
          <a:chExt cx="1248832" cy="976289"/>
        </a:xfrm>
      </xdr:grpSpPr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GraphicFramePr/>
        </xdr:nvGraphicFramePr>
        <xdr:xfrm>
          <a:off x="8127373" y="1539206"/>
          <a:ext cx="1248832" cy="9762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AS$20">
        <xdr:nvSpPr>
          <xdr:cNvPr id="45" name="Oval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8631378" y="1840816"/>
            <a:ext cx="237643" cy="384458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F79E6CB9-6E8C-4AA0-90E9-385C38821B6A}" type="TxLink">
              <a:rPr lang="en-US" sz="10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1%</a:t>
            </a:fld>
            <a:endParaRPr lang="en-US" sz="1000" b="1"/>
          </a:p>
        </xdr:txBody>
      </xdr:sp>
    </xdr:grpSp>
    <xdr:clientData/>
  </xdr:twoCellAnchor>
  <xdr:twoCellAnchor>
    <xdr:from>
      <xdr:col>14</xdr:col>
      <xdr:colOff>11653</xdr:colOff>
      <xdr:row>50</xdr:row>
      <xdr:rowOff>103645</xdr:rowOff>
    </xdr:from>
    <xdr:to>
      <xdr:col>19</xdr:col>
      <xdr:colOff>261876</xdr:colOff>
      <xdr:row>52</xdr:row>
      <xdr:rowOff>57707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306436" y="8485645"/>
          <a:ext cx="2834397" cy="351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ROM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14</xdr:col>
      <xdr:colOff>10884</xdr:colOff>
      <xdr:row>43</xdr:row>
      <xdr:rowOff>182673</xdr:rowOff>
    </xdr:from>
    <xdr:to>
      <xdr:col>19</xdr:col>
      <xdr:colOff>18754</xdr:colOff>
      <xdr:row>65</xdr:row>
      <xdr:rowOff>337457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335484" y="7127759"/>
          <a:ext cx="2620441" cy="5194869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109623</xdr:colOff>
      <xdr:row>61</xdr:row>
      <xdr:rowOff>30761</xdr:rowOff>
    </xdr:from>
    <xdr:to>
      <xdr:col>19</xdr:col>
      <xdr:colOff>95324</xdr:colOff>
      <xdr:row>62</xdr:row>
      <xdr:rowOff>130597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314480" y="10938247"/>
          <a:ext cx="2718015" cy="35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FC Load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598713</xdr:colOff>
      <xdr:row>1</xdr:row>
      <xdr:rowOff>114300</xdr:rowOff>
    </xdr:from>
    <xdr:to>
      <xdr:col>19</xdr:col>
      <xdr:colOff>304799</xdr:colOff>
      <xdr:row>4</xdr:row>
      <xdr:rowOff>174268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046513" y="310243"/>
          <a:ext cx="6466115" cy="430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baseline="0">
              <a:solidFill>
                <a:srgbClr val="002060"/>
              </a:solidFill>
            </a:rPr>
            <a:t>PRODUCTION DASHBOARD</a:t>
          </a:r>
          <a:endParaRPr lang="en-US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435099</xdr:colOff>
      <xdr:row>33</xdr:row>
      <xdr:rowOff>27560</xdr:rowOff>
    </xdr:from>
    <xdr:to>
      <xdr:col>24</xdr:col>
      <xdr:colOff>350845</xdr:colOff>
      <xdr:row>39</xdr:row>
      <xdr:rowOff>190493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9760074" y="5285360"/>
          <a:ext cx="1706446" cy="1172583"/>
          <a:chOff x="8127377" y="1699126"/>
          <a:chExt cx="1248833" cy="976289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aphicFramePr/>
        </xdr:nvGraphicFramePr>
        <xdr:xfrm>
          <a:off x="8127377" y="1699126"/>
          <a:ext cx="1248833" cy="9762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AS$10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8592267" y="2004678"/>
            <a:ext cx="323218" cy="365930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4B794EDC-7786-439E-938A-14B21AEF0517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43%</a:t>
            </a:fld>
            <a:endParaRPr lang="en-US" sz="700" b="1"/>
          </a:p>
        </xdr:txBody>
      </xdr:sp>
    </xdr:grpSp>
    <xdr:clientData/>
  </xdr:twoCellAnchor>
  <xdr:twoCellAnchor>
    <xdr:from>
      <xdr:col>20</xdr:col>
      <xdr:colOff>6627</xdr:colOff>
      <xdr:row>7</xdr:row>
      <xdr:rowOff>133771</xdr:rowOff>
    </xdr:from>
    <xdr:to>
      <xdr:col>25</xdr:col>
      <xdr:colOff>6626</xdr:colOff>
      <xdr:row>9</xdr:row>
      <xdr:rowOff>35408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004853" y="1286710"/>
          <a:ext cx="2623930" cy="325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OB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6626</xdr:colOff>
      <xdr:row>14</xdr:row>
      <xdr:rowOff>22816</xdr:rowOff>
    </xdr:from>
    <xdr:to>
      <xdr:col>25</xdr:col>
      <xdr:colOff>0</xdr:colOff>
      <xdr:row>18</xdr:row>
      <xdr:rowOff>62285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9004852" y="2381703"/>
          <a:ext cx="2617305" cy="635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ROM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436</xdr:colOff>
      <xdr:row>24</xdr:row>
      <xdr:rowOff>61381</xdr:rowOff>
    </xdr:from>
    <xdr:to>
      <xdr:col>25</xdr:col>
      <xdr:colOff>6626</xdr:colOff>
      <xdr:row>26</xdr:row>
      <xdr:rowOff>80682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998662" y="3911138"/>
          <a:ext cx="2630121" cy="317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FC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4917</xdr:colOff>
      <xdr:row>32</xdr:row>
      <xdr:rowOff>21615</xdr:rowOff>
    </xdr:from>
    <xdr:to>
      <xdr:col>25</xdr:col>
      <xdr:colOff>6626</xdr:colOff>
      <xdr:row>33</xdr:row>
      <xdr:rowOff>161363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003143" y="5077319"/>
          <a:ext cx="2625640" cy="325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FC Load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452602</xdr:colOff>
      <xdr:row>25</xdr:row>
      <xdr:rowOff>90769</xdr:rowOff>
    </xdr:from>
    <xdr:to>
      <xdr:col>24</xdr:col>
      <xdr:colOff>353108</xdr:colOff>
      <xdr:row>32</xdr:row>
      <xdr:rowOff>152847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9777577" y="4100794"/>
          <a:ext cx="1691206" cy="1128878"/>
          <a:chOff x="5755843" y="1563902"/>
          <a:chExt cx="1248833" cy="976289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aphicFramePr/>
        </xdr:nvGraphicFramePr>
        <xdr:xfrm>
          <a:off x="5755843" y="1563902"/>
          <a:ext cx="1248833" cy="9762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$AS$9">
        <xdr:nvSpPr>
          <xdr:cNvPr id="33" name="Oval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208356" y="1872422"/>
            <a:ext cx="342597" cy="361886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86816B35-E550-4DCB-A9EB-95A6A6024FAC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44%</a:t>
            </a:fld>
            <a:endParaRPr lang="en-US" sz="700" b="1"/>
          </a:p>
        </xdr:txBody>
      </xdr:sp>
    </xdr:grpSp>
    <xdr:clientData/>
  </xdr:twoCellAnchor>
  <xdr:twoCellAnchor>
    <xdr:from>
      <xdr:col>20</xdr:col>
      <xdr:colOff>532290</xdr:colOff>
      <xdr:row>16</xdr:row>
      <xdr:rowOff>54843</xdr:rowOff>
    </xdr:from>
    <xdr:to>
      <xdr:col>24</xdr:col>
      <xdr:colOff>197532</xdr:colOff>
      <xdr:row>24</xdr:row>
      <xdr:rowOff>23186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9857265" y="2826618"/>
          <a:ext cx="1455942" cy="1111343"/>
          <a:chOff x="8127375" y="1699127"/>
          <a:chExt cx="1082260" cy="830502"/>
        </a:xfrm>
      </xdr:grpSpPr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aphicFramePr/>
        </xdr:nvGraphicFramePr>
        <xdr:xfrm>
          <a:off x="8127375" y="1699127"/>
          <a:ext cx="1082260" cy="830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$AS$8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8531213" y="1947813"/>
            <a:ext cx="343818" cy="336160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298A3405-5FD1-40C0-A133-D94CBC5827CE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48%</a:t>
            </a:fld>
            <a:endParaRPr lang="en-US" sz="700" b="1"/>
          </a:p>
        </xdr:txBody>
      </xdr:sp>
    </xdr:grpSp>
    <xdr:clientData/>
  </xdr:twoCellAnchor>
  <xdr:twoCellAnchor>
    <xdr:from>
      <xdr:col>20</xdr:col>
      <xdr:colOff>445505</xdr:colOff>
      <xdr:row>8</xdr:row>
      <xdr:rowOff>122750</xdr:rowOff>
    </xdr:from>
    <xdr:to>
      <xdr:col>24</xdr:col>
      <xdr:colOff>381289</xdr:colOff>
      <xdr:row>15</xdr:row>
      <xdr:rowOff>178052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9770480" y="1618175"/>
          <a:ext cx="1726484" cy="1141152"/>
          <a:chOff x="8127382" y="1699124"/>
          <a:chExt cx="1248834" cy="976288"/>
        </a:xfrm>
      </xdr:grpSpPr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aphicFramePr/>
        </xdr:nvGraphicFramePr>
        <xdr:xfrm>
          <a:off x="8127382" y="1699124"/>
          <a:ext cx="1248834" cy="9762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$AS$7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8590781" y="2004846"/>
            <a:ext cx="320807" cy="363972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EF9B92FB-1262-4983-AEF0-3A23C1E2C3CE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56%</a:t>
            </a:fld>
            <a:endParaRPr lang="en-US" sz="700" b="1"/>
          </a:p>
        </xdr:txBody>
      </xdr:sp>
    </xdr:grpSp>
    <xdr:clientData/>
  </xdr:twoCellAnchor>
  <xdr:twoCellAnchor>
    <xdr:from>
      <xdr:col>20</xdr:col>
      <xdr:colOff>10885</xdr:colOff>
      <xdr:row>42</xdr:row>
      <xdr:rowOff>17929</xdr:rowOff>
    </xdr:from>
    <xdr:to>
      <xdr:col>25</xdr:col>
      <xdr:colOff>8965</xdr:colOff>
      <xdr:row>43</xdr:row>
      <xdr:rowOff>173421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9491216" y="6970522"/>
          <a:ext cx="2620411" cy="39197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baseline="0">
              <a:solidFill>
                <a:schemeClr val="bg1"/>
              </a:solidFill>
            </a:rPr>
            <a:t>Quarterly</a:t>
          </a:r>
          <a:endParaRPr lang="en-US" sz="105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210032</xdr:colOff>
      <xdr:row>1</xdr:row>
      <xdr:rowOff>140237</xdr:rowOff>
    </xdr:from>
    <xdr:to>
      <xdr:col>3</xdr:col>
      <xdr:colOff>435743</xdr:colOff>
      <xdr:row>4</xdr:row>
      <xdr:rowOff>93749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97" y="328496"/>
          <a:ext cx="1068393" cy="491394"/>
        </a:xfrm>
        <a:prstGeom prst="rect">
          <a:avLst/>
        </a:prstGeom>
      </xdr:spPr>
    </xdr:pic>
    <xdr:clientData/>
  </xdr:twoCellAnchor>
  <xdr:twoCellAnchor>
    <xdr:from>
      <xdr:col>14</xdr:col>
      <xdr:colOff>18916</xdr:colOff>
      <xdr:row>42</xdr:row>
      <xdr:rowOff>17369</xdr:rowOff>
    </xdr:from>
    <xdr:to>
      <xdr:col>19</xdr:col>
      <xdr:colOff>20633</xdr:colOff>
      <xdr:row>43</xdr:row>
      <xdr:rowOff>166321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 txBox="1"/>
      </xdr:nvSpPr>
      <xdr:spPr>
        <a:xfrm>
          <a:off x="6805198" y="6902263"/>
          <a:ext cx="2592517" cy="38203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0" baseline="0">
              <a:solidFill>
                <a:schemeClr val="bg1"/>
              </a:solidFill>
              <a:latin typeface="+mn-lt"/>
              <a:ea typeface="+mn-ea"/>
              <a:cs typeface="+mn-cs"/>
            </a:rPr>
            <a:t>  </a:t>
          </a:r>
          <a:r>
            <a:rPr lang="en-US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Monthly</a:t>
          </a:r>
          <a:r>
            <a:rPr lang="en-US" sz="1200" b="0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20</xdr:col>
      <xdr:colOff>0</xdr:colOff>
      <xdr:row>5</xdr:row>
      <xdr:rowOff>43544</xdr:rowOff>
    </xdr:from>
    <xdr:to>
      <xdr:col>25</xdr:col>
      <xdr:colOff>8965</xdr:colOff>
      <xdr:row>7</xdr:row>
      <xdr:rowOff>169231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9027459" y="769685"/>
          <a:ext cx="2626659" cy="529099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chemeClr val="bg1"/>
              </a:solidFill>
            </a:rPr>
            <a:t> </a:t>
          </a:r>
          <a:r>
            <a:rPr lang="en-US" sz="1200" b="1" baseline="0">
              <a:solidFill>
                <a:schemeClr val="bg1"/>
              </a:solidFill>
            </a:rPr>
            <a:t>Yearly</a:t>
          </a:r>
        </a:p>
      </xdr:txBody>
    </xdr:sp>
    <xdr:clientData/>
  </xdr:twoCellAnchor>
  <xdr:twoCellAnchor editAs="oneCell">
    <xdr:from>
      <xdr:col>2</xdr:col>
      <xdr:colOff>546847</xdr:colOff>
      <xdr:row>45</xdr:row>
      <xdr:rowOff>91150</xdr:rowOff>
    </xdr:from>
    <xdr:to>
      <xdr:col>4</xdr:col>
      <xdr:colOff>125506</xdr:colOff>
      <xdr:row>48</xdr:row>
      <xdr:rowOff>41951</xdr:rowOff>
    </xdr:to>
    <xdr:pic>
      <xdr:nvPicPr>
        <xdr:cNvPr id="51" name="Picture 50" descr="Excavator stock vector. Illustration of vector, shovel - 1541910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820" b="97541" l="844" r="991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494" y="7146374"/>
          <a:ext cx="968188" cy="497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32097</xdr:colOff>
      <xdr:row>44</xdr:row>
      <xdr:rowOff>168784</xdr:rowOff>
    </xdr:from>
    <xdr:to>
      <xdr:col>4</xdr:col>
      <xdr:colOff>797858</xdr:colOff>
      <xdr:row>48</xdr:row>
      <xdr:rowOff>47005</xdr:rowOff>
    </xdr:to>
    <xdr:pic>
      <xdr:nvPicPr>
        <xdr:cNvPr id="68" name="Picture 67" descr="Mining Haul Truck Isolated stock illustration. Illustration of truck ...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2424" b="88485" l="2841" r="9659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8670"/>
        <a:stretch/>
      </xdr:blipFill>
      <xdr:spPr bwMode="auto">
        <a:xfrm>
          <a:off x="2273273" y="6990925"/>
          <a:ext cx="765761" cy="65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89647</xdr:colOff>
      <xdr:row>45</xdr:row>
      <xdr:rowOff>61852</xdr:rowOff>
    </xdr:from>
    <xdr:to>
      <xdr:col>9</xdr:col>
      <xdr:colOff>53789</xdr:colOff>
      <xdr:row>48</xdr:row>
      <xdr:rowOff>130964</xdr:rowOff>
    </xdr:to>
    <xdr:pic>
      <xdr:nvPicPr>
        <xdr:cNvPr id="69" name="Picture 68" descr="Tipper - 6 Hino 500 / T005 Drawings - Hino 500 Fg Tipper Truck 2016 3d ...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18800" b="81100" l="3700" r="971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4413" b="11424"/>
        <a:stretch/>
      </xdr:blipFill>
      <xdr:spPr bwMode="auto">
        <a:xfrm>
          <a:off x="3935506" y="7117076"/>
          <a:ext cx="842683" cy="615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93504</xdr:colOff>
      <xdr:row>43</xdr:row>
      <xdr:rowOff>161359</xdr:rowOff>
    </xdr:from>
    <xdr:to>
      <xdr:col>12</xdr:col>
      <xdr:colOff>438882</xdr:colOff>
      <xdr:row>48</xdr:row>
      <xdr:rowOff>89641</xdr:rowOff>
    </xdr:to>
    <xdr:pic>
      <xdr:nvPicPr>
        <xdr:cNvPr id="72" name="Picture 71" descr="Premium Vector | Excavator heavy duty construction illustration logo vector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591" t="12150" r="8837" b="13808"/>
        <a:stretch/>
      </xdr:blipFill>
      <xdr:spPr bwMode="auto">
        <a:xfrm>
          <a:off x="4934445" y="6804206"/>
          <a:ext cx="1027080" cy="88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62</xdr:colOff>
      <xdr:row>44</xdr:row>
      <xdr:rowOff>17925</xdr:rowOff>
    </xdr:from>
    <xdr:to>
      <xdr:col>6</xdr:col>
      <xdr:colOff>817906</xdr:colOff>
      <xdr:row>48</xdr:row>
      <xdr:rowOff>116537</xdr:rowOff>
    </xdr:to>
    <xdr:pic>
      <xdr:nvPicPr>
        <xdr:cNvPr id="73" name="Picture 72" descr="Precision Works Hom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856" b="98930" l="3000" r="98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9450" y="6840066"/>
          <a:ext cx="953435" cy="878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600634</xdr:colOff>
      <xdr:row>50</xdr:row>
      <xdr:rowOff>116542</xdr:rowOff>
    </xdr:from>
    <xdr:to>
      <xdr:col>12</xdr:col>
      <xdr:colOff>761999</xdr:colOff>
      <xdr:row>58</xdr:row>
      <xdr:rowOff>217714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85073</xdr:colOff>
      <xdr:row>57</xdr:row>
      <xdr:rowOff>15240</xdr:rowOff>
    </xdr:from>
    <xdr:to>
      <xdr:col>24</xdr:col>
      <xdr:colOff>259080</xdr:colOff>
      <xdr:row>61</xdr:row>
      <xdr:rowOff>224466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465426</xdr:colOff>
      <xdr:row>50</xdr:row>
      <xdr:rowOff>61806</xdr:rowOff>
    </xdr:from>
    <xdr:to>
      <xdr:col>24</xdr:col>
      <xdr:colOff>458706</xdr:colOff>
      <xdr:row>56</xdr:row>
      <xdr:rowOff>178810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9790401" y="8396181"/>
          <a:ext cx="1783980" cy="1431454"/>
          <a:chOff x="6701235" y="6812094"/>
          <a:chExt cx="1886143" cy="1360532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6701235" y="6973132"/>
            <a:ext cx="1882588" cy="1199494"/>
            <a:chOff x="8115405" y="2438347"/>
            <a:chExt cx="1248833" cy="976289"/>
          </a:xfrm>
        </xdr:grpSpPr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aphicFramePr/>
          </xdr:nvGraphicFramePr>
          <xdr:xfrm>
            <a:off x="8115405" y="2438347"/>
            <a:ext cx="1248833" cy="97628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1"/>
            </a:graphicData>
          </a:graphic>
        </xdr:graphicFrame>
        <xdr:sp macro="" textlink="$AU$26">
          <xdr:nvSpPr>
            <xdr:cNvPr id="65" name="Oval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8565744" y="2732939"/>
              <a:ext cx="346555" cy="388380"/>
            </a:xfrm>
            <a:prstGeom prst="ellipse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fld id="{BB847B09-AA6F-458C-BE6B-B2B8446655AA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72%</a:t>
              </a:fld>
              <a:endParaRPr lang="en-US" sz="400" b="1"/>
            </a:p>
          </xdr:txBody>
        </xdr:sp>
      </xdr:grp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6703313" y="6812094"/>
            <a:ext cx="1884065" cy="333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0" baseline="0">
                <a:solidFill>
                  <a:srgbClr val="002060"/>
                </a:solidFill>
              </a:rPr>
              <a:t>ROM</a:t>
            </a:r>
            <a:endParaRPr lang="en-US" sz="1200" b="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20</xdr:col>
      <xdr:colOff>495505</xdr:colOff>
      <xdr:row>56</xdr:row>
      <xdr:rowOff>18443</xdr:rowOff>
    </xdr:from>
    <xdr:to>
      <xdr:col>24</xdr:col>
      <xdr:colOff>562625</xdr:colOff>
      <xdr:row>60</xdr:row>
      <xdr:rowOff>25037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9820480" y="9667268"/>
          <a:ext cx="1857820" cy="997194"/>
          <a:chOff x="6696963" y="6999902"/>
          <a:chExt cx="1884065" cy="969101"/>
        </a:xfrm>
      </xdr:grpSpPr>
      <xdr:sp macro="" textlink="$AU$33">
        <xdr:nvSpPr>
          <xdr:cNvPr id="61" name="Oval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7362342" y="7498810"/>
            <a:ext cx="498279" cy="470193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97D0D7BA-EC13-4FD3-82D9-DA0522F54AA9}" type="TxLink">
              <a:rPr lang="en-US" sz="11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44%</a:t>
            </a:fld>
            <a:endParaRPr lang="en-US" sz="700" b="1"/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6696963" y="6999902"/>
            <a:ext cx="1884065" cy="3335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0" baseline="0">
                <a:solidFill>
                  <a:srgbClr val="002060"/>
                </a:solidFill>
              </a:rPr>
              <a:t>FC</a:t>
            </a:r>
            <a:endParaRPr lang="en-US" sz="1200" b="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20</xdr:col>
      <xdr:colOff>9011</xdr:colOff>
      <xdr:row>44</xdr:row>
      <xdr:rowOff>3608</xdr:rowOff>
    </xdr:from>
    <xdr:to>
      <xdr:col>25</xdr:col>
      <xdr:colOff>0</xdr:colOff>
      <xdr:row>65</xdr:row>
      <xdr:rowOff>331693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9036470" y="7121584"/>
          <a:ext cx="2608683" cy="516902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466016</xdr:colOff>
      <xdr:row>61</xdr:row>
      <xdr:rowOff>173138</xdr:rowOff>
    </xdr:from>
    <xdr:to>
      <xdr:col>24</xdr:col>
      <xdr:colOff>577177</xdr:colOff>
      <xdr:row>66</xdr:row>
      <xdr:rowOff>60267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790991" y="11060213"/>
          <a:ext cx="1901861" cy="1296829"/>
          <a:chOff x="11609294" y="9233647"/>
          <a:chExt cx="1870332" cy="1149298"/>
        </a:xfrm>
      </xdr:grpSpPr>
      <xdr:graphicFrame macro="">
        <xdr:nvGraphicFramePr>
          <xdr:cNvPr id="79" name="Chart 78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GraphicFramePr>
            <a:graphicFrameLocks/>
          </xdr:cNvGraphicFramePr>
        </xdr:nvGraphicFramePr>
        <xdr:xfrm>
          <a:off x="11609294" y="9233647"/>
          <a:ext cx="1870332" cy="11492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$AU$28">
        <xdr:nvSpPr>
          <xdr:cNvPr id="76" name="Oval 7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12281533" y="9566136"/>
            <a:ext cx="523274" cy="477884"/>
          </a:xfrm>
          <a:prstGeom prst="ellipse">
            <a:avLst/>
          </a:prstGeom>
          <a:solidFill>
            <a:schemeClr val="bg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54DEDDA9-6A09-448F-886C-1A8748B41278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42%</a:t>
            </a:fld>
            <a:endParaRPr lang="en-US" sz="400" b="1"/>
          </a:p>
        </xdr:txBody>
      </xdr:sp>
    </xdr:grpSp>
    <xdr:clientData/>
  </xdr:twoCellAnchor>
  <xdr:twoCellAnchor>
    <xdr:from>
      <xdr:col>20</xdr:col>
      <xdr:colOff>451839</xdr:colOff>
      <xdr:row>60</xdr:row>
      <xdr:rowOff>244666</xdr:rowOff>
    </xdr:from>
    <xdr:to>
      <xdr:col>24</xdr:col>
      <xdr:colOff>549438</xdr:colOff>
      <xdr:row>62</xdr:row>
      <xdr:rowOff>84853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9508753" y="10901780"/>
          <a:ext cx="1937285" cy="340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FC Load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599291</xdr:colOff>
      <xdr:row>66</xdr:row>
      <xdr:rowOff>258058</xdr:rowOff>
    </xdr:from>
    <xdr:to>
      <xdr:col>13</xdr:col>
      <xdr:colOff>7620</xdr:colOff>
      <xdr:row>72</xdr:row>
      <xdr:rowOff>295264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54428</xdr:colOff>
          <xdr:row>30</xdr:row>
          <xdr:rowOff>3</xdr:rowOff>
        </xdr:from>
        <xdr:to>
          <xdr:col>3</xdr:col>
          <xdr:colOff>391885</xdr:colOff>
          <xdr:row>34</xdr:row>
          <xdr:rowOff>130631</xdr:rowOff>
        </xdr:to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00000000-0008-0000-0D00-000002000000}"/>
                </a:ext>
              </a:extLst>
            </xdr:cNvPr>
            <xdr:cNvPicPr preferRelativeResize="0">
              <a:picLocks/>
              <a:extLst>
                <a:ext uri="{84589F7E-364E-4C9E-8A38-B11213B215E9}">
                  <a14:cameraTool cellRange="Weat_Ico" spid="_x0000_s1263614"/>
                </a:ext>
              </a:extLst>
            </xdr:cNvPicPr>
          </xdr:nvPicPr>
          <xdr:blipFill rotWithShape="1">
            <a:blip xmlns:r="http://schemas.openxmlformats.org/officeDocument/2006/relationships" r:embed="rId24"/>
            <a:srcRect t="1" b="12352"/>
            <a:stretch>
              <a:fillRect/>
            </a:stretch>
          </xdr:blipFill>
          <xdr:spPr>
            <a:xfrm>
              <a:off x="903514" y="4724403"/>
              <a:ext cx="947057" cy="827314"/>
            </a:xfrm>
            <a:prstGeom prst="rect">
              <a:avLst/>
            </a:prstGeom>
            <a:ln>
              <a:noFill/>
            </a:ln>
          </xdr:spPr>
        </xdr:pic>
        <xdr:clientData/>
      </xdr:twoCellAnchor>
    </mc:Choice>
    <mc:Fallback/>
  </mc:AlternateContent>
  <xdr:twoCellAnchor>
    <xdr:from>
      <xdr:col>12</xdr:col>
      <xdr:colOff>740229</xdr:colOff>
      <xdr:row>56</xdr:row>
      <xdr:rowOff>152399</xdr:rowOff>
    </xdr:from>
    <xdr:to>
      <xdr:col>19</xdr:col>
      <xdr:colOff>66354</xdr:colOff>
      <xdr:row>61</xdr:row>
      <xdr:rowOff>217101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210207</xdr:colOff>
      <xdr:row>58</xdr:row>
      <xdr:rowOff>10511</xdr:rowOff>
    </xdr:from>
    <xdr:to>
      <xdr:col>16</xdr:col>
      <xdr:colOff>729343</xdr:colOff>
      <xdr:row>60</xdr:row>
      <xdr:rowOff>21773</xdr:rowOff>
    </xdr:to>
    <xdr:sp macro="" textlink="$AS$18">
      <xdr:nvSpPr>
        <xdr:cNvPr id="84" name="Oval 8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7861738" y="10421008"/>
          <a:ext cx="519136" cy="515758"/>
        </a:xfrm>
        <a:prstGeom prst="ellipse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C47BD108-89AD-49F4-978B-7FB7C10D9533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0%</a:t>
          </a:fld>
          <a:endParaRPr lang="en-US" sz="700" b="1"/>
        </a:p>
      </xdr:txBody>
    </xdr:sp>
    <xdr:clientData/>
  </xdr:twoCellAnchor>
  <xdr:twoCellAnchor>
    <xdr:from>
      <xdr:col>13</xdr:col>
      <xdr:colOff>108857</xdr:colOff>
      <xdr:row>55</xdr:row>
      <xdr:rowOff>228597</xdr:rowOff>
    </xdr:from>
    <xdr:to>
      <xdr:col>19</xdr:col>
      <xdr:colOff>94558</xdr:colOff>
      <xdr:row>57</xdr:row>
      <xdr:rowOff>78061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313714" y="9633854"/>
          <a:ext cx="2718015" cy="35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baseline="0">
              <a:solidFill>
                <a:srgbClr val="002060"/>
              </a:solidFill>
            </a:rPr>
            <a:t>FC </a:t>
          </a:r>
          <a:endParaRPr lang="en-US" sz="1200" b="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446311</xdr:colOff>
      <xdr:row>43</xdr:row>
      <xdr:rowOff>152404</xdr:rowOff>
    </xdr:from>
    <xdr:to>
      <xdr:col>24</xdr:col>
      <xdr:colOff>439594</xdr:colOff>
      <xdr:row>51</xdr:row>
      <xdr:rowOff>40808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9771286" y="7153279"/>
          <a:ext cx="1783983" cy="1412404"/>
          <a:chOff x="6701232" y="6812094"/>
          <a:chExt cx="1886146" cy="1360531"/>
        </a:xfrm>
      </xdr:grpSpPr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6701232" y="6973131"/>
            <a:ext cx="1882587" cy="1199494"/>
            <a:chOff x="8115407" y="2438346"/>
            <a:chExt cx="1248833" cy="976289"/>
          </a:xfrm>
        </xdr:grpSpPr>
        <xdr:graphicFrame macro="">
          <xdr:nvGraphicFramePr>
            <xdr:cNvPr id="89" name="Chart 88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aphicFramePr/>
          </xdr:nvGraphicFramePr>
          <xdr:xfrm>
            <a:off x="8115407" y="2438346"/>
            <a:ext cx="1248833" cy="97628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6"/>
            </a:graphicData>
          </a:graphic>
        </xdr:graphicFrame>
        <xdr:sp macro="" textlink="$AU$30">
          <xdr:nvSpPr>
            <xdr:cNvPr id="90" name="Oval 89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8583156" y="2749499"/>
              <a:ext cx="327334" cy="360877"/>
            </a:xfrm>
            <a:prstGeom prst="ellipse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fld id="{65184BF9-E2E4-4E9F-8662-8EA246130E1B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68%</a:t>
              </a:fld>
              <a:endParaRPr lang="en-US" sz="400" b="1"/>
            </a:p>
          </xdr:txBody>
        </xdr:sp>
      </xdr:grp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6703313" y="6812094"/>
            <a:ext cx="1884065" cy="333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0" baseline="0">
                <a:solidFill>
                  <a:srgbClr val="002060"/>
                </a:solidFill>
              </a:rPr>
              <a:t>OB</a:t>
            </a:r>
            <a:endParaRPr lang="en-US" sz="1200" b="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2</xdr:col>
      <xdr:colOff>600635</xdr:colOff>
      <xdr:row>73</xdr:row>
      <xdr:rowOff>43543</xdr:rowOff>
    </xdr:from>
    <xdr:to>
      <xdr:col>13</xdr:col>
      <xdr:colOff>8964</xdr:colOff>
      <xdr:row>85</xdr:row>
      <xdr:rowOff>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70625</xdr:colOff>
      <xdr:row>58</xdr:row>
      <xdr:rowOff>75243</xdr:rowOff>
    </xdr:from>
    <xdr:to>
      <xdr:col>12</xdr:col>
      <xdr:colOff>67260</xdr:colOff>
      <xdr:row>58</xdr:row>
      <xdr:rowOff>198120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99375" y="10219368"/>
          <a:ext cx="4340035" cy="122877"/>
          <a:chOff x="1526308" y="10485740"/>
          <a:chExt cx="4437255" cy="122877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526308" y="10527788"/>
            <a:ext cx="519954" cy="63542"/>
          </a:xfrm>
          <a:prstGeom prst="rect">
            <a:avLst/>
          </a:prstGeom>
          <a:solidFill>
            <a:srgbClr val="00CC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2009141" y="10493445"/>
            <a:ext cx="2162708" cy="1151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900" b="0">
                <a:solidFill>
                  <a:sysClr val="windowText" lastClr="000000"/>
                </a:solidFill>
              </a:rPr>
              <a:t>optimum water level</a:t>
            </a:r>
            <a:r>
              <a:rPr lang="en-US" sz="900" b="0" baseline="0">
                <a:solidFill>
                  <a:sysClr val="windowText" lastClr="000000"/>
                </a:solidFill>
              </a:rPr>
              <a:t> for loading (min. 9m)</a:t>
            </a:r>
            <a:endParaRPr lang="en-US" sz="9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4440727" y="10485740"/>
            <a:ext cx="1522836" cy="1130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800">
                <a:solidFill>
                  <a:sysClr val="windowText" lastClr="000000"/>
                </a:solidFill>
              </a:rPr>
              <a:t>: Actual FC Load</a:t>
            </a:r>
          </a:p>
        </xdr:txBody>
      </xdr:sp>
      <xdr:sp macro="" textlink="">
        <xdr:nvSpPr>
          <xdr:cNvPr id="91" name="Oval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4350075" y="10501507"/>
            <a:ext cx="92754" cy="84609"/>
          </a:xfrm>
          <a:prstGeom prst="ellipse">
            <a:avLst/>
          </a:prstGeom>
          <a:solidFill>
            <a:srgbClr val="FFFF0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30</xdr:row>
          <xdr:rowOff>0</xdr:rowOff>
        </xdr:from>
        <xdr:to>
          <xdr:col>3</xdr:col>
          <xdr:colOff>312420</xdr:colOff>
          <xdr:row>34</xdr:row>
          <xdr:rowOff>106680</xdr:rowOff>
        </xdr:to>
        <xdr:pic>
          <xdr:nvPicPr>
            <xdr:cNvPr id="623986" name="Picture 69">
              <a:extLst>
                <a:ext uri="{FF2B5EF4-FFF2-40B4-BE49-F238E27FC236}">
                  <a16:creationId xmlns:a16="http://schemas.microsoft.com/office/drawing/2014/main" id="{00000000-0008-0000-0000-0000728509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Weat_Ico" spid="_x0000_s1263615"/>
                </a:ext>
              </a:extLst>
            </xdr:cNvPicPr>
          </xdr:nvPicPr>
          <xdr:blipFill>
            <a:blip xmlns:r="http://schemas.openxmlformats.org/officeDocument/2006/relationships" r:embed="rId24"/>
            <a:srcRect t="2" b="12352"/>
            <a:stretch>
              <a:fillRect/>
            </a:stretch>
          </xdr:blipFill>
          <xdr:spPr bwMode="auto">
            <a:xfrm>
              <a:off x="894806" y="4909457"/>
              <a:ext cx="876300" cy="80336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600635</xdr:colOff>
      <xdr:row>59</xdr:row>
      <xdr:rowOff>34582</xdr:rowOff>
    </xdr:from>
    <xdr:to>
      <xdr:col>13</xdr:col>
      <xdr:colOff>3765</xdr:colOff>
      <xdr:row>66</xdr:row>
      <xdr:rowOff>195306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179916</xdr:colOff>
      <xdr:row>19</xdr:row>
      <xdr:rowOff>2964</xdr:rowOff>
    </xdr:from>
    <xdr:to>
      <xdr:col>10</xdr:col>
      <xdr:colOff>83820</xdr:colOff>
      <xdr:row>37</xdr:row>
      <xdr:rowOff>42334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198120</xdr:colOff>
      <xdr:row>19</xdr:row>
      <xdr:rowOff>0</xdr:rowOff>
    </xdr:from>
    <xdr:to>
      <xdr:col>24</xdr:col>
      <xdr:colOff>7620</xdr:colOff>
      <xdr:row>37</xdr:row>
      <xdr:rowOff>42333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  <a:ext uri="{147F2762-F138-4A5C-976F-8EAC2B608ADB}">
              <a16:predDERef xmlns:a16="http://schemas.microsoft.com/office/drawing/2014/main" pre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228601</xdr:colOff>
      <xdr:row>0</xdr:row>
      <xdr:rowOff>188323</xdr:rowOff>
    </xdr:from>
    <xdr:to>
      <xdr:col>2</xdr:col>
      <xdr:colOff>19051</xdr:colOff>
      <xdr:row>2</xdr:row>
      <xdr:rowOff>179069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1" y="188323"/>
          <a:ext cx="838200" cy="400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432100</xdr:colOff>
      <xdr:row>48</xdr:row>
      <xdr:rowOff>65617</xdr:rowOff>
    </xdr:from>
    <xdr:to>
      <xdr:col>17</xdr:col>
      <xdr:colOff>78316</xdr:colOff>
      <xdr:row>68</xdr:row>
      <xdr:rowOff>156633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H="1">
          <a:off x="360471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 flipH="1">
          <a:off x="4445159" y="15352059"/>
          <a:ext cx="9727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H="1">
          <a:off x="5207159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5957953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 flipH="1">
          <a:off x="6775983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 flipH="1">
          <a:off x="7638836" y="15352059"/>
          <a:ext cx="14209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/>
      </xdr:nvCxnSpPr>
      <xdr:spPr>
        <a:xfrm flipH="1">
          <a:off x="8445659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CxnSpPr/>
      </xdr:nvCxnSpPr>
      <xdr:spPr>
        <a:xfrm flipH="1">
          <a:off x="9308512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CxnSpPr/>
      </xdr:nvCxnSpPr>
      <xdr:spPr>
        <a:xfrm flipH="1">
          <a:off x="10171365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CxnSpPr/>
      </xdr:nvCxnSpPr>
      <xdr:spPr>
        <a:xfrm flipH="1">
          <a:off x="10922159" y="15352059"/>
          <a:ext cx="15330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CxnSpPr/>
      </xdr:nvCxnSpPr>
      <xdr:spPr>
        <a:xfrm flipH="1">
          <a:off x="11740189" y="15352059"/>
          <a:ext cx="1533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630677</xdr:colOff>
      <xdr:row>168</xdr:row>
      <xdr:rowOff>0</xdr:rowOff>
    </xdr:from>
    <xdr:to>
      <xdr:col>17</xdr:col>
      <xdr:colOff>747003</xdr:colOff>
      <xdr:row>168</xdr:row>
      <xdr:rowOff>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CxnSpPr/>
      </xdr:nvCxnSpPr>
      <xdr:spPr>
        <a:xfrm flipH="1">
          <a:off x="15565877" y="23431500"/>
          <a:ext cx="11632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CxnSpPr/>
      </xdr:nvCxnSpPr>
      <xdr:spPr>
        <a:xfrm flipH="1">
          <a:off x="12558218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CxnSpPr/>
      </xdr:nvCxnSpPr>
      <xdr:spPr>
        <a:xfrm flipH="1">
          <a:off x="133314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8" name="Straight Connector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49" name="Straight Connector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0" name="Straight Connector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1" name="Straight Connector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3" name="Straight Connector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5" name="Straight Connector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6" name="Straight Connector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7" name="Straight Connector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0" name="Straight Connector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6" name="Straight Connector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0" name="Straight Connector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2" name="Straight Connector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6" name="Straight Connector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7" name="Straight Connector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0" name="Straight Connector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82" name="Straight Connector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3" name="Straight Connector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CxnSpPr/>
      </xdr:nvCxnSpPr>
      <xdr:spPr>
        <a:xfrm flipH="1">
          <a:off x="14104630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6" name="Straight Connector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7" name="Straight Connector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0" name="Straight Connector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1" name="Straight Connector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3" name="Straight Connector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4" name="Straight Connector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5" name="Straight Connector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6" name="Straight Connector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7" name="Straight Connector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8" name="Straight Connector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399" name="Straight Connector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0" name="Straight Connector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2" name="Straight Connector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3" name="Straight Connector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4" name="Straight Connector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5" name="Straight Connector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6" name="Straight Connector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8" name="Straight Connector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09" name="Straight Connector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1" name="Straight Connector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2" name="Straight Connector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3" name="Straight Connector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4" name="Straight Connector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5" name="Straight Connector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6" name="Straight Connector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7" name="Straight Connector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8" name="Straight Connector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19" name="Straight Connector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0" name="Straight Connector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1" name="Straight Connector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2" name="Straight Connector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3" name="Straight Connector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4" name="Straight Connector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5" name="Straight Connector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6" name="Straight Connector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7" name="Straight Connector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28" name="Straight Connector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29" name="Straight Connector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30" name="Straight Connector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31" name="Straight Connector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2" name="Straight Connector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433" name="Straight Connector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CxnSpPr/>
      </xdr:nvCxnSpPr>
      <xdr:spPr>
        <a:xfrm flipH="1">
          <a:off x="14877836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4" name="Straight Connector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5" name="Straight Connector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6" name="Straight Connector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7" name="Straight Connector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8" name="Straight Connector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39" name="Straight Connector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0" name="Straight Connector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1" name="Straight Connector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2" name="Straight Connector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3" name="Straight Connector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4" name="Straight Connector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5" name="Straight Connector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6" name="Straight Connector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7" name="Straight Connector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8" name="Straight Connector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49" name="Straight Connector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0" name="Straight Connector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1" name="Straight Connector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2" name="Straight Connector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3" name="Straight Connector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4" name="Straight Connector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5" name="Straight Connector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6" name="Straight Connector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8" name="Straight Connector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59" name="Straight Connector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0" name="Straight Connector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1" name="Straight Connector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2" name="Straight Connector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3" name="Straight Connector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4" name="Straight Connector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5" name="Straight Connector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6" name="Straight Connector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69" name="Straight Connector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1" name="Straight Connector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2" name="Straight Connector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3" name="Straight Connector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4" name="Straight Connector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5" name="Straight Connector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7" name="Straight Connector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79" name="Straight Connector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81" name="Straight Connector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83" name="Straight Connector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485" name="Straight Connector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CxnSpPr/>
      </xdr:nvCxnSpPr>
      <xdr:spPr>
        <a:xfrm flipH="1">
          <a:off x="15651042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86" name="Straight Connector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87" name="Straight Connector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88" name="Straight Connector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89" name="Straight Connector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7" name="Straight Connector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8" name="Straight Connector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499" name="Straight Connector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1" name="Straight Connector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2" name="Straight Connector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3" name="Straight Connector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4" name="Straight Connector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7" name="Straight Connector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09" name="Straight Connector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0" name="Straight Connector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4" name="Straight Connector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5" name="Straight Connector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6" name="Straight Connector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7" name="Straight Connector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8" name="Straight Connector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0" name="Straight Connector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1" name="Straight Connector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2" name="Straight Connector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4" name="Straight Connector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5" name="Straight Connector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7" name="Straight Connector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8" name="Straight Connector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29" name="Straight Connector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0" name="Straight Connector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1" name="Straight Connector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2" name="Straight Connector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3" name="Straight Connector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4" name="Straight Connector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5" name="Straight Connector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36" name="Straight Connector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39" name="Straight Connector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540" name="Straight Connector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CxnSpPr/>
      </xdr:nvCxnSpPr>
      <xdr:spPr>
        <a:xfrm flipH="1">
          <a:off x="16424248" y="15352059"/>
          <a:ext cx="108481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1" name="Straight Connector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2" name="Straight Connector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3" name="Straight Connector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4" name="Straight Connector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5" name="Straight Connector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6" name="Straight Connector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7" name="Straight Connector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8" name="Straight Connector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49" name="Straight Connector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1" name="Straight Connector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2" name="Straight Connector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3" name="Straight Connector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5" name="Straight Connector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6" name="Straight Connector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7" name="Straight Connector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8" name="Straight Connector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59" name="Straight Connector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0" name="Straight Connector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1" name="Straight Connector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2" name="Straight Connector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3" name="Straight Connector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4" name="Straight Connector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5" name="Straight Connector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6" name="Straight Connector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7" name="Straight Connector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8" name="Straight Connector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69" name="Straight Connector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1" name="Straight Connector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3" name="Straight Connector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5" name="Straight Connector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6" name="Straight Connector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7" name="Straight Connector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8" name="Straight Connector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79" name="Straight Connector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1" name="Straight Connector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2" name="Straight Connector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3" name="Straight Connector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4" name="Straight Connector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5" name="Straight Connector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6" name="Straight Connector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7" name="Straight Connector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8" name="Straight Connector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89" name="Straight Connector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0" name="Straight Connector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1" name="Straight Connector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2" name="Straight Connector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594" name="Straight Connector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5" name="Straight Connector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6" name="Straight Connector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597" name="Straight Connector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598" name="Straight Connector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CxnSpPr/>
      </xdr:nvCxnSpPr>
      <xdr:spPr>
        <a:xfrm flipH="1">
          <a:off x="17197453" y="15352059"/>
          <a:ext cx="25415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599" name="Straight Connector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0" name="Straight Connector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1" name="Straight Connector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2" name="Straight Connector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3" name="Straight Connector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4" name="Straight Connector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5" name="Straight Connector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6" name="Straight Connector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7" name="Straight Connector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8" name="Straight Connector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09" name="Straight Connector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0" name="Straight Connector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2" name="Straight Connector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4" name="Straight Connector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5" name="Straight Connector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6" name="Straight Connector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7" name="Straight Connector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8" name="Straight Connector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19" name="Straight Connector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0" name="Straight Connector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1" name="Straight Connector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3" name="Straight Connector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4" name="Straight Connector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5" name="Straight Connector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6" name="Straight Connector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7" name="Straight Connector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8" name="Straight Connector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29" name="Straight Connector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0" name="Straight Connector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1" name="Straight Connector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2" name="Straight Connector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3" name="Straight Connector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4" name="Straight Connector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5" name="Straight Connector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6" name="Straight Connector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7" name="Straight Connector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8" name="Straight Connector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39" name="Straight Connector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0" name="Straight Connector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1" name="Straight Connector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2" name="Straight Connector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3" name="Straight Connector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4" name="Straight Connector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5" name="Straight Connector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6" name="Straight Connector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7" name="Straight Connector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8" name="Straight Connector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49" name="Straight Connector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0" name="Straight Connector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1" name="Straight Connector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2" name="Straight Connector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3" name="Straight Connector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4" name="Straight Connector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55" name="Straight Connector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6" name="Straight Connector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7" name="Straight Connector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58" name="Straight Connector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659" name="Straight Connector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CxnSpPr/>
      </xdr:nvCxnSpPr>
      <xdr:spPr>
        <a:xfrm flipH="1">
          <a:off x="18116336" y="15352059"/>
          <a:ext cx="198129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0" name="Straight Connector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1" name="Straight Connector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2" name="Straight Connector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3" name="Straight Connector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4" name="Straight Connector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5" name="Straight Connector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6" name="Straight Connector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7" name="Straight Connector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8" name="Straight Connector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69" name="Straight Connector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0" name="Straight Connector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1" name="Straight Connector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2" name="Straight Connector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3" name="Straight Connector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4" name="Straight Connector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5" name="Straight Connector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6" name="Straight Connector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7" name="Straight Connector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8" name="Straight Connector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79" name="Straight Connector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0" name="Straight Connector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1" name="Straight Connector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2" name="Straight Connector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3" name="Straight Connector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4" name="Straight Connector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5" name="Straight Connector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6" name="Straight Connector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7" name="Straight Connector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8" name="Straight Connector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89" name="Straight Connector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0" name="Straight Connector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1" name="Straight Connector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2" name="Straight Connector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3" name="Straight Connector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4" name="Straight Connector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5" name="Straight Connector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7" name="Straight Connector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8" name="Straight Connector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699" name="Straight Connector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0" name="Straight Connector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1" name="Straight Connector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2" name="Straight Connector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3" name="Straight Connector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4" name="Straight Connector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5" name="Straight Connector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6" name="Straight Connector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7" name="Straight Connector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8" name="Straight Connector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09" name="Straight Connector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0" name="Straight Connector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1" name="Straight Connector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2" name="Straight Connector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3" name="Straight Connector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4" name="Straight Connector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5" name="Straight Connector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6" name="Straight Connector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7" name="Straight Connector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18" name="Straight Connector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19" name="Straight Connector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20" name="Straight Connector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21" name="Straight Connector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2" name="Straight Connector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723" name="Straight Connector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CxnSpPr/>
      </xdr:nvCxnSpPr>
      <xdr:spPr>
        <a:xfrm flipH="1">
          <a:off x="18979189" y="15352059"/>
          <a:ext cx="2429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4" name="Straight Connector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5" name="Straight Connector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6" name="Straight Connector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7" name="Straight Connector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8" name="Straight Connector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29" name="Straight Connector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0" name="Straight Connector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1" name="Straight Connector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2" name="Straight Connector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3" name="Straight Connector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4" name="Straight Connector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5" name="Straight Connector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6" name="Straight Connector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7" name="Straight Connector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8" name="Straight Connector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39" name="Straight Connector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0" name="Straight Connector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1" name="Straight Connector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2" name="Straight Connector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3" name="Straight Connector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4" name="Straight Connector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5" name="Straight Connector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6" name="Straight Connector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7" name="Straight Connector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8" name="Straight Connector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49" name="Straight Connector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0" name="Straight Connector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1" name="Straight Connector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2" name="Straight Connector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3" name="Straight Connector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4" name="Straight Connector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5" name="Straight Connector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6" name="Straight Connector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7" name="Straight Connector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8" name="Straight Connector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59" name="Straight Connector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0" name="Straight Connector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1" name="Straight Connector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2" name="Straight Connector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3" name="Straight Connector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4" name="Straight Connector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5" name="Straight Connector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6" name="Straight Connector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7" name="Straight Connector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8" name="Straight Connector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69" name="Straight Connector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0" name="Straight Connector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1" name="Straight Connector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2" name="Straight Connector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3" name="Straight Connector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4" name="Straight Connector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5" name="Straight Connector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6" name="Straight Connector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7" name="Straight Connector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8" name="Straight Connector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79" name="Straight Connector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0" name="Straight Connector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1" name="Straight Connector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2" name="Straight Connector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3" name="Straight Connector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4" name="Straight Connector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5" name="Straight Connector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86" name="Straight Connector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7" name="Straight Connector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88" name="Straight Connector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89" name="Straight Connector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790" name="Straight Connector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CxnSpPr/>
      </xdr:nvCxnSpPr>
      <xdr:spPr>
        <a:xfrm flipH="1">
          <a:off x="19886865" y="15352059"/>
          <a:ext cx="18692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1" name="Straight Connector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2" name="Straight Connector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3" name="Straight Connector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4" name="Straight Connector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5" name="Straight Connector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6" name="Straight Connector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7" name="Straight Connector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8" name="Straight Connector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799" name="Straight Connector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0" name="Straight Connector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1" name="Straight Connector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2" name="Straight Connector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3" name="Straight Connector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4" name="Straight Connector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5" name="Straight Connector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6" name="Straight Connector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7" name="Straight Connector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8" name="Straight Connector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09" name="Straight Connector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0" name="Straight Connector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1" name="Straight Connector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2" name="Straight Connector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3" name="Straight Connector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4" name="Straight Connector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5" name="Straight Connector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6" name="Straight Connector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7" name="Straight Connector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8" name="Straight Connector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19" name="Straight Connector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0" name="Straight Connector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1" name="Straight Connector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2" name="Straight Connector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3" name="Straight Connector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4" name="Straight Connector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5" name="Straight Connector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6" name="Straight Connector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7" name="Straight Connector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8" name="Straight Connector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29" name="Straight Connector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0" name="Straight Connector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1" name="Straight Connector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2" name="Straight Connector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3" name="Straight Connector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4" name="Straight Connector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5" name="Straight Connector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6" name="Straight Connector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7" name="Straight Connector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8" name="Straight Connector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39" name="Straight Connector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0" name="Straight Connector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1" name="Straight Connector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2" name="Straight Connector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3" name="Straight Connector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4" name="Straight Connector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5" name="Straight Connector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6" name="Straight Connector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7" name="Straight Connector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8" name="Straight Connector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49" name="Straight Connector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0" name="Straight Connector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1" name="Straight Connector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2" name="Straight Connector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3" name="Straight Connector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4" name="Straight Connector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5" name="Straight Connector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56" name="Straight Connector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7" name="Straight Connector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58" name="Straight Connector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59" name="Straight Connector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860" name="Straight Connector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CxnSpPr/>
      </xdr:nvCxnSpPr>
      <xdr:spPr>
        <a:xfrm flipH="1">
          <a:off x="20738512" y="15352059"/>
          <a:ext cx="16451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1" name="Straight Connector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2" name="Straight Connector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3" name="Straight Connector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4" name="Straight Connector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5" name="Straight Connector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6" name="Straight Connector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7" name="Straight Connector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8" name="Straight Connector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69" name="Straight Connector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1" name="Straight Connector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3" name="Straight Connector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4" name="Straight Connector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5" name="Straight Connector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6" name="Straight Connector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7" name="Straight Connector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8" name="Straight Connector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79" name="Straight Connector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0" name="Straight Connector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1" name="Straight Connector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2" name="Straight Connector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3" name="Straight Connector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4" name="Straight Connector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5" name="Straight Connector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6" name="Straight Connector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7" name="Straight Connector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8" name="Straight Connector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89" name="Straight Connector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0" name="Straight Connector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1" name="Straight Connector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2" name="Straight Connector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3" name="Straight Connector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4" name="Straight Connector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5" name="Straight Connector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6" name="Straight Connector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7" name="Straight Connector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8" name="Straight Connector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0" name="Straight Connector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2" name="Straight Connector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3" name="Straight Connector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4" name="Straight Connector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5" name="Straight Connector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6" name="Straight Connector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7" name="Straight Connector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8" name="Straight Connector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09" name="Straight Connector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0" name="Straight Connector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1" name="Straight Connector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2" name="Straight Connector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3" name="Straight Connector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4" name="Straight Connector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5" name="Straight Connector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6" name="Straight Connector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7" name="Straight Connector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8" name="Straight Connector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19" name="Straight Connector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0" name="Straight Connector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1" name="Straight Connector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2" name="Straight Connector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3" name="Straight Connector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4" name="Straight Connector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5" name="Straight Connector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6" name="Straight Connector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7" name="Straight Connector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28" name="Straight Connector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29" name="Straight Connector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30" name="Straight Connector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31" name="Straight Connector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2" name="Straight Connector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933" name="Straight Connector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CxnSpPr/>
      </xdr:nvCxnSpPr>
      <xdr:spPr>
        <a:xfrm flipH="1">
          <a:off x="21567748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4" name="Straight Connector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5" name="Straight Connector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6" name="Straight Connector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7" name="Straight Connector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8" name="Straight Connector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39" name="Straight Connector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0" name="Straight Connector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1" name="Straight Connector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2" name="Straight Connector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3" name="Straight Connector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4" name="Straight Connector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5" name="Straight Connector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6" name="Straight Connector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7" name="Straight Connector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8" name="Straight Connector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49" name="Straight Connector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0" name="Straight Connector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1" name="Straight Connector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2" name="Straight Connector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3" name="Straight Connector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4" name="Straight Connector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5" name="Straight Connector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6" name="Straight Connector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7" name="Straight Connector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8" name="Straight Connector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59" name="Straight Connector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0" name="Straight Connector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1" name="Straight Connector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2" name="Straight Connector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3" name="Straight Connector 962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4" name="Straight Connector 963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5" name="Straight Connector 964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6" name="Straight Connector 965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7" name="Straight Connector 966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8" name="Straight Connector 967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69" name="Straight Connector 968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0" name="Straight Connector 969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1" name="Straight Connector 970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2" name="Straight Connector 971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3" name="Straight Connector 972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4" name="Straight Connector 973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5" name="Straight Connector 974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6" name="Straight Connector 975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7" name="Straight Connector 976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8" name="Straight Connector 977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79" name="Straight Connector 97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0" name="Straight Connector 979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1" name="Straight Connector 980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2" name="Straight Connector 981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3" name="Straight Connector 982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4" name="Straight Connector 983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5" name="Straight Connector 984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6" name="Straight Connector 985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7" name="Straight Connector 986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8" name="Straight Connector 987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89" name="Straight Connector 988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0" name="Straight Connector 989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1" name="Straight Connector 990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2" name="Straight Connector 991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3" name="Straight Connector 992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4" name="Straight Connector 99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5" name="Straight Connector 994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6" name="Straight Connector 995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7" name="Straight Connector 996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8" name="Straight Connector 997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999" name="Straight Connector 998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0" name="Straight Connector 999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1" name="Straight Connector 1000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2" name="Straight Connector 1001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3" name="Straight Connector 1002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4" name="Straight Connector 100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05" name="Straight Connector 1004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6" name="Straight Connector 1005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7" name="Straight Connector 1006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08" name="Straight Connector 1007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1009" name="Straight Connector 1008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CxnSpPr/>
      </xdr:nvCxnSpPr>
      <xdr:spPr>
        <a:xfrm flipH="1">
          <a:off x="22408189" y="15352059"/>
          <a:ext cx="13089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0" name="Straight Connector 1009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1" name="Straight Connector 1010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2" name="Straight Connector 1011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3" name="Straight Connector 1012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4" name="Straight Connector 101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5" name="Straight Connector 1014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6" name="Straight Connector 1015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7" name="Straight Connector 1016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8" name="Straight Connector 1017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19" name="Straight Connector 1018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0" name="Straight Connector 1019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1" name="Straight Connector 1020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2" name="Straight Connector 1021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3" name="Straight Connector 1022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4" name="Straight Connector 1023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5" name="Straight Connector 1024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6" name="Straight Connector 1025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8" name="Straight Connector 1027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29" name="Straight Connector 1028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0" name="Straight Connector 1029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1" name="Straight Connector 103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2" name="Straight Connector 1031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3" name="Straight Connector 1032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4" name="Straight Connector 1033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5" name="Straight Connector 1034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6" name="Straight Connector 1035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7" name="Straight Connector 1036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8" name="Straight Connector 1037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39" name="Straight Connector 1038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0" name="Straight Connector 1039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1" name="Straight Connector 10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2" name="Straight Connector 1041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3" name="Straight Connector 1042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4" name="Straight Connector 1043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5" name="Straight Connector 1044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6" name="Straight Connector 1045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7" name="Straight Connector 1046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8" name="Straight Connector 1047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49" name="Straight Connector 1048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0" name="Straight Connector 1049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1" name="Straight Connector 105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2" name="Straight Connector 1051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3" name="Straight Connector 1052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4" name="Straight Connector 1053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6" name="Straight Connector 1055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7" name="Straight Connector 1056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8" name="Straight Connector 1057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59" name="Straight Connector 1058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0" name="Straight Connector 1059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1" name="Straight Connector 106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2" name="Straight Connector 1061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3" name="Straight Connector 1062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4" name="Straight Connector 1063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5" name="Straight Connector 1064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6" name="Straight Connector 1065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7" name="Straight Connector 1066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8" name="Straight Connector 1067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69" name="Straight Connector 1068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0" name="Straight Connector 1069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1" name="Straight Connector 107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2" name="Straight Connector 1071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3" name="Straight Connector 1072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4" name="Straight Connector 1073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5" name="Straight Connector 107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6" name="Straight Connector 1075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7" name="Straight Connector 1076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8" name="Straight Connector 1077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79" name="Straight Connector 1078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1" name="Straight Connector 1080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2" name="Straight Connector 1081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3" name="Straight Connector 1082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84" name="Straight Connector 1083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5" name="Straight Connector 108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6" name="Straight Connector 1085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87" name="Straight Connector 1086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1088" name="Straight Connector 1087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CxnSpPr/>
      </xdr:nvCxnSpPr>
      <xdr:spPr>
        <a:xfrm flipH="1">
          <a:off x="23203806" y="15352059"/>
          <a:ext cx="13089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89" name="Straight Connector 1088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0" name="Straight Connector 1089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1" name="Straight Connector 1090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2" name="Straight Connector 1091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3" name="Straight Connector 1092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4" name="Straight Connector 1093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5" name="Straight Connector 109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6" name="Straight Connector 1095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7" name="Straight Connector 1096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8" name="Straight Connector 1097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099" name="Straight Connector 1098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0" name="Straight Connector 1099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1" name="Straight Connector 1100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2" name="Straight Connector 1101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3" name="Straight Connector 1102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4" name="Straight Connector 1103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5" name="Straight Connector 1104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6" name="Straight Connector 1105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7" name="Straight Connector 1106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8" name="Straight Connector 1107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09" name="Straight Connector 1108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0" name="Straight Connector 1109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1" name="Straight Connector 111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2" name="Straight Connector 1111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3" name="Straight Connector 1112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4" name="Straight Connector 1113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5" name="Straight Connector 1114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6" name="Straight Connector 1115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7" name="Straight Connector 1116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8" name="Straight Connector 1117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19" name="Straight Connector 1118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0" name="Straight Connector 1119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1" name="Straight Connector 112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2" name="Straight Connector 1121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3" name="Straight Connector 1122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4" name="Straight Connector 1123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5" name="Straight Connector 1124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6" name="Straight Connector 1125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7" name="Straight Connector 1126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8" name="Straight Connector 1127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29" name="Straight Connector 1128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0" name="Straight Connector 1129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1" name="Straight Connector 1130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2" name="Straight Connector 1131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3" name="Straight Connector 1132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4" name="Straight Connector 1133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5" name="Straight Connector 1134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6" name="Straight Connector 1135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7" name="Straight Connector 1136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8" name="Straight Connector 1137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39" name="Straight Connector 1138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0" name="Straight Connector 1139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1" name="Straight Connector 11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2" name="Straight Connector 1141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3" name="Straight Connector 1142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4" name="Straight Connector 1143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5" name="Straight Connector 1144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6" name="Straight Connector 1145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7" name="Straight Connector 1146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8" name="Straight Connector 1147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49" name="Straight Connector 1148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0" name="Straight Connector 1149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1" name="Straight Connector 1150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2" name="Straight Connector 1151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3" name="Straight Connector 1152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4" name="Straight Connector 1153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5" name="Straight Connector 1154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6" name="Straight Connector 1155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7" name="Straight Connector 1156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8" name="Straight Connector 1157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59" name="Straight Connector 115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0" name="Straight Connector 1159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1" name="Straight Connector 1160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2" name="Straight Connector 1161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3" name="Straight Connector 1162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4" name="Straight Connector 1163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5" name="Straight Connector 1164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66" name="Straight Connector 1165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7" name="Straight Connector 1166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68" name="Straight Connector 116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69" name="Straight Connector 1168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1170" name="Straight Connector 1169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CxnSpPr/>
      </xdr:nvCxnSpPr>
      <xdr:spPr>
        <a:xfrm flipH="1">
          <a:off x="23999424" y="15352059"/>
          <a:ext cx="20933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1" name="Straight Connector 1170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2" name="Straight Connector 1171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3" name="Straight Connector 1172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4" name="Straight Connector 1173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5" name="Straight Connector 1174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6" name="Straight Connector 1175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7" name="Straight Connector 1176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8" name="Straight Connector 117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79" name="Straight Connector 1178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0" name="Straight Connector 1179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1" name="Straight Connector 1180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2" name="Straight Connector 1181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3" name="Straight Connector 1182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4" name="Straight Connector 1183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5" name="Straight Connector 1184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6" name="Straight Connector 1185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7" name="Straight Connector 1186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8" name="Straight Connector 118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89" name="Straight Connector 1188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0" name="Straight Connector 1189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1" name="Straight Connector 119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2" name="Straight Connector 1191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3" name="Straight Connector 1192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4" name="Straight Connector 1193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5" name="Straight Connector 1194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6" name="Straight Connector 1195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7" name="Straight Connector 1196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8" name="Straight Connector 1197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199" name="Straight Connector 1198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0" name="Straight Connector 1199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1" name="Straight Connector 120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2" name="Straight Connector 1201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3" name="Straight Connector 1202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4" name="Straight Connector 1203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5" name="Straight Connector 1204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6" name="Straight Connector 1205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7" name="Straight Connector 1206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8" name="Straight Connector 1207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09" name="Straight Connector 1208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0" name="Straight Connector 1209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1" name="Straight Connector 121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2" name="Straight Connector 1211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3" name="Straight Connector 1212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4" name="Straight Connector 1213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5" name="Straight Connector 121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6" name="Straight Connector 1215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7" name="Straight Connector 1216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8" name="Straight Connector 1217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19" name="Straight Connector 1218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0" name="Straight Connector 1219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1" name="Straight Connector 1220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2" name="Straight Connector 1221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3" name="Straight Connector 1222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4" name="Straight Connector 1223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5" name="Straight Connector 122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6" name="Straight Connector 1225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7" name="Straight Connector 1226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8" name="Straight Connector 1227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29" name="Straight Connector 1228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0" name="Straight Connector 1229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1" name="Straight Connector 1230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2" name="Straight Connector 1231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3" name="Straight Connector 1232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4" name="Straight Connector 1233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5" name="Straight Connector 12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6" name="Straight Connector 1235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7" name="Straight Connector 1236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8" name="Straight Connector 1237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39" name="Straight Connector 1238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0" name="Straight Connector 1239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1" name="Straight Connector 1240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2" name="Straight Connector 1241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3" name="Straight Connector 1242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4" name="Straight Connector 1243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5" name="Straight Connector 1244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6" name="Straight Connector 1245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7" name="Straight Connector 1246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8" name="Straight Connector 1247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49" name="Straight Connector 124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50" name="Straight Connector 1249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51" name="Straight Connector 1250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52" name="Straight Connector 1251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53" name="Straight Connector 125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54" name="Straight Connector 125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1255" name="Straight Connector 1254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CxnSpPr/>
      </xdr:nvCxnSpPr>
      <xdr:spPr>
        <a:xfrm flipH="1">
          <a:off x="24873483" y="15352059"/>
          <a:ext cx="17571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56" name="Straight Connector 1255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57" name="Straight Connector 125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58" name="Straight Connector 1257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59" name="Straight Connector 1258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0" name="Straight Connector 1259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1" name="Straight Connector 1260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2" name="Straight Connector 1261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3" name="Straight Connector 1262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4" name="Straight Connector 1263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5" name="Straight Connector 1264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6" name="Straight Connector 1265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7" name="Straight Connector 1266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8" name="Straight Connector 1267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69" name="Straight Connector 126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0" name="Straight Connector 1269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1" name="Straight Connector 1270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2" name="Straight Connector 1271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3" name="Straight Connector 1272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4" name="Straight Connector 1273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5" name="Straight Connector 1274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6" name="Straight Connector 1275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7" name="Straight Connector 1276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8" name="Straight Connector 1277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79" name="Straight Connector 127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0" name="Straight Connector 1279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1" name="Straight Connector 1280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2" name="Straight Connector 1281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3" name="Straight Connector 1282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4" name="Straight Connector 1283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5" name="Straight Connector 1284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6" name="Straight Connector 1285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7" name="Straight Connector 1286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8" name="Straight Connector 1287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89" name="Straight Connector 128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0" name="Straight Connector 1289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1" name="Straight Connector 1290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2" name="Straight Connector 1291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3" name="Straight Connector 1292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4" name="Straight Connector 1293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5" name="Straight Connector 1294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6" name="Straight Connector 1295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7" name="Straight Connector 1296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8" name="Straight Connector 1297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299" name="Straight Connector 129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0" name="Straight Connector 1299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1" name="Straight Connector 1300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2" name="Straight Connector 1301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3" name="Straight Connector 1302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4" name="Straight Connector 1303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5" name="Straight Connector 1304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6" name="Straight Connector 1305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7" name="Straight Connector 1306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8" name="Straight Connector 1307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09" name="Straight Connector 130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0" name="Straight Connector 1309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1" name="Straight Connector 1310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2" name="Straight Connector 1311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3" name="Straight Connector 1312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4" name="Straight Connector 1313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5" name="Straight Connector 1314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6" name="Straight Connector 1315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7" name="Straight Connector 1316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8" name="Straight Connector 1317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19" name="Straight Connector 131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0" name="Straight Connector 1319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1" name="Straight Connector 1320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2" name="Straight Connector 1321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3" name="Straight Connector 1322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4" name="Straight Connector 1323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5" name="Straight Connector 1324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6" name="Straight Connector 1325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7" name="Straight Connector 1326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8" name="Straight Connector 13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29" name="Straight Connector 1328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0" name="Straight Connector 1329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1" name="Straight Connector 1330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2" name="Straight Connector 1331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3" name="Straight Connector 1332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4" name="Straight Connector 1333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5" name="Straight Connector 1334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6" name="Straight Connector 1335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7" name="Straight Connector 1336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38" name="Straight Connector 133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668777</xdr:colOff>
      <xdr:row>168</xdr:row>
      <xdr:rowOff>0</xdr:rowOff>
    </xdr:from>
    <xdr:to>
      <xdr:col>36</xdr:col>
      <xdr:colOff>4053</xdr:colOff>
      <xdr:row>168</xdr:row>
      <xdr:rowOff>0</xdr:rowOff>
    </xdr:to>
    <xdr:cxnSp macro="">
      <xdr:nvCxnSpPr>
        <xdr:cNvPr id="1339" name="Straight Connector 1338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CxnSpPr/>
      </xdr:nvCxnSpPr>
      <xdr:spPr>
        <a:xfrm flipH="1">
          <a:off x="26487130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40" name="Straight Connector 1339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41" name="Straight Connector 1340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668777</xdr:colOff>
      <xdr:row>168</xdr:row>
      <xdr:rowOff>0</xdr:rowOff>
    </xdr:from>
    <xdr:to>
      <xdr:col>36</xdr:col>
      <xdr:colOff>4053</xdr:colOff>
      <xdr:row>168</xdr:row>
      <xdr:rowOff>0</xdr:rowOff>
    </xdr:to>
    <xdr:cxnSp macro="">
      <xdr:nvCxnSpPr>
        <xdr:cNvPr id="1342" name="Straight Connector 1341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CxnSpPr/>
      </xdr:nvCxnSpPr>
      <xdr:spPr>
        <a:xfrm flipH="1">
          <a:off x="26487130" y="15352059"/>
          <a:ext cx="8607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1343" name="Straight Connector 1342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CxnSpPr/>
      </xdr:nvCxnSpPr>
      <xdr:spPr>
        <a:xfrm flipH="1">
          <a:off x="25713924" y="15352059"/>
          <a:ext cx="10848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44" name="Straight Connector 134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45" name="Straight Connector 134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46" name="Straight Connector 134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47" name="Straight Connector 134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48" name="Straight Connector 134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49" name="Straight Connector 134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50" name="Straight Connector 134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1" name="Straight Connector 135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668777</xdr:colOff>
      <xdr:row>168</xdr:row>
      <xdr:rowOff>0</xdr:rowOff>
    </xdr:from>
    <xdr:to>
      <xdr:col>8</xdr:col>
      <xdr:colOff>4053</xdr:colOff>
      <xdr:row>168</xdr:row>
      <xdr:rowOff>0</xdr:rowOff>
    </xdr:to>
    <xdr:cxnSp macro="">
      <xdr:nvCxnSpPr>
        <xdr:cNvPr id="1352" name="Straight Connector 135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H="1">
          <a:off x="6818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3" name="Straight Connector 135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4" name="Straight Connector 135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5" name="Straight Connector 135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6" name="Straight Connector 135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7" name="Straight Connector 1356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58" name="Straight Connector 135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59" name="Straight Connector 1358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60" name="Straight Connector 1359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1" name="Straight Connector 1360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668777</xdr:colOff>
      <xdr:row>168</xdr:row>
      <xdr:rowOff>0</xdr:rowOff>
    </xdr:from>
    <xdr:to>
      <xdr:col>9</xdr:col>
      <xdr:colOff>4053</xdr:colOff>
      <xdr:row>168</xdr:row>
      <xdr:rowOff>0</xdr:rowOff>
    </xdr:to>
    <xdr:cxnSp macro="">
      <xdr:nvCxnSpPr>
        <xdr:cNvPr id="1362" name="Straight Connector 136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 flipH="1">
          <a:off x="7595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3" name="Straight Connector 1362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4" name="Straight Connector 136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5" name="Straight Connector 136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6" name="Straight Connector 136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7" name="Straight Connector 136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8" name="Straight Connector 1367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69" name="Straight Connector 136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70" name="Straight Connector 1369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1" name="Straight Connector 1370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668777</xdr:colOff>
      <xdr:row>168</xdr:row>
      <xdr:rowOff>0</xdr:rowOff>
    </xdr:from>
    <xdr:to>
      <xdr:col>10</xdr:col>
      <xdr:colOff>4053</xdr:colOff>
      <xdr:row>168</xdr:row>
      <xdr:rowOff>0</xdr:rowOff>
    </xdr:to>
    <xdr:cxnSp macro="">
      <xdr:nvCxnSpPr>
        <xdr:cNvPr id="1372" name="Straight Connector 137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H="1">
          <a:off x="8372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3" name="Straight Connector 137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4" name="Straight Connector 137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5" name="Straight Connector 137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6" name="Straight Connector 137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7" name="Straight Connector 137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8" name="Straight Connector 137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79" name="Straight Connector 137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0" name="Straight Connector 137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1" name="Straight Connector 138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2" name="Straight Connector 138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3" name="Straight Connector 138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4" name="Straight Connector 138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85" name="Straight Connector 138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6" name="Straight Connector 138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668777</xdr:colOff>
      <xdr:row>168</xdr:row>
      <xdr:rowOff>0</xdr:rowOff>
    </xdr:from>
    <xdr:to>
      <xdr:col>11</xdr:col>
      <xdr:colOff>4053</xdr:colOff>
      <xdr:row>168</xdr:row>
      <xdr:rowOff>0</xdr:rowOff>
    </xdr:to>
    <xdr:cxnSp macro="">
      <xdr:nvCxnSpPr>
        <xdr:cNvPr id="1387" name="Straight Connector 138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91498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88" name="Straight Connector 138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89" name="Straight Connector 1388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0" name="Straight Connector 1389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1" name="Straight Connector 1390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2" name="Straight Connector 1391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3" name="Straight Connector 1392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4" name="Straight Connector 139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5" name="Straight Connector 1394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6" name="Straight Connector 1395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7" name="Straight Connector 1396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8" name="Straight Connector 1397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399" name="Straight Connector 1398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400" name="Straight Connector 1399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401" name="Straight Connector 1400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402" name="Straight Connector 1401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03" name="Straight Connector 1402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404" name="Straight Connector 140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668777</xdr:colOff>
      <xdr:row>168</xdr:row>
      <xdr:rowOff>0</xdr:rowOff>
    </xdr:from>
    <xdr:to>
      <xdr:col>12</xdr:col>
      <xdr:colOff>4053</xdr:colOff>
      <xdr:row>168</xdr:row>
      <xdr:rowOff>0</xdr:rowOff>
    </xdr:to>
    <xdr:cxnSp macro="">
      <xdr:nvCxnSpPr>
        <xdr:cNvPr id="1405" name="Straight Connector 1404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 flipH="1">
          <a:off x="99270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06" name="Straight Connector 1405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07" name="Straight Connector 1406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08" name="Straight Connector 1407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09" name="Straight Connector 1408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0" name="Straight Connector 1409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1" name="Straight Connector 1410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2" name="Straight Connector 1411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3" name="Straight Connector 1412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4" name="Straight Connector 141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5" name="Straight Connector 141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6" name="Straight Connector 1415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7" name="Straight Connector 1416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8" name="Straight Connector 1417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19" name="Straight Connector 1418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20" name="Straight Connector 1419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21" name="Straight Connector 1420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22" name="Straight Connector 1421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23" name="Straight Connector 1422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24" name="Straight Connector 142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25" name="Straight Connector 1424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668777</xdr:colOff>
      <xdr:row>168</xdr:row>
      <xdr:rowOff>0</xdr:rowOff>
    </xdr:from>
    <xdr:to>
      <xdr:col>13</xdr:col>
      <xdr:colOff>4053</xdr:colOff>
      <xdr:row>168</xdr:row>
      <xdr:rowOff>0</xdr:rowOff>
    </xdr:to>
    <xdr:cxnSp macro="">
      <xdr:nvCxnSpPr>
        <xdr:cNvPr id="1426" name="Straight Connector 1425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 flipH="1">
          <a:off x="107043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27" name="Straight Connector 1426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28" name="Straight Connector 1427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29" name="Straight Connector 1428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0" name="Straight Connector 1429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1" name="Straight Connector 1430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2" name="Straight Connector 1431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3" name="Straight Connector 1432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4" name="Straight Connector 143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5" name="Straight Connector 1434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6" name="Straight Connector 1435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7" name="Straight Connector 1436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8" name="Straight Connector 1437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39" name="Straight Connector 1438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0" name="Straight Connector 1439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1" name="Straight Connector 1440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2" name="Straight Connector 1441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3" name="Straight Connector 1442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4" name="Straight Connector 1443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5" name="Straight Connector 144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6" name="Straight Connector 1445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7" name="Straight Connector 1446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48" name="Straight Connector 1447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49" name="Straight Connector 1448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50" name="Straight Connector 1449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1" name="Straight Connector 1450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668777</xdr:colOff>
      <xdr:row>168</xdr:row>
      <xdr:rowOff>0</xdr:rowOff>
    </xdr:from>
    <xdr:to>
      <xdr:col>14</xdr:col>
      <xdr:colOff>4053</xdr:colOff>
      <xdr:row>168</xdr:row>
      <xdr:rowOff>0</xdr:rowOff>
    </xdr:to>
    <xdr:cxnSp macro="">
      <xdr:nvCxnSpPr>
        <xdr:cNvPr id="1452" name="Straight Connector 1451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/>
      </xdr:nvCxnSpPr>
      <xdr:spPr>
        <a:xfrm flipH="1">
          <a:off x="114815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3" name="Straight Connector 1452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4" name="Straight Connector 1453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5" name="Straight Connector 1454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6" name="Straight Connector 1455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7" name="Straight Connector 1456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8" name="Straight Connector 1457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59" name="Straight Connector 1458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0" name="Straight Connector 1459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1" name="Straight Connector 1460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2" name="Straight Connector 1461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3" name="Straight Connector 1462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4" name="Straight Connector 1463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5" name="Straight Connector 1464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6" name="Straight Connector 1465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7" name="Straight Connector 1466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8" name="Straight Connector 1467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69" name="Straight Connector 1468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0" name="Straight Connector 1469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1" name="Straight Connector 1470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2" name="Straight Connector 1471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3" name="Straight Connector 1472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4" name="Straight Connector 1473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5" name="Straight Connector 1474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76" name="Straight Connector 1475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7" name="Straight Connector 1476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78" name="Straight Connector 1477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79" name="Straight Connector 1478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668777</xdr:colOff>
      <xdr:row>168</xdr:row>
      <xdr:rowOff>0</xdr:rowOff>
    </xdr:from>
    <xdr:to>
      <xdr:col>15</xdr:col>
      <xdr:colOff>4053</xdr:colOff>
      <xdr:row>168</xdr:row>
      <xdr:rowOff>0</xdr:rowOff>
    </xdr:to>
    <xdr:cxnSp macro="">
      <xdr:nvCxnSpPr>
        <xdr:cNvPr id="1480" name="Straight Connector 1479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CxnSpPr/>
      </xdr:nvCxnSpPr>
      <xdr:spPr>
        <a:xfrm flipH="1">
          <a:off x="122587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1" name="Straight Connector 1480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2" name="Straight Connector 1481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3" name="Straight Connector 1482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4" name="Straight Connector 148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5" name="Straight Connector 1484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6" name="Straight Connector 1485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7" name="Straight Connector 1486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8" name="Straight Connector 1487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89" name="Straight Connector 1488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0" name="Straight Connector 1489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1" name="Straight Connector 1490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2" name="Straight Connector 1491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3" name="Straight Connector 1492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4" name="Straight Connector 1493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5" name="Straight Connector 1494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6" name="Straight Connector 1495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7" name="Straight Connector 1496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8" name="Straight Connector 1497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499" name="Straight Connector 1498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0" name="Straight Connector 1499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1" name="Straight Connector 1500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2" name="Straight Connector 1501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3" name="Straight Connector 1502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4" name="Straight Connector 1503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5" name="Straight Connector 1504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6" name="Straight Connector 1505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07" name="Straight Connector 1506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8" name="Straight Connector 1507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09" name="Straight Connector 1508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0" name="Straight Connector 1509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668777</xdr:colOff>
      <xdr:row>168</xdr:row>
      <xdr:rowOff>0</xdr:rowOff>
    </xdr:from>
    <xdr:to>
      <xdr:col>16</xdr:col>
      <xdr:colOff>4053</xdr:colOff>
      <xdr:row>168</xdr:row>
      <xdr:rowOff>0</xdr:rowOff>
    </xdr:to>
    <xdr:cxnSp macro="">
      <xdr:nvCxnSpPr>
        <xdr:cNvPr id="1511" name="Straight Connector 1510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CxnSpPr/>
      </xdr:nvCxnSpPr>
      <xdr:spPr>
        <a:xfrm flipH="1">
          <a:off x="130360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2" name="Straight Connector 1511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3" name="Straight Connector 1512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4" name="Straight Connector 151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5" name="Straight Connector 1514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6" name="Straight Connector 1515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7" name="Straight Connector 1516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8" name="Straight Connector 1517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19" name="Straight Connector 1518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0" name="Straight Connector 1519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1" name="Straight Connector 1520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2" name="Straight Connector 1521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3" name="Straight Connector 1522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4" name="Straight Connector 152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5" name="Straight Connector 1524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6" name="Straight Connector 1525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7" name="Straight Connector 1526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8" name="Straight Connector 1527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29" name="Straight Connector 1528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0" name="Straight Connector 1529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1" name="Straight Connector 1530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2" name="Straight Connector 1531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3" name="Straight Connector 1532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4" name="Straight Connector 1533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5" name="Straight Connector 1534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6" name="Straight Connector 1535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7" name="Straight Connector 1536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8" name="Straight Connector 1537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39" name="Straight Connector 1538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40" name="Straight Connector 1539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41" name="Straight Connector 1540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42" name="Straight Connector 1541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43" name="Straight Connector 1542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44" name="Straight Connector 154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668777</xdr:colOff>
      <xdr:row>168</xdr:row>
      <xdr:rowOff>0</xdr:rowOff>
    </xdr:from>
    <xdr:to>
      <xdr:col>17</xdr:col>
      <xdr:colOff>4053</xdr:colOff>
      <xdr:row>168</xdr:row>
      <xdr:rowOff>0</xdr:rowOff>
    </xdr:to>
    <xdr:cxnSp macro="">
      <xdr:nvCxnSpPr>
        <xdr:cNvPr id="1545" name="Straight Connector 1544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CxnSpPr/>
      </xdr:nvCxnSpPr>
      <xdr:spPr>
        <a:xfrm flipH="1">
          <a:off x="138132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46" name="Straight Connector 1545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47" name="Straight Connector 1546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48" name="Straight Connector 1547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49" name="Straight Connector 1548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0" name="Straight Connector 1549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1" name="Straight Connector 1550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2" name="Straight Connector 1551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3" name="Straight Connector 1552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4" name="Straight Connector 1553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5" name="Straight Connector 1554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6" name="Straight Connector 1555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7" name="Straight Connector 1556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8" name="Straight Connector 1557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59" name="Straight Connector 1558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0" name="Straight Connector 1559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1" name="Straight Connector 1560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2" name="Straight Connector 1561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3" name="Straight Connector 1562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4" name="Straight Connector 1563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5" name="Straight Connector 1564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6" name="Straight Connector 1565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7" name="Straight Connector 1566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8" name="Straight Connector 1567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69" name="Straight Connector 1568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0" name="Straight Connector 1569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1" name="Straight Connector 1570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2" name="Straight Connector 1571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3" name="Straight Connector 1572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4" name="Straight Connector 1573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5" name="Straight Connector 1574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6" name="Straight Connector 1575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7" name="Straight Connector 1576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78" name="Straight Connector 1577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79" name="Straight Connector 1578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80" name="Straight Connector 1579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1" name="Straight Connector 1580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668777</xdr:colOff>
      <xdr:row>168</xdr:row>
      <xdr:rowOff>0</xdr:rowOff>
    </xdr:from>
    <xdr:to>
      <xdr:col>18</xdr:col>
      <xdr:colOff>4053</xdr:colOff>
      <xdr:row>168</xdr:row>
      <xdr:rowOff>0</xdr:rowOff>
    </xdr:to>
    <xdr:cxnSp macro="">
      <xdr:nvCxnSpPr>
        <xdr:cNvPr id="1582" name="Straight Connector 1581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CxnSpPr/>
      </xdr:nvCxnSpPr>
      <xdr:spPr>
        <a:xfrm flipH="1">
          <a:off x="145905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3" name="Straight Connector 1582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4" name="Straight Connector 1583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5" name="Straight Connector 1584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6" name="Straight Connector 1585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7" name="Straight Connector 1586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8" name="Straight Connector 1587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89" name="Straight Connector 1588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0" name="Straight Connector 1589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1" name="Straight Connector 1590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2" name="Straight Connector 1591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3" name="Straight Connector 1592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4" name="Straight Connector 1593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5" name="Straight Connector 1594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6" name="Straight Connector 1595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7" name="Straight Connector 1596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8" name="Straight Connector 1597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599" name="Straight Connector 1598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0" name="Straight Connector 1599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1" name="Straight Connector 1600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2" name="Straight Connector 1601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3" name="Straight Connector 1602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4" name="Straight Connector 1603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5" name="Straight Connector 1604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6" name="Straight Connector 1605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7" name="Straight Connector 1606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8" name="Straight Connector 1607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09" name="Straight Connector 1608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0" name="Straight Connector 1609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1" name="Straight Connector 1610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2" name="Straight Connector 1611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3" name="Straight Connector 1612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4" name="Straight Connector 1613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5" name="Straight Connector 1614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6" name="Straight Connector 1615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7" name="Straight Connector 1616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18" name="Straight Connector 1617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19" name="Straight Connector 1618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20" name="Straight Connector 1619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1" name="Straight Connector 1620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668777</xdr:colOff>
      <xdr:row>168</xdr:row>
      <xdr:rowOff>0</xdr:rowOff>
    </xdr:from>
    <xdr:to>
      <xdr:col>19</xdr:col>
      <xdr:colOff>4053</xdr:colOff>
      <xdr:row>168</xdr:row>
      <xdr:rowOff>0</xdr:rowOff>
    </xdr:to>
    <xdr:cxnSp macro="">
      <xdr:nvCxnSpPr>
        <xdr:cNvPr id="1622" name="Straight Connector 1621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CxnSpPr/>
      </xdr:nvCxnSpPr>
      <xdr:spPr>
        <a:xfrm flipH="1">
          <a:off x="153677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3" name="Straight Connector 1622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4" name="Straight Connector 1623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5" name="Straight Connector 1624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6" name="Straight Connector 1625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7" name="Straight Connector 1626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8" name="Straight Connector 1627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29" name="Straight Connector 1628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0" name="Straight Connector 1629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1" name="Straight Connector 1630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2" name="Straight Connector 1631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3" name="Straight Connector 1632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4" name="Straight Connector 1633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5" name="Straight Connector 1634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6" name="Straight Connector 1635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7" name="Straight Connector 1636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8" name="Straight Connector 1637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39" name="Straight Connector 1638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0" name="Straight Connector 1639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1" name="Straight Connector 1640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2" name="Straight Connector 1641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3" name="Straight Connector 1642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4" name="Straight Connector 1643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5" name="Straight Connector 1644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6" name="Straight Connector 1645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7" name="Straight Connector 1646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8" name="Straight Connector 1647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49" name="Straight Connector 1648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0" name="Straight Connector 1649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1" name="Straight Connector 1650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2" name="Straight Connector 1651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3" name="Straight Connector 1652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4" name="Straight Connector 1653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5" name="Straight Connector 1654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6" name="Straight Connector 1655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7" name="Straight Connector 1656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8" name="Straight Connector 1657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59" name="Straight Connector 1658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60" name="Straight Connector 1659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61" name="Straight Connector 1660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62" name="Straight Connector 1661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63" name="Straight Connector 1662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64" name="Straight Connector 1663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668777</xdr:colOff>
      <xdr:row>168</xdr:row>
      <xdr:rowOff>0</xdr:rowOff>
    </xdr:from>
    <xdr:to>
      <xdr:col>20</xdr:col>
      <xdr:colOff>4053</xdr:colOff>
      <xdr:row>168</xdr:row>
      <xdr:rowOff>0</xdr:rowOff>
    </xdr:to>
    <xdr:cxnSp macro="">
      <xdr:nvCxnSpPr>
        <xdr:cNvPr id="1665" name="Straight Connector 1664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CxnSpPr/>
      </xdr:nvCxnSpPr>
      <xdr:spPr>
        <a:xfrm flipH="1">
          <a:off x="161449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66" name="Straight Connector 1665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67" name="Straight Connector 1666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68" name="Straight Connector 1667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69" name="Straight Connector 1668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0" name="Straight Connector 1669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1" name="Straight Connector 1670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2" name="Straight Connector 1671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3" name="Straight Connector 1672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4" name="Straight Connector 1673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5" name="Straight Connector 1674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6" name="Straight Connector 1675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7" name="Straight Connector 1676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8" name="Straight Connector 1677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79" name="Straight Connector 1678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0" name="Straight Connector 1679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1" name="Straight Connector 1680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2" name="Straight Connector 1681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3" name="Straight Connector 1682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4" name="Straight Connector 1683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5" name="Straight Connector 1684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6" name="Straight Connector 1685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7" name="Straight Connector 1686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8" name="Straight Connector 1687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89" name="Straight Connector 1688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0" name="Straight Connector 1689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1" name="Straight Connector 1690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2" name="Straight Connector 1691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3" name="Straight Connector 1692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4" name="Straight Connector 1693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5" name="Straight Connector 1694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6" name="Straight Connector 1695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7" name="Straight Connector 1696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8" name="Straight Connector 1697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699" name="Straight Connector 1698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0" name="Straight Connector 1699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1" name="Straight Connector 1700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2" name="Straight Connector 1701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3" name="Straight Connector 1702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4" name="Straight Connector 1703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5" name="Straight Connector 1704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6" name="Straight Connector 1705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07" name="Straight Connector 1706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8" name="Straight Connector 1707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09" name="Straight Connector 1708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0" name="Straight Connector 1709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668777</xdr:colOff>
      <xdr:row>168</xdr:row>
      <xdr:rowOff>0</xdr:rowOff>
    </xdr:from>
    <xdr:to>
      <xdr:col>21</xdr:col>
      <xdr:colOff>4053</xdr:colOff>
      <xdr:row>168</xdr:row>
      <xdr:rowOff>0</xdr:rowOff>
    </xdr:to>
    <xdr:cxnSp macro="">
      <xdr:nvCxnSpPr>
        <xdr:cNvPr id="1711" name="Straight Connector 1710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CxnSpPr/>
      </xdr:nvCxnSpPr>
      <xdr:spPr>
        <a:xfrm flipH="1">
          <a:off x="169222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2" name="Straight Connector 1711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3" name="Straight Connector 1712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4" name="Straight Connector 1713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5" name="Straight Connector 1714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6" name="Straight Connector 1715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7" name="Straight Connector 1716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8" name="Straight Connector 1717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19" name="Straight Connector 1718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0" name="Straight Connector 1719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1" name="Straight Connector 1720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2" name="Straight Connector 1721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3" name="Straight Connector 1722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4" name="Straight Connector 1723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5" name="Straight Connector 1724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6" name="Straight Connector 1725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7" name="Straight Connector 1726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8" name="Straight Connector 1727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29" name="Straight Connector 1728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0" name="Straight Connector 1729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1" name="Straight Connector 1730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2" name="Straight Connector 1731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3" name="Straight Connector 1732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4" name="Straight Connector 1733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5" name="Straight Connector 1734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6" name="Straight Connector 1735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7" name="Straight Connector 1736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8" name="Straight Connector 1737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39" name="Straight Connector 1738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0" name="Straight Connector 1739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1" name="Straight Connector 1740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2" name="Straight Connector 1741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3" name="Straight Connector 1742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4" name="Straight Connector 1743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5" name="Straight Connector 1744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6" name="Straight Connector 1745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7" name="Straight Connector 1746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8" name="Straight Connector 1747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49" name="Straight Connector 1748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0" name="Straight Connector 1749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1" name="Straight Connector 1750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2" name="Straight Connector 1751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3" name="Straight Connector 1752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4" name="Straight Connector 1753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5" name="Straight Connector 1754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56" name="Straight Connector 1755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7" name="Straight Connector 1756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58" name="Straight Connector 1757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59" name="Straight Connector 1758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668777</xdr:colOff>
      <xdr:row>168</xdr:row>
      <xdr:rowOff>0</xdr:rowOff>
    </xdr:from>
    <xdr:to>
      <xdr:col>22</xdr:col>
      <xdr:colOff>4053</xdr:colOff>
      <xdr:row>168</xdr:row>
      <xdr:rowOff>0</xdr:rowOff>
    </xdr:to>
    <xdr:cxnSp macro="">
      <xdr:nvCxnSpPr>
        <xdr:cNvPr id="1760" name="Straight Connector 1759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CxnSpPr/>
      </xdr:nvCxnSpPr>
      <xdr:spPr>
        <a:xfrm flipH="1">
          <a:off x="176994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1" name="Straight Connector 1760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2" name="Straight Connector 1761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3" name="Straight Connector 1762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4" name="Straight Connector 1763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5" name="Straight Connector 1764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6" name="Straight Connector 1765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7" name="Straight Connector 1766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8" name="Straight Connector 1767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69" name="Straight Connector 1768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0" name="Straight Connector 1769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1" name="Straight Connector 1770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2" name="Straight Connector 1771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3" name="Straight Connector 1772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4" name="Straight Connector 1773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5" name="Straight Connector 1774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6" name="Straight Connector 1775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7" name="Straight Connector 1776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8" name="Straight Connector 1777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79" name="Straight Connector 1778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0" name="Straight Connector 1779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1" name="Straight Connector 1780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2" name="Straight Connector 1781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3" name="Straight Connector 1782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4" name="Straight Connector 1783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5" name="Straight Connector 1784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6" name="Straight Connector 1785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7" name="Straight Connector 1786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8" name="Straight Connector 1787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89" name="Straight Connector 1788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0" name="Straight Connector 1789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1" name="Straight Connector 1790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2" name="Straight Connector 1791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3" name="Straight Connector 1792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4" name="Straight Connector 1793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5" name="Straight Connector 1794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6" name="Straight Connector 1795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7" name="Straight Connector 1796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8" name="Straight Connector 1797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799" name="Straight Connector 1798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0" name="Straight Connector 1799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1" name="Straight Connector 1800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2" name="Straight Connector 1801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3" name="Straight Connector 1802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4" name="Straight Connector 180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5" name="Straight Connector 1804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6" name="Straight Connector 1805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7" name="Straight Connector 1806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08" name="Straight Connector 1807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09" name="Straight Connector 1808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10" name="Straight Connector 1809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1" name="Straight Connector 1810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668777</xdr:colOff>
      <xdr:row>168</xdr:row>
      <xdr:rowOff>0</xdr:rowOff>
    </xdr:from>
    <xdr:to>
      <xdr:col>23</xdr:col>
      <xdr:colOff>4053</xdr:colOff>
      <xdr:row>168</xdr:row>
      <xdr:rowOff>0</xdr:rowOff>
    </xdr:to>
    <xdr:cxnSp macro="">
      <xdr:nvCxnSpPr>
        <xdr:cNvPr id="1812" name="Straight Connector 1811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CxnSpPr/>
      </xdr:nvCxnSpPr>
      <xdr:spPr>
        <a:xfrm flipH="1">
          <a:off x="184767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3" name="Straight Connector 1812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4" name="Straight Connector 1813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5" name="Straight Connector 1814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6" name="Straight Connector 1815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7" name="Straight Connector 1816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8" name="Straight Connector 1817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19" name="Straight Connector 1818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0" name="Straight Connector 1819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1" name="Straight Connector 1820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2" name="Straight Connector 1821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3" name="Straight Connector 1822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4" name="Straight Connector 1823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5" name="Straight Connector 1824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6" name="Straight Connector 1825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7" name="Straight Connector 1826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8" name="Straight Connector 1827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29" name="Straight Connector 1828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0" name="Straight Connector 1829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1" name="Straight Connector 1830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2" name="Straight Connector 1831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3" name="Straight Connector 1832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4" name="Straight Connector 1833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5" name="Straight Connector 1834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6" name="Straight Connector 1835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7" name="Straight Connector 1836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8" name="Straight Connector 1837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39" name="Straight Connector 1838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0" name="Straight Connector 1839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1" name="Straight Connector 1840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2" name="Straight Connector 1841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3" name="Straight Connector 1842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4" name="Straight Connector 1843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5" name="Straight Connector 1844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6" name="Straight Connector 1845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7" name="Straight Connector 1846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8" name="Straight Connector 1847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49" name="Straight Connector 1848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0" name="Straight Connector 1849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1" name="Straight Connector 1850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2" name="Straight Connector 1851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3" name="Straight Connector 1852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4" name="Straight Connector 1853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5" name="Straight Connector 1854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6" name="Straight Connector 1855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7" name="Straight Connector 1856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8" name="Straight Connector 1857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59" name="Straight Connector 1858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60" name="Straight Connector 1859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61" name="Straight Connector 1860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62" name="Straight Connector 1861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63" name="Straight Connector 1862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64" name="Straight Connector 1863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65" name="Straight Connector 1864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66" name="Straight Connector 1865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668777</xdr:colOff>
      <xdr:row>168</xdr:row>
      <xdr:rowOff>0</xdr:rowOff>
    </xdr:from>
    <xdr:to>
      <xdr:col>24</xdr:col>
      <xdr:colOff>4053</xdr:colOff>
      <xdr:row>168</xdr:row>
      <xdr:rowOff>0</xdr:rowOff>
    </xdr:to>
    <xdr:cxnSp macro="">
      <xdr:nvCxnSpPr>
        <xdr:cNvPr id="1867" name="Straight Connector 1866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CxnSpPr/>
      </xdr:nvCxnSpPr>
      <xdr:spPr>
        <a:xfrm flipH="1">
          <a:off x="192539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68" name="Straight Connector 1867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69" name="Straight Connector 1868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0" name="Straight Connector 1869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1" name="Straight Connector 1870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2" name="Straight Connector 1871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3" name="Straight Connector 1872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4" name="Straight Connector 1873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5" name="Straight Connector 1874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6" name="Straight Connector 1875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7" name="Straight Connector 1876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8" name="Straight Connector 1877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79" name="Straight Connector 1878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0" name="Straight Connector 1879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1" name="Straight Connector 1880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2" name="Straight Connector 1881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3" name="Straight Connector 1882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4" name="Straight Connector 1883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5" name="Straight Connector 1884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6" name="Straight Connector 1885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7" name="Straight Connector 1886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8" name="Straight Connector 1887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89" name="Straight Connector 1888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0" name="Straight Connector 1889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1" name="Straight Connector 1890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2" name="Straight Connector 1891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3" name="Straight Connector 1892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4" name="Straight Connector 1893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5" name="Straight Connector 1894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6" name="Straight Connector 1895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7" name="Straight Connector 1896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8" name="Straight Connector 1897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899" name="Straight Connector 1898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0" name="Straight Connector 1899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1" name="Straight Connector 1900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2" name="Straight Connector 1901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3" name="Straight Connector 1902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4" name="Straight Connector 1903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5" name="Straight Connector 1904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6" name="Straight Connector 1905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7" name="Straight Connector 1906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8" name="Straight Connector 1907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09" name="Straight Connector 1908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0" name="Straight Connector 1909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1" name="Straight Connector 1910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2" name="Straight Connector 1911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3" name="Straight Connector 1912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4" name="Straight Connector 1913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5" name="Straight Connector 1914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6" name="Straight Connector 1915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7" name="Straight Connector 1916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8" name="Straight Connector 1917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19" name="Straight Connector 1918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20" name="Straight Connector 1919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21" name="Straight Connector 1920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22" name="Straight Connector 1921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23" name="Straight Connector 1922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24" name="Straight Connector 1923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668777</xdr:colOff>
      <xdr:row>168</xdr:row>
      <xdr:rowOff>0</xdr:rowOff>
    </xdr:from>
    <xdr:to>
      <xdr:col>25</xdr:col>
      <xdr:colOff>4053</xdr:colOff>
      <xdr:row>168</xdr:row>
      <xdr:rowOff>0</xdr:rowOff>
    </xdr:to>
    <xdr:cxnSp macro="">
      <xdr:nvCxnSpPr>
        <xdr:cNvPr id="1925" name="Straight Connector 1924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CxnSpPr/>
      </xdr:nvCxnSpPr>
      <xdr:spPr>
        <a:xfrm flipH="1">
          <a:off x="200311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26" name="Straight Connector 1925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27" name="Straight Connector 1926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28" name="Straight Connector 1927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29" name="Straight Connector 1928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0" name="Straight Connector 1929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1" name="Straight Connector 1930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2" name="Straight Connector 1931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3" name="Straight Connector 1932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4" name="Straight Connector 1933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5" name="Straight Connector 1934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6" name="Straight Connector 1935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7" name="Straight Connector 1936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8" name="Straight Connector 1937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39" name="Straight Connector 1938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0" name="Straight Connector 1939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1" name="Straight Connector 1940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2" name="Straight Connector 1941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3" name="Straight Connector 1942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4" name="Straight Connector 1943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5" name="Straight Connector 1944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6" name="Straight Connector 1945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7" name="Straight Connector 1946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8" name="Straight Connector 1947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49" name="Straight Connector 1948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0" name="Straight Connector 1949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1" name="Straight Connector 1950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2" name="Straight Connector 1951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3" name="Straight Connector 1952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4" name="Straight Connector 1953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5" name="Straight Connector 1954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6" name="Straight Connector 1955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7" name="Straight Connector 1956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8" name="Straight Connector 1957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59" name="Straight Connector 1958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0" name="Straight Connector 1959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1" name="Straight Connector 1960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2" name="Straight Connector 1961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3" name="Straight Connector 1962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4" name="Straight Connector 1963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5" name="Straight Connector 1964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6" name="Straight Connector 1965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7" name="Straight Connector 1966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8" name="Straight Connector 1967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69" name="Straight Connector 1968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0" name="Straight Connector 1969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1" name="Straight Connector 1970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2" name="Straight Connector 1971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3" name="Straight Connector 1972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4" name="Straight Connector 1973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5" name="Straight Connector 1974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6" name="Straight Connector 1975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7" name="Straight Connector 1976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8" name="Straight Connector 1977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79" name="Straight Connector 1978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80" name="Straight Connector 1979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81" name="Straight Connector 1980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82" name="Straight Connector 1981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83" name="Straight Connector 1982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84" name="Straight Connector 1983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85" name="Straight Connector 1984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668777</xdr:colOff>
      <xdr:row>168</xdr:row>
      <xdr:rowOff>0</xdr:rowOff>
    </xdr:from>
    <xdr:to>
      <xdr:col>26</xdr:col>
      <xdr:colOff>4053</xdr:colOff>
      <xdr:row>168</xdr:row>
      <xdr:rowOff>0</xdr:rowOff>
    </xdr:to>
    <xdr:cxnSp macro="">
      <xdr:nvCxnSpPr>
        <xdr:cNvPr id="1986" name="Straight Connector 1985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CxnSpPr/>
      </xdr:nvCxnSpPr>
      <xdr:spPr>
        <a:xfrm flipH="1">
          <a:off x="208084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87" name="Straight Connector 1986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88" name="Straight Connector 1987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89" name="Straight Connector 1988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0" name="Straight Connector 1989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1" name="Straight Connector 1990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2" name="Straight Connector 1991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3" name="Straight Connector 1992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4" name="Straight Connector 1993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5" name="Straight Connector 1994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6" name="Straight Connector 1995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7" name="Straight Connector 1996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8" name="Straight Connector 1997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1999" name="Straight Connector 1998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0" name="Straight Connector 1999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1" name="Straight Connector 2000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2" name="Straight Connector 2001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3" name="Straight Connector 2002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4" name="Straight Connector 2003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5" name="Straight Connector 2004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6" name="Straight Connector 2005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7" name="Straight Connector 2006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8" name="Straight Connector 2007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09" name="Straight Connector 2008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0" name="Straight Connector 2009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1" name="Straight Connector 2010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2" name="Straight Connector 2011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3" name="Straight Connector 2012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4" name="Straight Connector 2013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5" name="Straight Connector 2014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6" name="Straight Connector 2015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7" name="Straight Connector 2016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8" name="Straight Connector 2017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19" name="Straight Connector 2018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0" name="Straight Connector 2019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1" name="Straight Connector 2020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2" name="Straight Connector 2021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3" name="Straight Connector 2022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4" name="Straight Connector 2023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5" name="Straight Connector 2024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6" name="Straight Connector 2025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7" name="Straight Connector 2026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8" name="Straight Connector 2027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29" name="Straight Connector 2028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0" name="Straight Connector 2029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1" name="Straight Connector 2030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2" name="Straight Connector 2031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3" name="Straight Connector 2032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4" name="Straight Connector 2033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5" name="Straight Connector 2034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6" name="Straight Connector 2035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7" name="Straight Connector 2036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8" name="Straight Connector 2037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39" name="Straight Connector 2038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0" name="Straight Connector 2039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1" name="Straight Connector 2040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2" name="Straight Connector 2041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3" name="Straight Connector 2042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4" name="Straight Connector 2043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5" name="Straight Connector 2044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46" name="Straight Connector 2045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7" name="Straight Connector 2046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48" name="Straight Connector 2047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49" name="Straight Connector 2048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668777</xdr:colOff>
      <xdr:row>168</xdr:row>
      <xdr:rowOff>0</xdr:rowOff>
    </xdr:from>
    <xdr:to>
      <xdr:col>27</xdr:col>
      <xdr:colOff>4053</xdr:colOff>
      <xdr:row>168</xdr:row>
      <xdr:rowOff>0</xdr:rowOff>
    </xdr:to>
    <xdr:cxnSp macro="">
      <xdr:nvCxnSpPr>
        <xdr:cNvPr id="2050" name="Straight Connector 2049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CxnSpPr/>
      </xdr:nvCxnSpPr>
      <xdr:spPr>
        <a:xfrm flipH="1">
          <a:off x="215856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1" name="Straight Connector 2050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2" name="Straight Connector 2051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3" name="Straight Connector 2052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4" name="Straight Connector 2053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5" name="Straight Connector 2054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6" name="Straight Connector 2055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7" name="Straight Connector 2056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8" name="Straight Connector 2057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59" name="Straight Connector 2058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0" name="Straight Connector 2059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1" name="Straight Connector 2060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2" name="Straight Connector 2061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3" name="Straight Connector 2062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4" name="Straight Connector 2063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5" name="Straight Connector 2064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6" name="Straight Connector 2065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7" name="Straight Connector 2066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8" name="Straight Connector 2067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69" name="Straight Connector 2068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0" name="Straight Connector 2069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1" name="Straight Connector 2070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2" name="Straight Connector 2071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3" name="Straight Connector 2072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4" name="Straight Connector 2073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5" name="Straight Connector 2074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6" name="Straight Connector 2075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7" name="Straight Connector 2076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8" name="Straight Connector 2077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79" name="Straight Connector 2078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0" name="Straight Connector 2079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1" name="Straight Connector 2080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2" name="Straight Connector 2081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3" name="Straight Connector 2082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4" name="Straight Connector 2083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5" name="Straight Connector 2084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6" name="Straight Connector 2085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7" name="Straight Connector 2086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8" name="Straight Connector 2087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89" name="Straight Connector 2088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0" name="Straight Connector 2089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1" name="Straight Connector 2090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2" name="Straight Connector 2091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3" name="Straight Connector 2092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4" name="Straight Connector 2093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5" name="Straight Connector 2094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6" name="Straight Connector 2095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7" name="Straight Connector 2096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8" name="Straight Connector 2097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099" name="Straight Connector 2098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0" name="Straight Connector 2099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1" name="Straight Connector 2100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2" name="Straight Connector 2101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3" name="Straight Connector 2102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4" name="Straight Connector 2103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5" name="Straight Connector 2104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6" name="Straight Connector 2105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7" name="Straight Connector 2106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8" name="Straight Connector 2107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09" name="Straight Connector 2108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10" name="Straight Connector 2109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11" name="Straight Connector 2110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12" name="Straight Connector 2111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13" name="Straight Connector 2112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14" name="Straight Connector 2113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15" name="Straight Connector 2114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16" name="Straight Connector 2115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668777</xdr:colOff>
      <xdr:row>168</xdr:row>
      <xdr:rowOff>0</xdr:rowOff>
    </xdr:from>
    <xdr:to>
      <xdr:col>28</xdr:col>
      <xdr:colOff>4053</xdr:colOff>
      <xdr:row>168</xdr:row>
      <xdr:rowOff>0</xdr:rowOff>
    </xdr:to>
    <xdr:cxnSp macro="">
      <xdr:nvCxnSpPr>
        <xdr:cNvPr id="2117" name="Straight Connector 2116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CxnSpPr/>
      </xdr:nvCxnSpPr>
      <xdr:spPr>
        <a:xfrm flipH="1">
          <a:off x="223629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18" name="Straight Connector 2117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19" name="Straight Connector 2118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0" name="Straight Connector 2119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1" name="Straight Connector 2120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2" name="Straight Connector 2121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3" name="Straight Connector 2122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4" name="Straight Connector 2123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5" name="Straight Connector 2124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6" name="Straight Connector 2125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7" name="Straight Connector 2126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8" name="Straight Connector 2127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29" name="Straight Connector 2128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0" name="Straight Connector 2129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1" name="Straight Connector 2130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2" name="Straight Connector 2131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3" name="Straight Connector 2132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4" name="Straight Connector 2133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5" name="Straight Connector 2134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6" name="Straight Connector 2135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7" name="Straight Connector 2136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8" name="Straight Connector 2137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39" name="Straight Connector 2138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0" name="Straight Connector 2139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1" name="Straight Connector 2140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2" name="Straight Connector 2141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3" name="Straight Connector 2142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4" name="Straight Connector 2143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5" name="Straight Connector 2144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6" name="Straight Connector 2145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7" name="Straight Connector 2146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8" name="Straight Connector 2147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49" name="Straight Connector 2148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0" name="Straight Connector 2149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1" name="Straight Connector 2150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2" name="Straight Connector 2151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3" name="Straight Connector 2152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4" name="Straight Connector 2153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5" name="Straight Connector 2154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6" name="Straight Connector 2155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7" name="Straight Connector 2156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8" name="Straight Connector 2157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59" name="Straight Connector 2158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0" name="Straight Connector 2159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1" name="Straight Connector 2160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2" name="Straight Connector 2161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3" name="Straight Connector 2162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4" name="Straight Connector 2163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5" name="Straight Connector 2164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6" name="Straight Connector 2165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7" name="Straight Connector 2166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8" name="Straight Connector 2167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69" name="Straight Connector 2168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0" name="Straight Connector 2169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1" name="Straight Connector 2170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2" name="Straight Connector 2171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3" name="Straight Connector 2172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4" name="Straight Connector 2173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5" name="Straight Connector 2174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6" name="Straight Connector 2175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7" name="Straight Connector 2176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8" name="Straight Connector 2177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79" name="Straight Connector 2178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80" name="Straight Connector 2179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81" name="Straight Connector 2180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82" name="Straight Connector 2181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83" name="Straight Connector 2182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84" name="Straight Connector 2183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85" name="Straight Connector 2184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86" name="Straight Connector 2185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668777</xdr:colOff>
      <xdr:row>168</xdr:row>
      <xdr:rowOff>0</xdr:rowOff>
    </xdr:from>
    <xdr:to>
      <xdr:col>29</xdr:col>
      <xdr:colOff>4053</xdr:colOff>
      <xdr:row>168</xdr:row>
      <xdr:rowOff>0</xdr:rowOff>
    </xdr:to>
    <xdr:cxnSp macro="">
      <xdr:nvCxnSpPr>
        <xdr:cNvPr id="2187" name="Straight Connector 2186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CxnSpPr/>
      </xdr:nvCxnSpPr>
      <xdr:spPr>
        <a:xfrm flipH="1">
          <a:off x="231401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88" name="Straight Connector 2187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89" name="Straight Connector 2188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0" name="Straight Connector 2189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1" name="Straight Connector 2190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2" name="Straight Connector 2191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3" name="Straight Connector 2192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4" name="Straight Connector 2193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5" name="Straight Connector 2194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6" name="Straight Connector 2195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7" name="Straight Connector 2196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8" name="Straight Connector 2197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199" name="Straight Connector 2198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0" name="Straight Connector 2199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1" name="Straight Connector 2200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2" name="Straight Connector 2201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3" name="Straight Connector 2202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4" name="Straight Connector 2203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5" name="Straight Connector 2204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6" name="Straight Connector 2205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7" name="Straight Connector 2206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8" name="Straight Connector 2207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09" name="Straight Connector 2208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0" name="Straight Connector 2209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1" name="Straight Connector 2210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2" name="Straight Connector 2211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3" name="Straight Connector 2212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4" name="Straight Connector 2213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5" name="Straight Connector 2214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6" name="Straight Connector 2215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7" name="Straight Connector 2216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8" name="Straight Connector 2217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19" name="Straight Connector 2218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0" name="Straight Connector 2219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1" name="Straight Connector 2220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2" name="Straight Connector 2221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3" name="Straight Connector 2222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4" name="Straight Connector 2223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5" name="Straight Connector 2224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6" name="Straight Connector 2225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7" name="Straight Connector 2226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8" name="Straight Connector 2227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29" name="Straight Connector 2228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0" name="Straight Connector 2229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1" name="Straight Connector 2230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2" name="Straight Connector 2231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3" name="Straight Connector 2232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4" name="Straight Connector 2233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5" name="Straight Connector 2234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6" name="Straight Connector 2235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7" name="Straight Connector 2236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8" name="Straight Connector 2237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39" name="Straight Connector 2238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0" name="Straight Connector 2239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1" name="Straight Connector 2240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2" name="Straight Connector 2241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3" name="Straight Connector 2242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4" name="Straight Connector 2243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5" name="Straight Connector 2244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6" name="Straight Connector 2245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7" name="Straight Connector 2246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8" name="Straight Connector 2247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49" name="Straight Connector 2248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0" name="Straight Connector 2249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1" name="Straight Connector 2250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2" name="Straight Connector 2251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3" name="Straight Connector 2252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4" name="Straight Connector 2253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5" name="Straight Connector 2254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56" name="Straight Connector 2255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7" name="Straight Connector 2256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58" name="Straight Connector 2257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59" name="Straight Connector 2258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668777</xdr:colOff>
      <xdr:row>168</xdr:row>
      <xdr:rowOff>0</xdr:rowOff>
    </xdr:from>
    <xdr:to>
      <xdr:col>30</xdr:col>
      <xdr:colOff>4053</xdr:colOff>
      <xdr:row>168</xdr:row>
      <xdr:rowOff>0</xdr:rowOff>
    </xdr:to>
    <xdr:cxnSp macro="">
      <xdr:nvCxnSpPr>
        <xdr:cNvPr id="2260" name="Straight Connector 2259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CxnSpPr/>
      </xdr:nvCxnSpPr>
      <xdr:spPr>
        <a:xfrm flipH="1">
          <a:off x="239173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1" name="Straight Connector 2260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2" name="Straight Connector 2261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3" name="Straight Connector 2262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4" name="Straight Connector 2263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5" name="Straight Connector 2264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6" name="Straight Connector 2265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7" name="Straight Connector 2266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8" name="Straight Connector 2267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69" name="Straight Connector 2268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0" name="Straight Connector 2269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1" name="Straight Connector 2270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2" name="Straight Connector 2271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3" name="Straight Connector 2272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4" name="Straight Connector 2273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5" name="Straight Connector 2274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6" name="Straight Connector 2275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7" name="Straight Connector 2276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8" name="Straight Connector 2277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79" name="Straight Connector 2278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0" name="Straight Connector 2279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1" name="Straight Connector 2280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2" name="Straight Connector 2281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3" name="Straight Connector 2282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4" name="Straight Connector 2283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5" name="Straight Connector 2284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6" name="Straight Connector 2285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7" name="Straight Connector 2286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8" name="Straight Connector 2287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89" name="Straight Connector 2288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0" name="Straight Connector 2289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1" name="Straight Connector 2290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2" name="Straight Connector 2291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3" name="Straight Connector 2292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4" name="Straight Connector 2293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5" name="Straight Connector 2294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6" name="Straight Connector 2295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7" name="Straight Connector 2296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8" name="Straight Connector 2297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299" name="Straight Connector 2298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0" name="Straight Connector 2299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1" name="Straight Connector 2300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2" name="Straight Connector 2301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3" name="Straight Connector 2302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4" name="Straight Connector 2303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5" name="Straight Connector 2304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6" name="Straight Connector 2305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7" name="Straight Connector 2306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8" name="Straight Connector 2307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09" name="Straight Connector 2308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0" name="Straight Connector 2309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1" name="Straight Connector 2310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2" name="Straight Connector 2311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3" name="Straight Connector 2312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4" name="Straight Connector 2313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5" name="Straight Connector 2314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6" name="Straight Connector 2315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7" name="Straight Connector 2316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8" name="Straight Connector 2317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19" name="Straight Connector 2318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0" name="Straight Connector 2319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1" name="Straight Connector 2320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2" name="Straight Connector 2321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3" name="Straight Connector 2322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4" name="Straight Connector 232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5" name="Straight Connector 2324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6" name="Straight Connector 2325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7" name="Straight Connector 2326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8" name="Straight Connector 2327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29" name="Straight Connector 2328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31" name="Straight Connector 2330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33" name="Straight Connector 2332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34" name="Straight Connector 23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35" name="Straight Connector 2334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668777</xdr:colOff>
      <xdr:row>168</xdr:row>
      <xdr:rowOff>0</xdr:rowOff>
    </xdr:from>
    <xdr:to>
      <xdr:col>31</xdr:col>
      <xdr:colOff>4053</xdr:colOff>
      <xdr:row>168</xdr:row>
      <xdr:rowOff>0</xdr:rowOff>
    </xdr:to>
    <xdr:cxnSp macro="">
      <xdr:nvCxnSpPr>
        <xdr:cNvPr id="2336" name="Straight Connector 2335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CxnSpPr/>
      </xdr:nvCxnSpPr>
      <xdr:spPr>
        <a:xfrm flipH="1">
          <a:off x="2469463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37" name="Straight Connector 2336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38" name="Straight Connector 2337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39" name="Straight Connector 2338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0" name="Straight Connector 2339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1" name="Straight Connector 2340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2" name="Straight Connector 2341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3" name="Straight Connector 2342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4" name="Straight Connector 234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5" name="Straight Connector 2344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6" name="Straight Connector 2345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7" name="Straight Connector 2346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8" name="Straight Connector 2347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49" name="Straight Connector 2348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0" name="Straight Connector 2349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1" name="Straight Connector 2350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2" name="Straight Connector 235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3" name="Straight Connector 235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4" name="Straight Connector 2353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5" name="Straight Connector 235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6" name="Straight Connector 2355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7" name="Straight Connector 2356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8" name="Straight Connector 2357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59" name="Straight Connector 2358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0" name="Straight Connector 2359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1" name="Straight Connector 2360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2" name="Straight Connector 2361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3" name="Straight Connector 2362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4" name="Straight Connector 2363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5" name="Straight Connector 2364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6" name="Straight Connector 2365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7" name="Straight Connector 2366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8" name="Straight Connector 2367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69" name="Straight Connector 2368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0" name="Straight Connector 2369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1" name="Straight Connector 2370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2" name="Straight Connector 2371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3" name="Straight Connector 2372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4" name="Straight Connector 2373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5" name="Straight Connector 2374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6" name="Straight Connector 2375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7" name="Straight Connector 2376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8" name="Straight Connector 2377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79" name="Straight Connector 2378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0" name="Straight Connector 2379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1" name="Straight Connector 2380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2" name="Straight Connector 2381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3" name="Straight Connector 2382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4" name="Straight Connector 2383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5" name="Straight Connector 2384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6" name="Straight Connector 2385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7" name="Straight Connector 2386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8" name="Straight Connector 2387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89" name="Straight Connector 2388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0" name="Straight Connector 2389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1" name="Straight Connector 2390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2" name="Straight Connector 2391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3" name="Straight Connector 2392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4" name="Straight Connector 2393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5" name="Straight Connector 2394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6" name="Straight Connector 2395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7" name="Straight Connector 2396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8" name="Straight Connector 2397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399" name="Straight Connector 2398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0" name="Straight Connector 2399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1" name="Straight Connector 2400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2" name="Straight Connector 2401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3" name="Straight Connector 2402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4" name="Straight Connector 2403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5" name="Straight Connector 2404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6" name="Straight Connector 2405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7" name="Straight Connector 2406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8" name="Straight Connector 2407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09" name="Straight Connector 2408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10" name="Straight Connector 2409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11" name="Straight Connector 2410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12" name="Straight Connector 2411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13" name="Straight Connector 2412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14" name="Straight Connector 2413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668777</xdr:colOff>
      <xdr:row>168</xdr:row>
      <xdr:rowOff>0</xdr:rowOff>
    </xdr:from>
    <xdr:to>
      <xdr:col>32</xdr:col>
      <xdr:colOff>4053</xdr:colOff>
      <xdr:row>168</xdr:row>
      <xdr:rowOff>0</xdr:rowOff>
    </xdr:to>
    <xdr:cxnSp macro="">
      <xdr:nvCxnSpPr>
        <xdr:cNvPr id="2415" name="Straight Connector 2414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CxnSpPr/>
      </xdr:nvCxnSpPr>
      <xdr:spPr>
        <a:xfrm flipH="1">
          <a:off x="2547187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16" name="Straight Connector 2415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17" name="Straight Connector 2416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18" name="Straight Connector 2417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19" name="Straight Connector 2418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0" name="Straight Connector 2419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1" name="Straight Connector 2420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2" name="Straight Connector 2421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3" name="Straight Connector 2422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4" name="Straight Connector 2423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5" name="Straight Connector 2424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6" name="Straight Connector 2425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7" name="Straight Connector 2426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8" name="Straight Connector 2427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29" name="Straight Connector 2428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0" name="Straight Connector 2429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1" name="Straight Connector 2430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2" name="Straight Connector 2431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3" name="Straight Connector 2432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4" name="Straight Connector 2433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5" name="Straight Connector 2434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6" name="Straight Connector 2435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7" name="Straight Connector 2436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8" name="Straight Connector 2437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39" name="Straight Connector 2438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0" name="Straight Connector 2439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1" name="Straight Connector 244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2" name="Straight Connector 2441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3" name="Straight Connector 2442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4" name="Straight Connector 2443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5" name="Straight Connector 2444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6" name="Straight Connector 2445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7" name="Straight Connector 2446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8" name="Straight Connector 2447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49" name="Straight Connector 2448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0" name="Straight Connector 2449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1" name="Straight Connector 2450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2" name="Straight Connector 2451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3" name="Straight Connector 2452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4" name="Straight Connector 2453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5" name="Straight Connector 2454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6" name="Straight Connector 2455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7" name="Straight Connector 2456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8" name="Straight Connector 2457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59" name="Straight Connector 2458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0" name="Straight Connector 2459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1" name="Straight Connector 2460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2" name="Straight Connector 2461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3" name="Straight Connector 2462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4" name="Straight Connector 2463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5" name="Straight Connector 2464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6" name="Straight Connector 2465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7" name="Straight Connector 2466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8" name="Straight Connector 2467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69" name="Straight Connector 2468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0" name="Straight Connector 2469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1" name="Straight Connector 2470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2" name="Straight Connector 2471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3" name="Straight Connector 2472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4" name="Straight Connector 2473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5" name="Straight Connector 2474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6" name="Straight Connector 2475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7" name="Straight Connector 2476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8" name="Straight Connector 2477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79" name="Straight Connector 2478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0" name="Straight Connector 2479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1" name="Straight Connector 2480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2" name="Straight Connector 2481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3" name="Straight Connector 2482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4" name="Straight Connector 2483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5" name="Straight Connector 2484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6" name="Straight Connector 2485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7" name="Straight Connector 2486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8" name="Straight Connector 2487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89" name="Straight Connector 2488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90" name="Straight Connector 2489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91" name="Straight Connector 2490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92" name="Straight Connector 2491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493" name="Straight Connector 2492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94" name="Straight Connector 2493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95" name="Straight Connector 2494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496" name="Straight Connector 2495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668777</xdr:colOff>
      <xdr:row>168</xdr:row>
      <xdr:rowOff>0</xdr:rowOff>
    </xdr:from>
    <xdr:to>
      <xdr:col>33</xdr:col>
      <xdr:colOff>4053</xdr:colOff>
      <xdr:row>168</xdr:row>
      <xdr:rowOff>0</xdr:rowOff>
    </xdr:to>
    <xdr:cxnSp macro="">
      <xdr:nvCxnSpPr>
        <xdr:cNvPr id="2497" name="Straight Connector 2496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CxnSpPr/>
      </xdr:nvCxnSpPr>
      <xdr:spPr>
        <a:xfrm flipH="1">
          <a:off x="2624911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498" name="Straight Connector 2497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499" name="Straight Connector 2498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0" name="Straight Connector 2499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1" name="Straight Connector 2500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2" name="Straight Connector 2501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3" name="Straight Connector 2502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4" name="Straight Connector 2503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5" name="Straight Connector 2504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6" name="Straight Connector 2505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7" name="Straight Connector 2506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8" name="Straight Connector 2507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09" name="Straight Connector 2508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0" name="Straight Connector 2509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1" name="Straight Connector 2510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2" name="Straight Connector 2511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3" name="Straight Connector 2512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4" name="Straight Connector 2513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5" name="Straight Connector 2514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6" name="Straight Connector 2515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7" name="Straight Connector 2516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8" name="Straight Connector 2517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19" name="Straight Connector 2518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0" name="Straight Connector 2519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1" name="Straight Connector 2520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2" name="Straight Connector 2521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3" name="Straight Connector 2522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4" name="Straight Connector 2523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5" name="Straight Connector 2524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6" name="Straight Connector 2525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7" name="Straight Connector 2526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8" name="Straight Connector 2527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29" name="Straight Connector 2528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0" name="Straight Connector 2529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1" name="Straight Connector 2530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2" name="Straight Connector 2531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3" name="Straight Connector 2532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4" name="Straight Connector 2533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5" name="Straight Connector 2534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6" name="Straight Connector 2535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7" name="Straight Connector 2536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8" name="Straight Connector 2537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39" name="Straight Connector 2538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0" name="Straight Connector 2539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1" name="Straight Connector 2540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2" name="Straight Connector 2541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3" name="Straight Connector 2542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4" name="Straight Connector 2543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5" name="Straight Connector 2544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6" name="Straight Connector 2545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7" name="Straight Connector 2546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8" name="Straight Connector 2547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49" name="Straight Connector 2548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0" name="Straight Connector 2549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1" name="Straight Connector 2550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2" name="Straight Connector 2551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3" name="Straight Connector 2552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4" name="Straight Connector 2553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5" name="Straight Connector 2554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6" name="Straight Connector 2555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7" name="Straight Connector 2556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8" name="Straight Connector 2557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59" name="Straight Connector 2558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0" name="Straight Connector 2559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1" name="Straight Connector 2560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2" name="Straight Connector 2561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3" name="Straight Connector 2562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4" name="Straight Connector 2563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5" name="Straight Connector 2564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6" name="Straight Connector 2565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7" name="Straight Connector 2566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8" name="Straight Connector 2567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69" name="Straight Connector 2568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0" name="Straight Connector 2569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1" name="Straight Connector 2570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2" name="Straight Connector 2571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3" name="Straight Connector 2572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4" name="Straight Connector 2573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5" name="Straight Connector 2574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6" name="Straight Connector 2575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7" name="Straight Connector 2576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78" name="Straight Connector 2577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79" name="Straight Connector 2578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80" name="Straight Connector 2579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1" name="Straight Connector 2580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668777</xdr:colOff>
      <xdr:row>168</xdr:row>
      <xdr:rowOff>0</xdr:rowOff>
    </xdr:from>
    <xdr:to>
      <xdr:col>34</xdr:col>
      <xdr:colOff>4053</xdr:colOff>
      <xdr:row>168</xdr:row>
      <xdr:rowOff>0</xdr:rowOff>
    </xdr:to>
    <xdr:cxnSp macro="">
      <xdr:nvCxnSpPr>
        <xdr:cNvPr id="2582" name="Straight Connector 2581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CxnSpPr/>
      </xdr:nvCxnSpPr>
      <xdr:spPr>
        <a:xfrm flipH="1">
          <a:off x="2702635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3" name="Straight Connector 2582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4" name="Straight Connector 2583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5" name="Straight Connector 2584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6" name="Straight Connector 2585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7" name="Straight Connector 2586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8" name="Straight Connector 2587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89" name="Straight Connector 2588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0" name="Straight Connector 2589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1" name="Straight Connector 2590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2" name="Straight Connector 2591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3" name="Straight Connector 2592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4" name="Straight Connector 2593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5" name="Straight Connector 2594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6" name="Straight Connector 2595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7" name="Straight Connector 2596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8" name="Straight Connector 2597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599" name="Straight Connector 2598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0" name="Straight Connector 2599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1" name="Straight Connector 2600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2" name="Straight Connector 2601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3" name="Straight Connector 2602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4" name="Straight Connector 2603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5" name="Straight Connector 2604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6" name="Straight Connector 2605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7" name="Straight Connector 2606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8" name="Straight Connector 2607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09" name="Straight Connector 2608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0" name="Straight Connector 2609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1" name="Straight Connector 2610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2" name="Straight Connector 2611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3" name="Straight Connector 2612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4" name="Straight Connector 2613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5" name="Straight Connector 2614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6" name="Straight Connector 2615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7" name="Straight Connector 2616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8" name="Straight Connector 2617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19" name="Straight Connector 2618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0" name="Straight Connector 2619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1" name="Straight Connector 2620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2" name="Straight Connector 2621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3" name="Straight Connector 2622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4" name="Straight Connector 2623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5" name="Straight Connector 2624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6" name="Straight Connector 2625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7" name="Straight Connector 2626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8" name="Straight Connector 2627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29" name="Straight Connector 2628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0" name="Straight Connector 2629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1" name="Straight Connector 2630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2" name="Straight Connector 2631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3" name="Straight Connector 2632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4" name="Straight Connector 2633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5" name="Straight Connector 2634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6" name="Straight Connector 2635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7" name="Straight Connector 2636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8" name="Straight Connector 2637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39" name="Straight Connector 2638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0" name="Straight Connector 2639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1" name="Straight Connector 2640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2" name="Straight Connector 2641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3" name="Straight Connector 2642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4" name="Straight Connector 2643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5" name="Straight Connector 2644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6" name="Straight Connector 2645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7" name="Straight Connector 2646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8" name="Straight Connector 2647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49" name="Straight Connector 2648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0" name="Straight Connector 2649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1" name="Straight Connector 2650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2" name="Straight Connector 2651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3" name="Straight Connector 2652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4" name="Straight Connector 2653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5" name="Straight Connector 2654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6" name="Straight Connector 2655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7" name="Straight Connector 2656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8" name="Straight Connector 2657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59" name="Straight Connector 2658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0" name="Straight Connector 2659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1" name="Straight Connector 2660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2" name="Straight Connector 2661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3" name="Straight Connector 2662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4" name="Straight Connector 2663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5" name="Straight Connector 2664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668777</xdr:colOff>
      <xdr:row>168</xdr:row>
      <xdr:rowOff>0</xdr:rowOff>
    </xdr:from>
    <xdr:to>
      <xdr:col>36</xdr:col>
      <xdr:colOff>4053</xdr:colOff>
      <xdr:row>168</xdr:row>
      <xdr:rowOff>0</xdr:rowOff>
    </xdr:to>
    <xdr:cxnSp macro="">
      <xdr:nvCxnSpPr>
        <xdr:cNvPr id="2666" name="Straight Connector 2665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CxnSpPr/>
      </xdr:nvCxnSpPr>
      <xdr:spPr>
        <a:xfrm flipH="1">
          <a:off x="28580837" y="22821900"/>
          <a:ext cx="52399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7" name="Straight Connector 2666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68" name="Straight Connector 2667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668777</xdr:colOff>
      <xdr:row>168</xdr:row>
      <xdr:rowOff>0</xdr:rowOff>
    </xdr:from>
    <xdr:to>
      <xdr:col>35</xdr:col>
      <xdr:colOff>4053</xdr:colOff>
      <xdr:row>168</xdr:row>
      <xdr:rowOff>0</xdr:rowOff>
    </xdr:to>
    <xdr:cxnSp macro="">
      <xdr:nvCxnSpPr>
        <xdr:cNvPr id="2670" name="Straight Connector 2669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CxnSpPr/>
      </xdr:nvCxnSpPr>
      <xdr:spPr>
        <a:xfrm flipH="1">
          <a:off x="27803597" y="22821900"/>
          <a:ext cx="11251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35859</xdr:colOff>
      <xdr:row>23</xdr:row>
      <xdr:rowOff>0</xdr:rowOff>
    </xdr:from>
    <xdr:to>
      <xdr:col>11</xdr:col>
      <xdr:colOff>67609</xdr:colOff>
      <xdr:row>67</xdr:row>
      <xdr:rowOff>52917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455083</xdr:colOff>
      <xdr:row>51</xdr:row>
      <xdr:rowOff>0</xdr:rowOff>
    </xdr:from>
    <xdr:to>
      <xdr:col>22</xdr:col>
      <xdr:colOff>582083</xdr:colOff>
      <xdr:row>66</xdr:row>
      <xdr:rowOff>52917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51</xdr:row>
      <xdr:rowOff>10583</xdr:rowOff>
    </xdr:from>
    <xdr:to>
      <xdr:col>11</xdr:col>
      <xdr:colOff>31750</xdr:colOff>
      <xdr:row>66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23</xdr:col>
      <xdr:colOff>199838</xdr:colOff>
      <xdr:row>41</xdr:row>
      <xdr:rowOff>52917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28</xdr:row>
      <xdr:rowOff>179070</xdr:rowOff>
    </xdr:from>
    <xdr:to>
      <xdr:col>9</xdr:col>
      <xdr:colOff>502920</xdr:colOff>
      <xdr:row>43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590551</xdr:colOff>
      <xdr:row>1</xdr:row>
      <xdr:rowOff>166686</xdr:rowOff>
    </xdr:from>
    <xdr:to>
      <xdr:col>14</xdr:col>
      <xdr:colOff>600075</xdr:colOff>
      <xdr:row>23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24493</xdr:colOff>
      <xdr:row>24</xdr:row>
      <xdr:rowOff>146276</xdr:rowOff>
    </xdr:from>
    <xdr:to>
      <xdr:col>14</xdr:col>
      <xdr:colOff>576943</xdr:colOff>
      <xdr:row>46</xdr:row>
      <xdr:rowOff>74839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412749</xdr:colOff>
      <xdr:row>2</xdr:row>
      <xdr:rowOff>15874</xdr:rowOff>
    </xdr:from>
    <xdr:to>
      <xdr:col>28</xdr:col>
      <xdr:colOff>380999</xdr:colOff>
      <xdr:row>22</xdr:row>
      <xdr:rowOff>190499</xdr:rowOff>
    </xdr:to>
    <xdr:graphicFrame macro="">
      <xdr:nvGraphicFramePr>
        <xdr:cNvPr id="7" name="Chart 6" title="GRAPH OF PRODUCTION vs RAINFALL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412749</xdr:colOff>
      <xdr:row>24</xdr:row>
      <xdr:rowOff>174624</xdr:rowOff>
    </xdr:from>
    <xdr:to>
      <xdr:col>28</xdr:col>
      <xdr:colOff>380999</xdr:colOff>
      <xdr:row>46</xdr:row>
      <xdr:rowOff>63499</xdr:rowOff>
    </xdr:to>
    <xdr:graphicFrame macro="">
      <xdr:nvGraphicFramePr>
        <xdr:cNvPr id="8" name="Chart 7" title="GRAPH OF PRODUCTION vs RAINFALL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556260</xdr:colOff>
          <xdr:row>0</xdr:row>
          <xdr:rowOff>0</xdr:rowOff>
        </xdr:from>
        <xdr:to>
          <xdr:col>14</xdr:col>
          <xdr:colOff>415290</xdr:colOff>
          <xdr:row>42</xdr:row>
          <xdr:rowOff>60774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0000000-0008-0000-0C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shboard!$B$2:$W$75" spid="_x0000_s12007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56260" y="0"/>
              <a:ext cx="8797290" cy="77722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36029</xdr:colOff>
      <xdr:row>1</xdr:row>
      <xdr:rowOff>30232</xdr:rowOff>
    </xdr:from>
    <xdr:to>
      <xdr:col>2</xdr:col>
      <xdr:colOff>950429</xdr:colOff>
      <xdr:row>1</xdr:row>
      <xdr:rowOff>944632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1"/>
        <a:srcRect t="1" b="12352"/>
        <a:stretch/>
      </xdr:blipFill>
      <xdr:spPr>
        <a:xfrm>
          <a:off x="648942" y="220732"/>
          <a:ext cx="914400" cy="914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33374</xdr:colOff>
      <xdr:row>2</xdr:row>
      <xdr:rowOff>39868</xdr:rowOff>
    </xdr:from>
    <xdr:to>
      <xdr:col>2</xdr:col>
      <xdr:colOff>947774</xdr:colOff>
      <xdr:row>2</xdr:row>
      <xdr:rowOff>951369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574" y="1192807"/>
          <a:ext cx="914400" cy="911501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98613</xdr:rowOff>
    </xdr:from>
    <xdr:to>
      <xdr:col>16</xdr:col>
      <xdr:colOff>156028</xdr:colOff>
      <xdr:row>37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0" y="98613"/>
          <a:ext cx="12007369" cy="7225872"/>
        </a:xfrm>
        <a:prstGeom prst="rect">
          <a:avLst/>
        </a:prstGeom>
        <a:noFill/>
        <a:ln w="539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14079</xdr:colOff>
      <xdr:row>1</xdr:row>
      <xdr:rowOff>16173</xdr:rowOff>
    </xdr:from>
    <xdr:to>
      <xdr:col>2</xdr:col>
      <xdr:colOff>475252</xdr:colOff>
      <xdr:row>2</xdr:row>
      <xdr:rowOff>153276</xdr:rowOff>
    </xdr:to>
    <xdr:pic>
      <xdr:nvPicPr>
        <xdr:cNvPr id="4" name="Picture 3" descr="A picture containing text, clipart&#10;&#10;Description automatically generated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9" y="199053"/>
          <a:ext cx="781213" cy="3657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</xdr:row>
      <xdr:rowOff>163830</xdr:rowOff>
    </xdr:from>
    <xdr:to>
      <xdr:col>19</xdr:col>
      <xdr:colOff>22860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an_i.BANPUINDO.000\Downloads\GPK%20Daily%20Report%20April%2008,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  <sheetName val="ACUM"/>
      <sheetName val="TJ"/>
      <sheetName val="LM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COA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DRILL&amp;BLAST"/>
      <sheetName val="DOZING"/>
      <sheetName val="PLAN CC"/>
      <sheetName val="PLAN CM"/>
      <sheetName val="PLAN OB"/>
      <sheetName val="Formula"/>
      <sheetName val="CA110_sep10"/>
      <sheetName val="awal_bulan"/>
      <sheetName val="awal_bulan1"/>
      <sheetName val="awal_bulan2"/>
      <sheetName val="Coal Class_April2016"/>
      <sheetName val="ThisMonth"/>
      <sheetName val="Act_cost"/>
      <sheetName val="Galian 1"/>
      <sheetName val="Cost Parameter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TABEL STOCK"/>
      <sheetName val="_SAF 02"/>
      <sheetName val="oldmap"/>
      <sheetName val="smu"/>
      <sheetName val="Wheel Grp"/>
      <sheetName val="SALES_SUMMARY"/>
      <sheetName val="shipping_program"/>
      <sheetName val="KPC_PRINANG_MO_CF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Run"/>
      <sheetName val="SOS Summary "/>
      <sheetName val="Konversi_Jarak4"/>
      <sheetName val="Master_Evaluasi4"/>
      <sheetName val="Target_Lost_Time4"/>
      <sheetName val="Master_3"/>
      <sheetName val="awal_bulan3"/>
      <sheetName val="Test_Depre"/>
      <sheetName val="Asset_List"/>
      <sheetName val="Component_History"/>
      <sheetName val="_SAF_02"/>
      <sheetName val="Row_Data"/>
      <sheetName val="Data_Base3"/>
      <sheetName val="Cost_Code"/>
      <sheetName val="H_Satuan"/>
      <sheetName val="March_april__2_"/>
      <sheetName val="Konversi_Jarak5"/>
      <sheetName val="Master_Evaluasi5"/>
      <sheetName val="Target_Lost_Time5"/>
      <sheetName val="Master_4"/>
      <sheetName val="awal_bulan4"/>
      <sheetName val="Test_Depre1"/>
      <sheetName val="Asset_List1"/>
      <sheetName val="Component_History1"/>
      <sheetName val="_SAF_021"/>
      <sheetName val="Row_Data1"/>
      <sheetName val="Data_Base4"/>
      <sheetName val="Cost_Code1"/>
      <sheetName val="H_Satuan1"/>
      <sheetName val="March_april__2_1"/>
      <sheetName val="Konversi_Jarak6"/>
      <sheetName val="Master_Evaluasi6"/>
      <sheetName val="Target_Lost_Time6"/>
      <sheetName val="Master_5"/>
      <sheetName val="awal_bulan5"/>
      <sheetName val="Test_Depre2"/>
      <sheetName val="Asset_List2"/>
      <sheetName val="Component_History2"/>
      <sheetName val="_SAF_022"/>
      <sheetName val="Row_Data2"/>
      <sheetName val="Data_Base5"/>
      <sheetName val="Cost_Code2"/>
      <sheetName val="H_Satuan2"/>
      <sheetName val="March_april__2_2"/>
      <sheetName val="Coal_Class_April2016"/>
      <sheetName val="Galian_1"/>
      <sheetName val="Cost_Parameter"/>
      <sheetName val="DATA_BULAN_LALU"/>
      <sheetName val="BA_PENERIMAAN"/>
      <sheetName val="SUPPORT_SUBCONT"/>
      <sheetName val="PT_PPA"/>
      <sheetName val="PT_MNK"/>
      <sheetName val="PT_EKA_CITRA"/>
      <sheetName val="PT__ABP"/>
      <sheetName val="PT_HPU"/>
      <sheetName val="PT_TITAN"/>
      <sheetName val="PT_AMM"/>
      <sheetName val="PT_MTK"/>
      <sheetName val="Saldo_Solar"/>
      <sheetName val="BA_SELISIH_SOLAR_PT__USI"/>
      <sheetName val="Solar_Masuk_PT__USI"/>
      <sheetName val="KM-SUPPORT_"/>
      <sheetName val="BA_SO"/>
      <sheetName val="REKAP_ALL"/>
      <sheetName val="FLOWMETER_SS6"/>
      <sheetName val="FUEL_UNIT"/>
      <sheetName val="FUEL_SUPPORT"/>
      <sheetName val="TABEL_STOCK"/>
      <sheetName val="March-april_(2)"/>
      <sheetName val="Resume_Eng"/>
      <sheetName val="Konversi_Jarak9"/>
      <sheetName val="Master_Evaluasi9"/>
      <sheetName val="Target_Lost_Time9"/>
      <sheetName val="Master_8"/>
      <sheetName val="awal_bulan8"/>
      <sheetName val="Test_Depre5"/>
      <sheetName val="Asset_List5"/>
      <sheetName val="Component_History5"/>
      <sheetName val="_SAF_025"/>
      <sheetName val="Row_Data5"/>
      <sheetName val="Data_Base8"/>
      <sheetName val="Cost_Code5"/>
      <sheetName val="H_Satuan5"/>
      <sheetName val="March_april__2_5"/>
      <sheetName val="March-april_(2)3"/>
      <sheetName val="Resume_Eng3"/>
      <sheetName val="Coal_Class_April20163"/>
      <sheetName val="Galian_13"/>
      <sheetName val="Cost_Parameter3"/>
      <sheetName val="DATA_BULAN_LALU3"/>
      <sheetName val="BA_PENERIMAAN3"/>
      <sheetName val="SUPPORT_SUBCONT3"/>
      <sheetName val="PT_PPA3"/>
      <sheetName val="PT_MNK3"/>
      <sheetName val="PT_EKA_CITRA3"/>
      <sheetName val="PT__ABP3"/>
      <sheetName val="PT_HPU3"/>
      <sheetName val="PT_TITAN3"/>
      <sheetName val="PT_AMM3"/>
      <sheetName val="PT_MTK3"/>
      <sheetName val="Saldo_Solar3"/>
      <sheetName val="BA_SELISIH_SOLAR_PT__USI3"/>
      <sheetName val="Solar_Masuk_PT__USI3"/>
      <sheetName val="KM-SUPPORT_3"/>
      <sheetName val="BA_SO3"/>
      <sheetName val="REKAP_ALL3"/>
      <sheetName val="FLOWMETER_SS63"/>
      <sheetName val="FUEL_UNIT3"/>
      <sheetName val="FUEL_SUPPORT3"/>
      <sheetName val="TABEL_STOCK3"/>
      <sheetName val="Konversi_Jarak8"/>
      <sheetName val="Master_Evaluasi8"/>
      <sheetName val="Target_Lost_Time8"/>
      <sheetName val="Master_7"/>
      <sheetName val="awal_bulan7"/>
      <sheetName val="Test_Depre4"/>
      <sheetName val="Asset_List4"/>
      <sheetName val="Component_History4"/>
      <sheetName val="_SAF_024"/>
      <sheetName val="Row_Data4"/>
      <sheetName val="Data_Base7"/>
      <sheetName val="Cost_Code4"/>
      <sheetName val="H_Satuan4"/>
      <sheetName val="March_april__2_4"/>
      <sheetName val="March-april_(2)2"/>
      <sheetName val="Resume_Eng2"/>
      <sheetName val="Coal_Class_April20162"/>
      <sheetName val="Galian_12"/>
      <sheetName val="Cost_Parameter2"/>
      <sheetName val="DATA_BULAN_LALU2"/>
      <sheetName val="BA_PENERIMAAN2"/>
      <sheetName val="SUPPORT_SUBCONT2"/>
      <sheetName val="PT_PPA2"/>
      <sheetName val="PT_MNK2"/>
      <sheetName val="PT_EKA_CITRA2"/>
      <sheetName val="PT__ABP2"/>
      <sheetName val="PT_HPU2"/>
      <sheetName val="PT_TITAN2"/>
      <sheetName val="PT_AMM2"/>
      <sheetName val="PT_MTK2"/>
      <sheetName val="Saldo_Solar2"/>
      <sheetName val="BA_SELISIH_SOLAR_PT__USI2"/>
      <sheetName val="Solar_Masuk_PT__USI2"/>
      <sheetName val="KM-SUPPORT_2"/>
      <sheetName val="BA_SO2"/>
      <sheetName val="REKAP_ALL2"/>
      <sheetName val="FLOWMETER_SS62"/>
      <sheetName val="FUEL_UNIT2"/>
      <sheetName val="FUEL_SUPPORT2"/>
      <sheetName val="TABEL_STOCK2"/>
      <sheetName val="Konversi_Jarak7"/>
      <sheetName val="Master_Evaluasi7"/>
      <sheetName val="Target_Lost_Time7"/>
      <sheetName val="Master_6"/>
      <sheetName val="awal_bulan6"/>
      <sheetName val="Test_Depre3"/>
      <sheetName val="Asset_List3"/>
      <sheetName val="Component_History3"/>
      <sheetName val="_SAF_023"/>
      <sheetName val="Row_Data3"/>
      <sheetName val="Data_Base6"/>
      <sheetName val="Cost_Code3"/>
      <sheetName val="H_Satuan3"/>
      <sheetName val="March_april__2_3"/>
      <sheetName val="March-april_(2)1"/>
      <sheetName val="Resume_Eng1"/>
      <sheetName val="Coal_Class_April20161"/>
      <sheetName val="Galian_11"/>
      <sheetName val="Cost_Parameter1"/>
      <sheetName val="DATA_BULAN_LALU1"/>
      <sheetName val="BA_PENERIMAAN1"/>
      <sheetName val="SUPPORT_SUBCONT1"/>
      <sheetName val="PT_PPA1"/>
      <sheetName val="PT_MNK1"/>
      <sheetName val="PT_EKA_CITRA1"/>
      <sheetName val="PT__ABP1"/>
      <sheetName val="PT_HPU1"/>
      <sheetName val="PT_TITAN1"/>
      <sheetName val="PT_AMM1"/>
      <sheetName val="PT_MTK1"/>
      <sheetName val="Saldo_Solar1"/>
      <sheetName val="BA_SELISIH_SOLAR_PT__USI1"/>
      <sheetName val="Solar_Masuk_PT__USI1"/>
      <sheetName val="KM-SUPPORT_1"/>
      <sheetName val="BA_SO1"/>
      <sheetName val="REKAP_ALL1"/>
      <sheetName val="FLOWMETER_SS61"/>
      <sheetName val="FUEL_UNIT1"/>
      <sheetName val="FUEL_SUPPORT1"/>
      <sheetName val="TABEL_STOCK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  <sheetName val="ACT COAL"/>
      <sheetName val="ACT OB"/>
      <sheetName val="HAUL C1,C2,C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Summary"/>
      <sheetName val="COST"/>
      <sheetName val="ACT HAUL"/>
      <sheetName val="Truck"/>
      <sheetName val="REFERENSI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  <sheetName val="Indirect Function - 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  <sheetName val="ACUM"/>
      <sheetName val="TJ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EDS110507"/>
      <sheetName val="Master"/>
      <sheetName val="PARAMETER"/>
      <sheetName val="Master Stock"/>
      <sheetName val="KHUSUS BRAVO II"/>
      <sheetName val="upload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H.Satuan"/>
      <sheetName val="List"/>
      <sheetName val="DATA"/>
      <sheetName val="MA"/>
      <sheetName val="R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MTD OB Forecasting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Assumptions"/>
      <sheetName val="BB TO STOCK KTD 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SUM"/>
      <sheetName val="M_PLANS_"/>
      <sheetName val="MA_PLA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ily Pla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  <sheetName val="Safety 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DP Report"/>
      <sheetName val="EPR MT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Budget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UP-CIVIL"/>
      <sheetName val="Konversi Jarak"/>
      <sheetName val="Cash Flow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Production HO"/>
      <sheetName val="EDS110507"/>
      <sheetName val="MA"/>
      <sheetName val="Dozing Estimation"/>
      <sheetName val="EqList"/>
      <sheetName val="Plant Rate"/>
      <sheetName val="POPULASI 2020"/>
      <sheetName val="BUDGET PER UNIT"/>
      <sheetName val="SPO 2020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Ppls"/>
      <sheetName val="Statistik"/>
      <sheetName val="FORM"/>
      <sheetName val="Prod'n"/>
      <sheetName val="PAR"/>
      <sheetName val="Stock"/>
      <sheetName val="Usage"/>
      <sheetName val="Base Unit"/>
      <sheetName val="DIV.1"/>
      <sheetName val="NP"/>
      <sheetName val="Excavator"/>
      <sheetName val="Dozer"/>
      <sheetName val="Pltrates"/>
      <sheetName val="result"/>
      <sheetName val="Detail Exp."/>
      <sheetName val="Isi_Job_Pending"/>
      <sheetName val="SMU Inpu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  <sheetName val="ban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cov"/>
      <sheetName val="Petrosea"/>
      <sheetName val="02 Prod'n"/>
      <sheetName val="03 Travel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Ppls"/>
      <sheetName val="DATA"/>
      <sheetName val="#REF"/>
      <sheetName val="PRO_COAL"/>
      <sheetName val="EDS110507"/>
      <sheetName val="Sheet1"/>
      <sheetName val="MA"/>
      <sheetName val="Sheet3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fa-s"/>
      <sheetName val=" total cost Press nov 47"/>
      <sheetName val="CRITERIA1"/>
      <sheetName val="PS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ExcRate"/>
      <sheetName val="EWH-UA"/>
      <sheetName val="DIGGER"/>
      <sheetName val="C-PF_ALL"/>
      <sheetName val="P_PA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WHPT"/>
      <sheetName val="COVER"/>
      <sheetName val="Bonus"/>
      <sheetName val="Tabel stock"/>
      <sheetName val="Pit C2"/>
      <sheetName val="Pit E"/>
      <sheetName val="Period"/>
      <sheetName val="WeeklyPrices"/>
      <sheetName val="Otd Utilisasi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11-20"/>
      <sheetName val="21-30"/>
      <sheetName val="1-10"/>
      <sheetName val="31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  <sheetName val="Daily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Summary"/>
      <sheetName val="Budget"/>
      <sheetName val="Actual"/>
      <sheetName val="Equipment "/>
      <sheetName val="Graphic Production"/>
      <sheetName val="Loading &amp; Stock"/>
      <sheetName val="Outlook"/>
      <sheetName val="Graph"/>
      <sheetName val="Production per Tunnel"/>
      <sheetName val="1"/>
      <sheetName val="ROM Quality (Process)"/>
      <sheetName val="ROM per Block"/>
      <sheetName val="Quality ROM"/>
      <sheetName val="Copy"/>
      <sheetName val="Weat_Con"/>
      <sheetName val="Water Level"/>
      <sheetName val="R&amp;S"/>
      <sheetName val="Sheet1"/>
      <sheetName val="Loading &amp; stock_ASLI"/>
      <sheetName val="Coal Stock Temporary"/>
    </sheetNames>
    <sheetDataSet>
      <sheetData sheetId="0" refreshError="1"/>
      <sheetData sheetId="1">
        <row r="3">
          <cell r="D3" t="str">
            <v>08-Apr-26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4">
          <cell r="M34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00CCFF"/>
    <pageSetUpPr fitToPage="1"/>
  </sheetPr>
  <dimension ref="A1:AZ87"/>
  <sheetViews>
    <sheetView showGridLines="0" tabSelected="1" zoomScale="70" zoomScaleNormal="70" zoomScaleSheetLayoutView="25" workbookViewId="0">
      <selection activeCell="O71" sqref="O71"/>
    </sheetView>
  </sheetViews>
  <sheetFormatPr defaultRowHeight="14.45"/>
  <cols>
    <col min="1" max="1" width="9" customWidth="1"/>
    <col min="2" max="2" width="3.28515625" customWidth="1"/>
    <col min="4" max="4" width="11.28515625" customWidth="1"/>
    <col min="5" max="5" width="15.28515625" bestFit="1" customWidth="1"/>
    <col min="6" max="6" width="1.7109375" customWidth="1"/>
    <col min="7" max="7" width="12.28515625" customWidth="1"/>
    <col min="8" max="8" width="1.7109375" customWidth="1"/>
    <col min="9" max="9" width="11.140625" customWidth="1"/>
    <col min="10" max="10" width="1.7109375" customWidth="1"/>
    <col min="11" max="11" width="8.28515625" bestFit="1" customWidth="1"/>
    <col min="12" max="12" width="1.7109375" customWidth="1"/>
    <col min="13" max="13" width="11.140625" customWidth="1"/>
    <col min="14" max="14" width="1.7109375" customWidth="1"/>
    <col min="15" max="15" width="11.85546875" customWidth="1"/>
    <col min="16" max="16" width="1.7109375" customWidth="1"/>
    <col min="17" max="17" width="11.7109375" customWidth="1"/>
    <col min="18" max="18" width="1.7109375" customWidth="1"/>
    <col min="19" max="19" width="11.7109375" customWidth="1"/>
    <col min="20" max="20" width="1.7109375" customWidth="1"/>
    <col min="21" max="21" width="11.7109375" customWidth="1"/>
    <col min="22" max="22" width="1.7109375" customWidth="1"/>
    <col min="23" max="23" width="11.7109375" customWidth="1"/>
    <col min="24" max="24" width="1.7109375" customWidth="1"/>
    <col min="25" max="25" width="11.7109375" customWidth="1"/>
    <col min="26" max="26" width="3.28515625" customWidth="1"/>
    <col min="27" max="27" width="9.28515625" bestFit="1" customWidth="1"/>
    <col min="28" max="28" width="14.85546875" bestFit="1" customWidth="1"/>
    <col min="29" max="29" width="11.140625" bestFit="1" customWidth="1"/>
    <col min="30" max="30" width="13.28515625" customWidth="1"/>
    <col min="31" max="31" width="14.28515625" customWidth="1"/>
    <col min="32" max="32" width="11.140625" bestFit="1" customWidth="1"/>
    <col min="37" max="37" width="12.28515625" bestFit="1" customWidth="1"/>
    <col min="38" max="39" width="9.85546875" bestFit="1" customWidth="1"/>
    <col min="45" max="45" width="13.140625" bestFit="1" customWidth="1"/>
    <col min="46" max="46" width="11.7109375" bestFit="1" customWidth="1"/>
    <col min="48" max="48" width="9.85546875" bestFit="1" customWidth="1"/>
    <col min="49" max="49" width="9.7109375" bestFit="1" customWidth="1"/>
    <col min="50" max="50" width="11.140625" bestFit="1" customWidth="1"/>
  </cols>
  <sheetData>
    <row r="1" spans="2:52" ht="15" thickBot="1">
      <c r="G1" t="s">
        <v>0</v>
      </c>
      <c r="Z1" s="61"/>
      <c r="AA1" s="61"/>
      <c r="AB1" s="61"/>
      <c r="AC1" s="61"/>
    </row>
    <row r="2" spans="2:52">
      <c r="B2" s="552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  <c r="V2" s="553"/>
      <c r="W2" s="553" t="s">
        <v>0</v>
      </c>
      <c r="X2" s="553"/>
      <c r="Y2" s="553"/>
      <c r="Z2" s="903"/>
      <c r="AA2" s="61"/>
      <c r="AB2" s="61"/>
      <c r="AC2" s="61"/>
    </row>
    <row r="3" spans="2:52">
      <c r="B3" s="554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902"/>
      <c r="AA3" s="61"/>
      <c r="AB3" s="61"/>
      <c r="AC3" s="61"/>
    </row>
    <row r="4" spans="2:52">
      <c r="B4" s="554" t="s">
        <v>0</v>
      </c>
      <c r="C4" s="61" t="s">
        <v>0</v>
      </c>
      <c r="D4" s="61" t="s">
        <v>0</v>
      </c>
      <c r="E4" s="61" t="s">
        <v>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902"/>
      <c r="AA4" s="61"/>
      <c r="AB4" s="61"/>
      <c r="AC4" s="61"/>
    </row>
    <row r="5" spans="2:52">
      <c r="B5" s="554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902"/>
      <c r="AA5" s="61"/>
      <c r="AB5" s="61"/>
      <c r="AC5" s="61"/>
      <c r="AZ5" s="451"/>
    </row>
    <row r="6" spans="2:52">
      <c r="B6" s="554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904"/>
      <c r="AA6" s="61"/>
      <c r="AB6" s="61"/>
      <c r="AC6" s="61"/>
      <c r="AR6" t="s">
        <v>1</v>
      </c>
      <c r="AS6" t="s">
        <v>2</v>
      </c>
      <c r="AZ6" s="451"/>
    </row>
    <row r="7" spans="2:52" ht="17.45">
      <c r="B7" s="554"/>
      <c r="C7" s="1261"/>
      <c r="D7" s="1261"/>
      <c r="E7" s="61"/>
      <c r="F7" s="61"/>
      <c r="G7" s="61"/>
      <c r="H7" s="446"/>
      <c r="I7" s="61"/>
      <c r="J7" s="61"/>
      <c r="K7" s="61"/>
      <c r="L7" s="61"/>
      <c r="M7" s="883"/>
      <c r="N7" s="883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902"/>
      <c r="AA7" s="61"/>
      <c r="AB7" s="61"/>
      <c r="AC7" s="61"/>
      <c r="AR7" t="s">
        <v>3</v>
      </c>
      <c r="AS7" s="447">
        <f>Summary!Q4/Summary!W4</f>
        <v>0.56133571985654029</v>
      </c>
      <c r="AT7" s="447">
        <f>1-AS7</f>
        <v>0.43866428014345971</v>
      </c>
      <c r="AV7" s="449" t="e">
        <f>G53/AW7</f>
        <v>#DIV/0!</v>
      </c>
      <c r="AW7" s="405">
        <v>0</v>
      </c>
      <c r="AX7" t="s">
        <v>4</v>
      </c>
      <c r="AZ7" s="451"/>
    </row>
    <row r="8" spans="2:52" ht="14.45" customHeight="1">
      <c r="B8" s="554"/>
      <c r="C8" s="61"/>
      <c r="D8" s="61"/>
      <c r="E8" s="572" t="s">
        <v>5</v>
      </c>
      <c r="F8" s="61"/>
      <c r="G8" s="1263" t="s">
        <v>6</v>
      </c>
      <c r="H8" s="1263"/>
      <c r="I8" s="1263"/>
      <c r="J8" s="1263"/>
      <c r="K8" s="1263"/>
      <c r="L8" s="1263" t="s">
        <v>7</v>
      </c>
      <c r="M8" s="1263"/>
      <c r="N8" s="1263"/>
      <c r="O8" s="1263"/>
      <c r="P8" s="884"/>
      <c r="Q8" s="1263" t="s">
        <v>8</v>
      </c>
      <c r="R8" s="1263"/>
      <c r="S8" s="1263"/>
      <c r="T8" s="885"/>
      <c r="U8" s="885"/>
      <c r="V8" s="61"/>
      <c r="W8" s="61"/>
      <c r="X8" s="61"/>
      <c r="Y8" s="61"/>
      <c r="Z8" s="902"/>
      <c r="AA8" s="61"/>
      <c r="AB8" s="61"/>
      <c r="AC8" s="61"/>
      <c r="AR8" t="s">
        <v>9</v>
      </c>
      <c r="AS8" s="447">
        <f>Summary!Q5/Summary!W5</f>
        <v>0.47572084399999998</v>
      </c>
      <c r="AT8" s="447">
        <f>1-AS8</f>
        <v>0.52427915599999997</v>
      </c>
      <c r="AV8" s="449">
        <f>G54/AW8</f>
        <v>0</v>
      </c>
      <c r="AW8" s="405">
        <f>Outlook!I4</f>
        <v>900253.64889999933</v>
      </c>
      <c r="AX8" t="s">
        <v>4</v>
      </c>
      <c r="AZ8" s="451"/>
    </row>
    <row r="9" spans="2:52" ht="18.600000000000001">
      <c r="B9" s="554"/>
      <c r="C9" s="61"/>
      <c r="D9" s="61"/>
      <c r="E9" s="580" t="str">
        <f>Summary!D3</f>
        <v>07-Sep-26</v>
      </c>
      <c r="F9" s="571"/>
      <c r="G9" s="1264"/>
      <c r="H9" s="1264"/>
      <c r="I9" s="1264"/>
      <c r="J9" s="1264"/>
      <c r="K9" s="1264"/>
      <c r="L9" s="1264"/>
      <c r="M9" s="1264"/>
      <c r="N9" s="1264"/>
      <c r="O9" s="1264"/>
      <c r="P9" s="884"/>
      <c r="Q9" s="1264"/>
      <c r="R9" s="1264"/>
      <c r="S9" s="1264"/>
      <c r="T9" s="885"/>
      <c r="U9" s="854"/>
      <c r="V9" s="921"/>
      <c r="W9" s="921"/>
      <c r="X9" s="921"/>
      <c r="Y9" s="922"/>
      <c r="Z9" s="902"/>
      <c r="AA9" s="61"/>
      <c r="AB9" s="61"/>
      <c r="AC9" s="61"/>
      <c r="AR9" t="s">
        <v>10</v>
      </c>
      <c r="AS9" s="447">
        <f>Summary!Q9/Summary!W9</f>
        <v>0.44249127508196728</v>
      </c>
      <c r="AT9" s="447">
        <f>1-AS9</f>
        <v>0.55750872491803272</v>
      </c>
      <c r="AV9" s="449" t="e">
        <f>G56/AW9</f>
        <v>#DIV/0!</v>
      </c>
      <c r="AW9" s="405">
        <v>0</v>
      </c>
      <c r="AX9" t="s">
        <v>11</v>
      </c>
      <c r="AZ9" s="451"/>
    </row>
    <row r="10" spans="2:52" ht="15">
      <c r="B10" s="554"/>
      <c r="C10" s="61"/>
      <c r="D10" s="61"/>
      <c r="E10" s="886" t="s">
        <v>2</v>
      </c>
      <c r="F10" s="886"/>
      <c r="G10" s="886" t="s">
        <v>2</v>
      </c>
      <c r="H10" s="886"/>
      <c r="I10" s="886" t="s">
        <v>12</v>
      </c>
      <c r="J10" s="886"/>
      <c r="K10" s="886" t="s">
        <v>13</v>
      </c>
      <c r="L10" s="886"/>
      <c r="M10" s="886" t="s">
        <v>14</v>
      </c>
      <c r="N10" s="886"/>
      <c r="O10" s="886" t="s">
        <v>15</v>
      </c>
      <c r="P10" s="886"/>
      <c r="Q10" s="886" t="s">
        <v>2</v>
      </c>
      <c r="R10" s="886"/>
      <c r="S10" s="886" t="s">
        <v>15</v>
      </c>
      <c r="T10" s="61"/>
      <c r="U10" s="555"/>
      <c r="V10" s="61"/>
      <c r="W10" s="61"/>
      <c r="X10" s="61"/>
      <c r="Y10" s="912"/>
      <c r="Z10" s="902"/>
      <c r="AA10" s="61"/>
      <c r="AB10" s="1058"/>
      <c r="AC10" s="1059"/>
      <c r="AD10" s="593"/>
      <c r="AE10" s="593"/>
      <c r="AR10" t="s">
        <v>16</v>
      </c>
      <c r="AS10" s="447">
        <f>Summary!Q10/Summary!W10</f>
        <v>0.42703864473684211</v>
      </c>
      <c r="AT10" s="447">
        <f>1-AS10</f>
        <v>0.57296135526315783</v>
      </c>
      <c r="AV10" s="449">
        <f>G57/AW10</f>
        <v>0</v>
      </c>
      <c r="AW10" s="405">
        <f>Summary!J5</f>
        <v>158000</v>
      </c>
      <c r="AX10" t="s">
        <v>11</v>
      </c>
      <c r="AZ10" s="451"/>
    </row>
    <row r="11" spans="2:52" ht="7.5" customHeight="1">
      <c r="B11" s="554"/>
      <c r="C11" s="61"/>
      <c r="D11" s="61"/>
      <c r="E11" s="887"/>
      <c r="F11" s="887"/>
      <c r="G11" s="887"/>
      <c r="H11" s="887"/>
      <c r="I11" s="887"/>
      <c r="J11" s="887"/>
      <c r="K11" s="887"/>
      <c r="L11" s="887"/>
      <c r="M11" s="887"/>
      <c r="N11" s="887"/>
      <c r="O11" s="887"/>
      <c r="P11" s="887"/>
      <c r="Q11" s="887"/>
      <c r="R11" s="887"/>
      <c r="S11" s="887"/>
      <c r="T11" s="61"/>
      <c r="U11" s="555"/>
      <c r="V11" s="61"/>
      <c r="W11" s="61"/>
      <c r="X11" s="61"/>
      <c r="Y11" s="912"/>
      <c r="Z11" s="902"/>
      <c r="AA11" s="61"/>
      <c r="AB11" s="61"/>
      <c r="AC11" s="61"/>
    </row>
    <row r="12" spans="2:52" ht="15.6">
      <c r="B12" s="554"/>
      <c r="C12" s="888" t="s">
        <v>17</v>
      </c>
      <c r="D12" s="61"/>
      <c r="E12" s="556">
        <f>Summary!$D$4</f>
        <v>36570.75</v>
      </c>
      <c r="F12" s="557"/>
      <c r="G12" s="843">
        <f>Summary!E4</f>
        <v>238442.25</v>
      </c>
      <c r="H12" s="557"/>
      <c r="I12" s="843">
        <f>Summary!F4</f>
        <v>190166.66666666669</v>
      </c>
      <c r="J12" s="557"/>
      <c r="K12" s="558">
        <f>IF(I12&lt;=0,0,(G12-I12)/I12)</f>
        <v>0.253859333917616</v>
      </c>
      <c r="L12" s="559"/>
      <c r="M12" s="843">
        <f>Summary!J4</f>
        <v>815000</v>
      </c>
      <c r="N12" s="557"/>
      <c r="O12" s="848">
        <f>Summary!K4</f>
        <v>1100000</v>
      </c>
      <c r="P12" s="557"/>
      <c r="Q12" s="843">
        <f>+Summary!Q4</f>
        <v>6651828.2803000025</v>
      </c>
      <c r="R12" s="557"/>
      <c r="S12" s="848">
        <f>+Summary!T4</f>
        <v>8161666.666666667</v>
      </c>
      <c r="T12" s="61"/>
      <c r="U12" s="555"/>
      <c r="V12" s="61"/>
      <c r="W12" s="61"/>
      <c r="X12" s="61"/>
      <c r="Y12" s="913"/>
      <c r="Z12" s="905"/>
      <c r="AA12" s="61"/>
      <c r="AB12" s="1052"/>
      <c r="AC12" s="1056"/>
      <c r="AD12" s="1052"/>
      <c r="AE12" s="1056"/>
      <c r="AF12" s="362"/>
      <c r="AK12" s="452"/>
    </row>
    <row r="13" spans="2:52" ht="8.1" customHeight="1">
      <c r="B13" s="554"/>
      <c r="C13" s="888"/>
      <c r="D13" s="61"/>
      <c r="E13" s="557"/>
      <c r="F13" s="557"/>
      <c r="G13" s="888"/>
      <c r="H13" s="888"/>
      <c r="I13" s="888"/>
      <c r="J13" s="888"/>
      <c r="K13" s="889"/>
      <c r="L13" s="888"/>
      <c r="M13" s="557"/>
      <c r="N13" s="557"/>
      <c r="O13" s="557"/>
      <c r="P13" s="557"/>
      <c r="Q13" s="557"/>
      <c r="R13" s="557"/>
      <c r="S13" s="557"/>
      <c r="T13" s="61"/>
      <c r="U13" s="555"/>
      <c r="V13" s="61"/>
      <c r="W13" s="61"/>
      <c r="X13" s="61"/>
      <c r="Y13" s="912"/>
      <c r="Z13" s="902"/>
      <c r="AA13" s="61"/>
      <c r="AB13" s="1051"/>
      <c r="AC13" s="1057"/>
      <c r="AD13" s="1051"/>
      <c r="AE13" s="1057"/>
      <c r="AK13" s="452"/>
    </row>
    <row r="14" spans="2:52" ht="15.6">
      <c r="B14" s="554"/>
      <c r="C14" s="888" t="s">
        <v>18</v>
      </c>
      <c r="D14" s="61"/>
      <c r="E14" s="556">
        <f>Summary!D5</f>
        <v>0</v>
      </c>
      <c r="F14" s="557"/>
      <c r="G14" s="843">
        <f>Summary!E5</f>
        <v>1312.8979999999999</v>
      </c>
      <c r="H14" s="557"/>
      <c r="I14" s="843">
        <f>Summary!F5</f>
        <v>36866.666666666672</v>
      </c>
      <c r="J14" s="557"/>
      <c r="K14" s="558">
        <f>IF(I14&lt;=0,0,(G14-I14)/I14)</f>
        <v>-0.96438793851717897</v>
      </c>
      <c r="L14" s="559"/>
      <c r="M14" s="843">
        <f>Summary!J5</f>
        <v>158000</v>
      </c>
      <c r="N14" s="557"/>
      <c r="O14" s="848">
        <f>Summary!K5</f>
        <v>163799.99999999997</v>
      </c>
      <c r="P14" s="557"/>
      <c r="Q14" s="843">
        <f>+Summary!Q5</f>
        <v>1427162.5319999999</v>
      </c>
      <c r="R14" s="557"/>
      <c r="S14" s="848">
        <f>+Summary!T5</f>
        <v>1944420</v>
      </c>
      <c r="T14" s="61"/>
      <c r="U14" s="555"/>
      <c r="V14" s="61"/>
      <c r="W14" s="61"/>
      <c r="X14" s="914"/>
      <c r="Y14" s="913"/>
      <c r="Z14" s="902"/>
      <c r="AA14" s="61"/>
      <c r="AB14" s="1052"/>
      <c r="AC14" s="1056"/>
      <c r="AD14" s="1052"/>
      <c r="AE14" s="1056"/>
      <c r="AK14" s="452"/>
      <c r="AL14" s="362"/>
      <c r="AR14" t="s">
        <v>19</v>
      </c>
    </row>
    <row r="15" spans="2:52" ht="8.1" customHeight="1">
      <c r="B15" s="554"/>
      <c r="C15" s="888"/>
      <c r="D15" s="61"/>
      <c r="E15" s="557"/>
      <c r="F15" s="557"/>
      <c r="G15" s="888"/>
      <c r="H15" s="888"/>
      <c r="I15" s="888"/>
      <c r="J15" s="888"/>
      <c r="K15" s="889"/>
      <c r="L15" s="888"/>
      <c r="M15" s="557"/>
      <c r="N15" s="557"/>
      <c r="O15" s="557"/>
      <c r="P15" s="557"/>
      <c r="Q15" s="557"/>
      <c r="R15" s="557"/>
      <c r="S15" s="557"/>
      <c r="T15" s="61"/>
      <c r="U15" s="555"/>
      <c r="V15" s="61"/>
      <c r="W15" s="61"/>
      <c r="X15" s="61"/>
      <c r="Y15" s="912"/>
      <c r="Z15" s="902"/>
      <c r="AA15" s="61"/>
      <c r="AB15" s="1051"/>
      <c r="AC15" s="1057"/>
      <c r="AD15" s="1051"/>
      <c r="AE15" s="1057"/>
      <c r="AK15" s="452"/>
      <c r="AL15" s="362"/>
    </row>
    <row r="16" spans="2:52" ht="15.6">
      <c r="B16" s="554"/>
      <c r="C16" s="888" t="s">
        <v>20</v>
      </c>
      <c r="D16" s="61"/>
      <c r="E16" s="560">
        <f>IF(OR(E12=0,E14=0),0,E12/E14)</f>
        <v>0</v>
      </c>
      <c r="F16" s="561"/>
      <c r="G16" s="844">
        <f>IF(OR(G12=0,G14=0),0,G12/G14)</f>
        <v>181.61521306301023</v>
      </c>
      <c r="H16" s="561"/>
      <c r="I16" s="844">
        <f>IF(OR(I12=0,I14=0),0,I12/I14)</f>
        <v>5.1582278481012658</v>
      </c>
      <c r="J16" s="561"/>
      <c r="K16" s="562">
        <f>IF(I16&lt;=0,0,(G16-I16)/I16)</f>
        <v>34.208838851479285</v>
      </c>
      <c r="L16" s="559"/>
      <c r="M16" s="844">
        <f>IF(OR(M12=0,M14=0),0,M12/M14)</f>
        <v>5.1582278481012658</v>
      </c>
      <c r="N16" s="561"/>
      <c r="O16" s="849">
        <f>IF(OR(O12=0,O14=0),0,O12/O14)</f>
        <v>6.7155067155067165</v>
      </c>
      <c r="P16" s="561"/>
      <c r="Q16" s="844">
        <f>IF(OR(Q12=0,Q14=0),0,Q12/Q14)</f>
        <v>4.660876481235988</v>
      </c>
      <c r="R16" s="561"/>
      <c r="S16" s="849">
        <f>IF(OR(S12=0,S14=0),0,S12/S14)</f>
        <v>4.1974813397654147</v>
      </c>
      <c r="T16" s="61"/>
      <c r="U16" s="555"/>
      <c r="V16" s="61"/>
      <c r="W16" s="61"/>
      <c r="X16" s="61"/>
      <c r="Y16" s="912"/>
      <c r="Z16" s="902"/>
      <c r="AA16" s="61"/>
      <c r="AB16" s="1051"/>
      <c r="AC16" s="1057"/>
      <c r="AD16" s="1051"/>
      <c r="AE16" s="1057"/>
      <c r="AK16" s="452"/>
      <c r="AL16" s="362"/>
      <c r="AR16" t="s">
        <v>3</v>
      </c>
      <c r="AS16" s="449">
        <f>G12/M12</f>
        <v>0.29256717791411041</v>
      </c>
      <c r="AT16" s="457">
        <f>IF(1-AS16&lt;0,0,AU16)</f>
        <v>0.70743282208588965</v>
      </c>
      <c r="AU16" s="449">
        <f>1-AS16</f>
        <v>0.70743282208588965</v>
      </c>
      <c r="AX16" s="362"/>
    </row>
    <row r="17" spans="2:50" ht="8.1" customHeight="1">
      <c r="B17" s="554"/>
      <c r="C17" s="888"/>
      <c r="D17" s="61"/>
      <c r="E17" s="557"/>
      <c r="F17" s="557"/>
      <c r="G17" s="888"/>
      <c r="H17" s="888"/>
      <c r="I17" s="888"/>
      <c r="J17" s="888"/>
      <c r="K17" s="889"/>
      <c r="L17" s="888"/>
      <c r="M17" s="557"/>
      <c r="N17" s="557"/>
      <c r="O17" s="557"/>
      <c r="P17" s="557"/>
      <c r="Q17" s="557"/>
      <c r="R17" s="557"/>
      <c r="S17" s="557"/>
      <c r="T17" s="61"/>
      <c r="U17" s="555"/>
      <c r="V17" s="61"/>
      <c r="W17" s="61"/>
      <c r="X17" s="61"/>
      <c r="Y17" s="912"/>
      <c r="Z17" s="902"/>
      <c r="AA17" s="61"/>
      <c r="AB17" s="1051"/>
      <c r="AC17" s="1057"/>
      <c r="AD17" s="1051"/>
      <c r="AE17" s="1057"/>
      <c r="AK17" s="452"/>
      <c r="AL17" s="362"/>
      <c r="AT17" s="457"/>
      <c r="AX17" s="362"/>
    </row>
    <row r="18" spans="2:50" ht="15.6" customHeight="1">
      <c r="B18" s="554"/>
      <c r="C18" s="888" t="s">
        <v>21</v>
      </c>
      <c r="D18" s="61"/>
      <c r="E18" s="556">
        <f>Summary!D7</f>
        <v>0</v>
      </c>
      <c r="F18" s="557"/>
      <c r="G18" s="843">
        <f>Summary!E7</f>
        <v>3307.5</v>
      </c>
      <c r="H18" s="888"/>
      <c r="I18" s="843">
        <f>Summary!F7</f>
        <v>0</v>
      </c>
      <c r="J18" s="557"/>
      <c r="K18" s="558">
        <f>IF(I18&lt;=0,0,(G18-I18)/I18)</f>
        <v>0</v>
      </c>
      <c r="L18" s="559"/>
      <c r="M18" s="843">
        <f>Summary!J7</f>
        <v>0</v>
      </c>
      <c r="N18" s="557"/>
      <c r="O18" s="848">
        <f>Summary!K7</f>
        <v>0</v>
      </c>
      <c r="P18" s="557"/>
      <c r="Q18" s="843">
        <f>+Summary!Q7</f>
        <v>12561.687000000002</v>
      </c>
      <c r="R18" s="557"/>
      <c r="S18" s="848">
        <f>+Summary!T7</f>
        <v>0</v>
      </c>
      <c r="T18" s="61"/>
      <c r="U18" s="555"/>
      <c r="V18" s="61"/>
      <c r="W18" s="61"/>
      <c r="X18" s="61"/>
      <c r="Y18" s="912"/>
      <c r="Z18" s="902"/>
      <c r="AA18" s="61"/>
      <c r="AB18" s="1051"/>
      <c r="AC18" s="1057"/>
      <c r="AD18" s="1051"/>
      <c r="AE18" s="1057"/>
      <c r="AK18" s="452"/>
      <c r="AL18" s="362"/>
      <c r="AR18" t="s">
        <v>10</v>
      </c>
      <c r="AS18" s="449">
        <f>G20/M20</f>
        <v>0</v>
      </c>
      <c r="AT18" s="457">
        <f>IF(1-AS18&lt;0,0,AU18)</f>
        <v>1</v>
      </c>
      <c r="AU18" s="449">
        <f>1-AS18</f>
        <v>1</v>
      </c>
      <c r="AX18" s="362"/>
    </row>
    <row r="19" spans="2:50" ht="8.1" customHeight="1">
      <c r="B19" s="554"/>
      <c r="C19" s="888"/>
      <c r="D19" s="61"/>
      <c r="E19" s="557"/>
      <c r="F19" s="557"/>
      <c r="G19" s="888"/>
      <c r="H19" s="888"/>
      <c r="I19" s="888"/>
      <c r="J19" s="888"/>
      <c r="K19" s="889"/>
      <c r="L19" s="888"/>
      <c r="M19" s="557"/>
      <c r="N19" s="557"/>
      <c r="O19" s="557"/>
      <c r="P19" s="557"/>
      <c r="Q19" s="557"/>
      <c r="R19" s="557"/>
      <c r="S19" s="557"/>
      <c r="T19" s="61"/>
      <c r="U19" s="555"/>
      <c r="V19" s="61"/>
      <c r="W19" s="61"/>
      <c r="X19" s="61"/>
      <c r="Y19" s="912"/>
      <c r="Z19" s="902"/>
      <c r="AA19" s="61"/>
      <c r="AB19" s="1051"/>
      <c r="AC19" s="1057"/>
      <c r="AD19" s="1051"/>
      <c r="AE19" s="1057"/>
      <c r="AK19" s="452"/>
      <c r="AL19" s="362"/>
      <c r="AT19" s="457"/>
      <c r="AX19" s="362"/>
    </row>
    <row r="20" spans="2:50" ht="15.6">
      <c r="B20" s="554"/>
      <c r="C20" s="888" t="s">
        <v>22</v>
      </c>
      <c r="D20" s="61"/>
      <c r="E20" s="556">
        <f>Summary!D9</f>
        <v>0</v>
      </c>
      <c r="F20" s="557"/>
      <c r="G20" s="843">
        <f>Summary!E9</f>
        <v>0</v>
      </c>
      <c r="H20" s="557"/>
      <c r="I20" s="843">
        <f>Summary!F9</f>
        <v>37333.333333333328</v>
      </c>
      <c r="J20" s="557"/>
      <c r="K20" s="558">
        <f>IF(I20&lt;=0,0,(G20-I20)/I20)</f>
        <v>-1</v>
      </c>
      <c r="L20" s="559"/>
      <c r="M20" s="843">
        <f>Summary!J9</f>
        <v>160000</v>
      </c>
      <c r="N20" s="557"/>
      <c r="O20" s="848">
        <f>Summary!K9</f>
        <v>170000</v>
      </c>
      <c r="P20" s="557"/>
      <c r="Q20" s="843">
        <f>+Summary!Q9</f>
        <v>1349598.3890000002</v>
      </c>
      <c r="R20" s="557"/>
      <c r="S20" s="848">
        <f>+Summary!T9</f>
        <v>1884666.6666666667</v>
      </c>
      <c r="T20" s="61"/>
      <c r="U20" s="555"/>
      <c r="V20" s="61"/>
      <c r="W20" s="61"/>
      <c r="X20" s="61"/>
      <c r="Y20" s="912"/>
      <c r="Z20" s="902"/>
      <c r="AA20" s="61"/>
      <c r="AB20" s="1053"/>
      <c r="AC20" s="1056"/>
      <c r="AD20" s="1053"/>
      <c r="AE20" s="1056"/>
      <c r="AK20" s="452"/>
      <c r="AL20" s="362"/>
      <c r="AR20" t="s">
        <v>9</v>
      </c>
      <c r="AS20" s="449">
        <f>G14/M14</f>
        <v>8.3094810126582274E-3</v>
      </c>
      <c r="AT20" s="457">
        <f>IF(1-AS20&lt;0,0,AU20)</f>
        <v>0.99169051898734173</v>
      </c>
      <c r="AU20" s="449">
        <f>1-AS20</f>
        <v>0.99169051898734173</v>
      </c>
    </row>
    <row r="21" spans="2:50" ht="8.1" customHeight="1">
      <c r="B21" s="554"/>
      <c r="C21" s="888"/>
      <c r="D21" s="61"/>
      <c r="E21" s="557"/>
      <c r="F21" s="557"/>
      <c r="G21" s="888"/>
      <c r="H21" s="888"/>
      <c r="I21" s="888"/>
      <c r="J21" s="888"/>
      <c r="K21" s="889"/>
      <c r="L21" s="888"/>
      <c r="M21" s="557"/>
      <c r="N21" s="557"/>
      <c r="O21" s="557"/>
      <c r="P21" s="557"/>
      <c r="Q21" s="557"/>
      <c r="R21" s="557"/>
      <c r="S21" s="557"/>
      <c r="T21" s="61"/>
      <c r="U21" s="555"/>
      <c r="V21" s="61"/>
      <c r="W21" s="61"/>
      <c r="X21" s="61"/>
      <c r="Y21" s="912"/>
      <c r="Z21" s="902"/>
      <c r="AA21" s="61"/>
      <c r="AB21" s="1051"/>
      <c r="AC21" s="1057"/>
      <c r="AD21" s="1051"/>
      <c r="AE21" s="1057"/>
      <c r="AK21" s="452"/>
      <c r="AL21" s="362"/>
      <c r="AT21" s="457"/>
    </row>
    <row r="22" spans="2:50" ht="15.6">
      <c r="B22" s="554"/>
      <c r="C22" s="888" t="s">
        <v>23</v>
      </c>
      <c r="D22" s="61"/>
      <c r="E22" s="556">
        <f>Summary!D10</f>
        <v>0</v>
      </c>
      <c r="F22" s="557"/>
      <c r="G22" s="843">
        <f>Summary!E10</f>
        <v>0</v>
      </c>
      <c r="H22" s="557"/>
      <c r="I22" s="843">
        <f>Summary!F10</f>
        <v>40833.333333333336</v>
      </c>
      <c r="J22" s="557"/>
      <c r="K22" s="558">
        <f>IF(I22&lt;=0,0,(G22-I22)/I22)</f>
        <v>-1</v>
      </c>
      <c r="L22" s="559"/>
      <c r="M22" s="843">
        <f>Summary!J10</f>
        <v>175000</v>
      </c>
      <c r="N22" s="557"/>
      <c r="O22" s="848">
        <f>Summary!K10</f>
        <v>170000</v>
      </c>
      <c r="P22" s="557"/>
      <c r="Q22" s="843">
        <f>+Summary!Q10</f>
        <v>1298197.48</v>
      </c>
      <c r="R22" s="557"/>
      <c r="S22" s="848">
        <f>+Summary!T10</f>
        <v>1867166.6666666667</v>
      </c>
      <c r="T22" s="61"/>
      <c r="U22" s="555"/>
      <c r="V22" s="61"/>
      <c r="W22" s="61"/>
      <c r="X22" s="61"/>
      <c r="Y22" s="912"/>
      <c r="Z22" s="902"/>
      <c r="AA22" s="61"/>
      <c r="AB22" s="1051"/>
      <c r="AC22" s="1056"/>
      <c r="AD22" s="1051"/>
      <c r="AE22" s="1056"/>
      <c r="AK22" s="452"/>
      <c r="AL22" s="362"/>
      <c r="AR22" t="s">
        <v>24</v>
      </c>
      <c r="AS22" s="449">
        <f>+G22/M22</f>
        <v>0</v>
      </c>
      <c r="AT22" s="457">
        <f>IF(1-AS22&lt;0,0,AU22)</f>
        <v>1</v>
      </c>
      <c r="AU22" s="449">
        <f>1-AS22</f>
        <v>1</v>
      </c>
    </row>
    <row r="23" spans="2:50" ht="8.1" customHeight="1">
      <c r="B23" s="554"/>
      <c r="C23" s="888"/>
      <c r="D23" s="61"/>
      <c r="E23" s="557"/>
      <c r="F23" s="557"/>
      <c r="G23" s="888"/>
      <c r="H23" s="888"/>
      <c r="I23" s="888"/>
      <c r="J23" s="888"/>
      <c r="K23" s="889"/>
      <c r="L23" s="888"/>
      <c r="M23" s="557"/>
      <c r="N23" s="557"/>
      <c r="O23" s="557"/>
      <c r="P23" s="557"/>
      <c r="Q23" s="557"/>
      <c r="R23" s="557"/>
      <c r="S23" s="557"/>
      <c r="T23" s="61"/>
      <c r="U23" s="555"/>
      <c r="V23" s="61"/>
      <c r="W23" s="61"/>
      <c r="X23" s="61"/>
      <c r="Y23" s="912"/>
      <c r="Z23" s="902"/>
      <c r="AA23" s="61"/>
      <c r="AB23" s="1051"/>
      <c r="AC23" s="941"/>
    </row>
    <row r="24" spans="2:50" ht="15.6">
      <c r="B24" s="554"/>
      <c r="C24" s="888" t="s">
        <v>25</v>
      </c>
      <c r="D24" s="61"/>
      <c r="E24" s="556">
        <f>Summary!D8</f>
        <v>158177.17069199999</v>
      </c>
      <c r="F24" s="557"/>
      <c r="G24" s="843">
        <f>Summary!E8</f>
        <v>158177.17069199999</v>
      </c>
      <c r="H24" s="557"/>
      <c r="I24" s="843">
        <f>Summary!F8</f>
        <v>157816.3567333332</v>
      </c>
      <c r="J24" s="557"/>
      <c r="K24" s="558">
        <f>IF(I24&lt;=0,0,(G24-I24)/I24)</f>
        <v>2.2862900027305773E-3</v>
      </c>
      <c r="L24" s="559"/>
      <c r="M24" s="843">
        <f>Summary!J8</f>
        <v>154864.2727</v>
      </c>
      <c r="N24" s="557"/>
      <c r="O24" s="848">
        <f>Summary!K8</f>
        <v>213183.93240937701</v>
      </c>
      <c r="P24" s="557"/>
      <c r="Q24" s="843">
        <f>+Summary!Q8</f>
        <v>158177.17069199999</v>
      </c>
      <c r="R24" s="557"/>
      <c r="S24" s="848">
        <f>+Summary!T8</f>
        <v>213183.93240937701</v>
      </c>
      <c r="T24" s="61"/>
      <c r="U24" s="555"/>
      <c r="V24" s="61"/>
      <c r="W24" s="61"/>
      <c r="X24" s="61"/>
      <c r="Y24" s="912"/>
      <c r="Z24" s="902"/>
      <c r="AA24" s="61"/>
      <c r="AB24" s="1051"/>
      <c r="AC24" s="941"/>
      <c r="AR24" s="491" t="s">
        <v>26</v>
      </c>
    </row>
    <row r="25" spans="2:50" ht="8.1" customHeight="1">
      <c r="B25" s="554"/>
      <c r="C25" s="888"/>
      <c r="D25" s="61"/>
      <c r="E25" s="557"/>
      <c r="F25" s="557"/>
      <c r="G25" s="888"/>
      <c r="H25" s="888"/>
      <c r="I25" s="888"/>
      <c r="J25" s="888"/>
      <c r="K25" s="889"/>
      <c r="L25" s="888"/>
      <c r="M25" s="557"/>
      <c r="N25" s="557"/>
      <c r="O25" s="557"/>
      <c r="P25" s="557"/>
      <c r="Q25" s="557"/>
      <c r="R25" s="557"/>
      <c r="S25" s="557"/>
      <c r="T25" s="61"/>
      <c r="U25" s="555"/>
      <c r="V25" s="61"/>
      <c r="W25" s="61"/>
      <c r="X25" s="61"/>
      <c r="Y25" s="912"/>
      <c r="Z25" s="902"/>
      <c r="AA25" s="61"/>
      <c r="AB25" s="1051"/>
      <c r="AC25" s="61"/>
    </row>
    <row r="26" spans="2:50" ht="15.6">
      <c r="B26" s="554"/>
      <c r="C26" s="888" t="s">
        <v>27</v>
      </c>
      <c r="D26" s="61"/>
      <c r="E26" s="556">
        <f>Summary!D11</f>
        <v>53492.115105999997</v>
      </c>
      <c r="F26" s="557"/>
      <c r="G26" s="843">
        <f>Summary!E11</f>
        <v>53492.115105999997</v>
      </c>
      <c r="H26" s="557"/>
      <c r="I26" s="843">
        <f>Summary!F11</f>
        <v>49712.624999999993</v>
      </c>
      <c r="J26" s="557"/>
      <c r="K26" s="558">
        <f>IF(I26&lt;=0,0,(G26-I26)/I26)</f>
        <v>7.6026765957339912E-2</v>
      </c>
      <c r="L26" s="559"/>
      <c r="M26" s="843">
        <f>Summary!J11</f>
        <v>38492.115100000003</v>
      </c>
      <c r="N26" s="557"/>
      <c r="O26" s="848">
        <f>Summary!K11</f>
        <v>84984.685239999904</v>
      </c>
      <c r="P26" s="557"/>
      <c r="Q26" s="843">
        <f>+Summary!Q11</f>
        <v>53492.115105999997</v>
      </c>
      <c r="R26" s="557"/>
      <c r="S26" s="848">
        <f>+Summary!T11</f>
        <v>84984.685239999904</v>
      </c>
      <c r="T26" s="61"/>
      <c r="U26" s="555"/>
      <c r="V26" s="61"/>
      <c r="W26" s="61"/>
      <c r="X26" s="61"/>
      <c r="Y26" s="912"/>
      <c r="Z26" s="902"/>
      <c r="AA26" s="61"/>
      <c r="AB26" s="1051"/>
      <c r="AC26" s="61"/>
      <c r="AR26" t="s">
        <v>28</v>
      </c>
      <c r="AS26" s="405">
        <f>Summary!O5</f>
        <v>483800</v>
      </c>
      <c r="AT26" s="405">
        <f>Summary!M5</f>
        <v>349194.848</v>
      </c>
      <c r="AU26" s="449">
        <f>AT26/AS26</f>
        <v>0.7217752128978917</v>
      </c>
      <c r="AV26" s="449">
        <f>1-AU26</f>
        <v>0.2782247871021083</v>
      </c>
      <c r="AW26" s="449"/>
      <c r="AX26" s="362"/>
    </row>
    <row r="27" spans="2:50" ht="7.9" customHeight="1">
      <c r="B27" s="554"/>
      <c r="C27" s="888"/>
      <c r="D27" s="61"/>
      <c r="E27" s="557"/>
      <c r="F27" s="557"/>
      <c r="G27" s="557"/>
      <c r="H27" s="557"/>
      <c r="I27" s="557"/>
      <c r="J27" s="557"/>
      <c r="K27" s="563"/>
      <c r="L27" s="559"/>
      <c r="M27" s="557"/>
      <c r="N27" s="557"/>
      <c r="O27" s="557"/>
      <c r="P27" s="557"/>
      <c r="Q27" s="557"/>
      <c r="R27" s="557"/>
      <c r="S27" s="557"/>
      <c r="T27" s="61"/>
      <c r="U27" s="555"/>
      <c r="V27" s="61"/>
      <c r="W27" s="61"/>
      <c r="X27" s="61"/>
      <c r="Y27" s="912"/>
      <c r="Z27" s="902"/>
      <c r="AA27" s="61"/>
      <c r="AB27" s="1051"/>
      <c r="AC27" s="61"/>
      <c r="AS27" s="405"/>
      <c r="AT27" s="405"/>
      <c r="AU27" s="449"/>
      <c r="AV27" s="449"/>
      <c r="AW27" s="449"/>
      <c r="AX27" s="362"/>
    </row>
    <row r="28" spans="2:50" ht="15.6">
      <c r="B28" s="554"/>
      <c r="C28" s="888" t="s">
        <v>29</v>
      </c>
      <c r="D28" s="61"/>
      <c r="E28" s="560">
        <f>Summary!D13</f>
        <v>1.0845163362933501</v>
      </c>
      <c r="F28" s="557"/>
      <c r="G28" s="844">
        <f>Summary!E13</f>
        <v>1.1029474855769581</v>
      </c>
      <c r="H28" s="557"/>
      <c r="I28" s="844">
        <f>Summary!F13</f>
        <v>1.25</v>
      </c>
      <c r="J28" s="557"/>
      <c r="K28" s="558">
        <f>IF(I28&lt;=0,0,(G28-I28)/I28)</f>
        <v>-0.11764201153843352</v>
      </c>
      <c r="L28" s="559"/>
      <c r="M28" s="844">
        <f>Summary!J13</f>
        <v>1.25</v>
      </c>
      <c r="N28" s="561"/>
      <c r="O28" s="849">
        <f>Summary!K13</f>
        <v>1.2</v>
      </c>
      <c r="P28" s="561"/>
      <c r="Q28" s="844">
        <f>+Summary!Q13</f>
        <v>0.75680776263848681</v>
      </c>
      <c r="R28" s="561"/>
      <c r="S28" s="849">
        <f>+Summary!T13</f>
        <v>1.2946992153443766</v>
      </c>
      <c r="T28" s="61"/>
      <c r="U28" s="555"/>
      <c r="V28" s="61"/>
      <c r="W28" s="61"/>
      <c r="X28" s="61"/>
      <c r="Y28" s="912"/>
      <c r="Z28" s="902"/>
      <c r="AA28" s="61"/>
      <c r="AB28" s="1051"/>
      <c r="AC28" s="61"/>
      <c r="AR28" t="s">
        <v>24</v>
      </c>
      <c r="AS28" s="405">
        <f>Summary!O10</f>
        <v>410000</v>
      </c>
      <c r="AT28" s="405">
        <f>+Summary!M10</f>
        <v>172530.37000000002</v>
      </c>
      <c r="AU28" s="449">
        <f>AT28/AS28</f>
        <v>0.42080578048780493</v>
      </c>
      <c r="AV28" s="449">
        <f>1-AU28</f>
        <v>0.57919421951219507</v>
      </c>
      <c r="AW28" s="449"/>
      <c r="AX28" s="362"/>
    </row>
    <row r="29" spans="2:50" ht="9" customHeight="1">
      <c r="B29" s="554"/>
      <c r="C29" s="888"/>
      <c r="D29" s="61"/>
      <c r="E29" s="557"/>
      <c r="F29" s="557"/>
      <c r="G29" s="557"/>
      <c r="H29" s="557"/>
      <c r="I29" s="557"/>
      <c r="J29" s="557"/>
      <c r="K29" s="563"/>
      <c r="L29" s="559"/>
      <c r="M29" s="557"/>
      <c r="N29" s="557"/>
      <c r="O29" s="557"/>
      <c r="P29" s="557"/>
      <c r="Q29" s="557"/>
      <c r="R29" s="557"/>
      <c r="S29" s="557"/>
      <c r="T29" s="61"/>
      <c r="U29" s="555"/>
      <c r="V29" s="61"/>
      <c r="W29" s="61"/>
      <c r="X29" s="61"/>
      <c r="Y29" s="912"/>
      <c r="Z29" s="902"/>
      <c r="AA29" s="61"/>
      <c r="AB29" s="61"/>
      <c r="AC29" s="61"/>
      <c r="AS29" s="405"/>
      <c r="AT29" s="405"/>
      <c r="AU29" s="449"/>
      <c r="AV29" s="449"/>
      <c r="AW29" s="449"/>
      <c r="AX29" s="362"/>
    </row>
    <row r="30" spans="2:50" ht="15.6">
      <c r="B30" s="554"/>
      <c r="C30" s="888" t="s">
        <v>30</v>
      </c>
      <c r="D30" s="61"/>
      <c r="E30" s="560">
        <f>Summary!D14</f>
        <v>0</v>
      </c>
      <c r="F30" s="561"/>
      <c r="G30" s="844">
        <f>Summary!E14</f>
        <v>12.908824000000001</v>
      </c>
      <c r="H30" s="557"/>
      <c r="I30" s="844">
        <f>Summary!F14</f>
        <v>13.75</v>
      </c>
      <c r="J30" s="557"/>
      <c r="K30" s="558">
        <f>IF(I30&lt;=0,0,(G30-I30)/I30)</f>
        <v>-6.1176436363636295E-2</v>
      </c>
      <c r="L30" s="559"/>
      <c r="M30" s="844">
        <f>Summary!J14</f>
        <v>13.75</v>
      </c>
      <c r="N30" s="561"/>
      <c r="O30" s="849">
        <f>Summary!K14</f>
        <v>14.25</v>
      </c>
      <c r="P30" s="557"/>
      <c r="Q30" s="844">
        <f>+Summary!Q14</f>
        <v>10.478817970912097</v>
      </c>
      <c r="R30" s="561"/>
      <c r="S30" s="849">
        <f>+Summary!T14</f>
        <v>14.663125709242214</v>
      </c>
      <c r="T30" s="61"/>
      <c r="U30" s="555"/>
      <c r="V30" s="61"/>
      <c r="W30" s="61"/>
      <c r="X30" s="61"/>
      <c r="Y30" s="912"/>
      <c r="Z30" s="902"/>
      <c r="AA30" s="61"/>
      <c r="AB30" s="941"/>
      <c r="AC30" s="61"/>
      <c r="AR30" t="s">
        <v>3</v>
      </c>
      <c r="AS30" s="405">
        <f>Summary!O4</f>
        <v>3270000</v>
      </c>
      <c r="AT30" s="405">
        <f>+Summary!M4</f>
        <v>2220016.1948000002</v>
      </c>
      <c r="AU30" s="449">
        <f>AT30/AS30</f>
        <v>0.67890403510703368</v>
      </c>
      <c r="AV30" s="449">
        <f>1-AU30</f>
        <v>0.32109596489296632</v>
      </c>
      <c r="AW30" s="449"/>
      <c r="AX30" s="362"/>
    </row>
    <row r="31" spans="2:50" ht="15.6">
      <c r="B31" s="554"/>
      <c r="C31" s="888"/>
      <c r="D31" s="61"/>
      <c r="E31" s="557"/>
      <c r="F31" s="557"/>
      <c r="G31" s="557"/>
      <c r="H31" s="557"/>
      <c r="I31" s="557"/>
      <c r="J31" s="557"/>
      <c r="K31" s="563"/>
      <c r="L31" s="559"/>
      <c r="M31" s="557"/>
      <c r="N31" s="557"/>
      <c r="O31" s="557"/>
      <c r="P31" s="557"/>
      <c r="Q31" s="557"/>
      <c r="R31" s="557"/>
      <c r="S31" s="557"/>
      <c r="T31" s="61"/>
      <c r="U31" s="555"/>
      <c r="V31" s="61"/>
      <c r="W31" s="61"/>
      <c r="X31" s="61"/>
      <c r="Y31" s="912"/>
      <c r="Z31" s="902"/>
      <c r="AA31" s="61"/>
      <c r="AB31" s="941"/>
      <c r="AC31" s="61"/>
      <c r="AS31" s="405"/>
      <c r="AT31" s="405"/>
      <c r="AU31" s="449"/>
      <c r="AV31" s="449"/>
      <c r="AW31" s="449"/>
      <c r="AX31" s="362"/>
    </row>
    <row r="32" spans="2:50" ht="8.1" customHeight="1">
      <c r="B32" s="554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555"/>
      <c r="V32" s="61"/>
      <c r="W32" s="61"/>
      <c r="X32" s="61"/>
      <c r="Y32" s="912"/>
      <c r="Z32" s="902"/>
      <c r="AA32" s="61"/>
      <c r="AB32" s="61"/>
      <c r="AC32" s="61"/>
      <c r="AT32" s="405"/>
      <c r="AU32" s="449"/>
      <c r="AV32" s="449"/>
      <c r="AW32" s="449"/>
      <c r="AX32" s="362"/>
    </row>
    <row r="33" spans="2:49">
      <c r="B33" s="554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555"/>
      <c r="V33" s="61"/>
      <c r="W33" s="61"/>
      <c r="X33" s="61"/>
      <c r="Y33" s="915"/>
      <c r="Z33" s="902"/>
      <c r="AA33" s="61"/>
      <c r="AB33" s="61"/>
      <c r="AC33" s="61"/>
      <c r="AR33" t="s">
        <v>31</v>
      </c>
      <c r="AS33" s="405">
        <f>+Summary!O9</f>
        <v>475000</v>
      </c>
      <c r="AT33" s="405">
        <f>Summary!M9</f>
        <v>208993.45500000007</v>
      </c>
      <c r="AU33" s="449">
        <f>AT33/AS33</f>
        <v>0.43998622105263174</v>
      </c>
      <c r="AV33" s="449">
        <f>1-AU33</f>
        <v>0.56001377894736826</v>
      </c>
      <c r="AW33" s="449"/>
    </row>
    <row r="34" spans="2:49" ht="17.45">
      <c r="B34" s="554"/>
      <c r="C34" s="61"/>
      <c r="D34" s="61"/>
      <c r="E34" s="1266" t="s">
        <v>32</v>
      </c>
      <c r="F34" s="1266"/>
      <c r="G34" s="1266"/>
      <c r="H34" s="1266"/>
      <c r="I34" s="1266"/>
      <c r="J34" s="1266"/>
      <c r="K34" s="1266"/>
      <c r="L34" s="1266"/>
      <c r="M34" s="1266"/>
      <c r="N34" s="1266"/>
      <c r="O34" s="1266"/>
      <c r="P34" s="1266"/>
      <c r="Q34" s="1266"/>
      <c r="R34" s="1266"/>
      <c r="S34" s="1266"/>
      <c r="T34" s="61"/>
      <c r="U34" s="555"/>
      <c r="V34" s="61"/>
      <c r="W34" s="61"/>
      <c r="X34" s="61"/>
      <c r="Y34" s="916"/>
      <c r="Z34" s="902"/>
      <c r="AA34" s="61"/>
      <c r="AB34" s="61"/>
      <c r="AC34" s="61"/>
    </row>
    <row r="35" spans="2:49" ht="17.45">
      <c r="B35" s="554"/>
      <c r="C35" s="61"/>
      <c r="D35" s="61"/>
      <c r="E35" s="890"/>
      <c r="F35" s="890"/>
      <c r="G35" s="890"/>
      <c r="H35" s="890"/>
      <c r="I35" s="890"/>
      <c r="J35" s="890"/>
      <c r="K35" s="890"/>
      <c r="L35" s="890"/>
      <c r="M35" s="890"/>
      <c r="N35" s="890"/>
      <c r="O35" s="890"/>
      <c r="P35" s="890"/>
      <c r="Q35" s="890"/>
      <c r="R35" s="890"/>
      <c r="S35" s="890"/>
      <c r="T35" s="61"/>
      <c r="U35" s="555"/>
      <c r="V35" s="61"/>
      <c r="W35" s="61"/>
      <c r="X35" s="61"/>
      <c r="Y35" s="916"/>
      <c r="Z35" s="902"/>
      <c r="AA35" s="61"/>
      <c r="AB35" s="61"/>
      <c r="AC35" s="61"/>
    </row>
    <row r="36" spans="2:49" ht="15.6">
      <c r="B36" s="554"/>
      <c r="C36" s="888" t="s">
        <v>33</v>
      </c>
      <c r="D36" s="61"/>
      <c r="E36" s="570">
        <f>Summary!D15</f>
        <v>0</v>
      </c>
      <c r="F36" s="561"/>
      <c r="G36" s="843">
        <f>Summary!E15</f>
        <v>0</v>
      </c>
      <c r="H36" s="564"/>
      <c r="I36" s="847">
        <f>Summary!F15</f>
        <v>71.633333333333326</v>
      </c>
      <c r="J36" s="888"/>
      <c r="K36" s="562">
        <f>IF(I36&lt;=0,0,(G36-I36)/I36)</f>
        <v>-1</v>
      </c>
      <c r="L36" s="888"/>
      <c r="M36" s="845">
        <f>Summary!J15</f>
        <v>307</v>
      </c>
      <c r="N36" s="565"/>
      <c r="O36" s="850">
        <f>Summary!K15</f>
        <v>307.2250194444444</v>
      </c>
      <c r="P36" s="565"/>
      <c r="Q36" s="570">
        <f>+Summary!Q15</f>
        <v>2833.87</v>
      </c>
      <c r="R36" s="561"/>
      <c r="S36" s="843">
        <f>+Summary!T15</f>
        <v>3103.639285439815</v>
      </c>
      <c r="T36" s="61"/>
      <c r="U36" s="555"/>
      <c r="V36" s="61"/>
      <c r="W36" s="61"/>
      <c r="X36" s="61"/>
      <c r="Y36" s="912"/>
      <c r="Z36" s="902"/>
      <c r="AA36" s="61"/>
      <c r="AB36" s="61"/>
      <c r="AC36" s="61"/>
    </row>
    <row r="37" spans="2:49" ht="7.5" customHeight="1">
      <c r="B37" s="554"/>
      <c r="C37" s="888"/>
      <c r="D37" s="61"/>
      <c r="E37" s="561"/>
      <c r="F37" s="561"/>
      <c r="G37" s="561"/>
      <c r="H37" s="561"/>
      <c r="I37" s="561"/>
      <c r="J37" s="888"/>
      <c r="K37" s="889"/>
      <c r="L37" s="888"/>
      <c r="M37" s="566"/>
      <c r="N37" s="566"/>
      <c r="O37" s="566"/>
      <c r="P37" s="566"/>
      <c r="Q37" s="561"/>
      <c r="R37" s="561"/>
      <c r="S37" s="561"/>
      <c r="T37" s="61"/>
      <c r="U37" s="555"/>
      <c r="V37" s="61"/>
      <c r="W37" s="61"/>
      <c r="X37" s="61"/>
      <c r="Y37" s="912"/>
      <c r="Z37" s="902"/>
      <c r="AA37" s="61"/>
      <c r="AB37" s="61"/>
      <c r="AC37" s="61"/>
    </row>
    <row r="38" spans="2:49" ht="15.6">
      <c r="B38" s="554"/>
      <c r="C38" s="888" t="s">
        <v>34</v>
      </c>
      <c r="D38" s="61"/>
      <c r="E38" s="592">
        <f>Summary!D16</f>
        <v>0</v>
      </c>
      <c r="F38" s="561"/>
      <c r="G38" s="985">
        <f>Summary!E16</f>
        <v>0</v>
      </c>
      <c r="H38" s="561"/>
      <c r="I38" s="847">
        <f>Summary!F16</f>
        <v>17.266666666666666</v>
      </c>
      <c r="J38" s="888"/>
      <c r="K38" s="562">
        <f>IF(I38&lt;=0,0,(G38-I38)/I38)</f>
        <v>-1</v>
      </c>
      <c r="L38" s="888"/>
      <c r="M38" s="846">
        <f>Summary!J16</f>
        <v>74</v>
      </c>
      <c r="N38" s="566"/>
      <c r="O38" s="851">
        <f>Summary!K16</f>
        <v>71.42238805970149</v>
      </c>
      <c r="P38" s="566"/>
      <c r="Q38" s="556">
        <f>+Summary!Q16</f>
        <v>609.52</v>
      </c>
      <c r="R38" s="561"/>
      <c r="S38" s="843">
        <f>+Summary!T16</f>
        <v>626.58835820895524</v>
      </c>
      <c r="T38" s="61"/>
      <c r="U38" s="555"/>
      <c r="V38" s="61"/>
      <c r="W38" s="61"/>
      <c r="X38" s="61"/>
      <c r="Y38" s="912"/>
      <c r="Z38" s="902"/>
      <c r="AA38" s="941"/>
      <c r="AB38" s="984"/>
      <c r="AC38" s="935"/>
    </row>
    <row r="39" spans="2:49" ht="7.5" customHeight="1">
      <c r="B39" s="554"/>
      <c r="C39" s="888"/>
      <c r="D39" s="61"/>
      <c r="E39" s="561"/>
      <c r="F39" s="561"/>
      <c r="G39" s="986"/>
      <c r="H39" s="561"/>
      <c r="I39" s="561"/>
      <c r="J39" s="888"/>
      <c r="K39" s="889"/>
      <c r="L39" s="888"/>
      <c r="M39" s="566"/>
      <c r="N39" s="566"/>
      <c r="O39" s="566"/>
      <c r="P39" s="566"/>
      <c r="Q39" s="561"/>
      <c r="R39" s="561"/>
      <c r="S39" s="561"/>
      <c r="T39" s="61"/>
      <c r="U39" s="555"/>
      <c r="V39" s="61"/>
      <c r="W39" s="61"/>
      <c r="X39" s="61"/>
      <c r="Y39" s="912"/>
      <c r="Z39" s="902"/>
      <c r="AA39" s="61"/>
      <c r="AB39" s="984"/>
      <c r="AC39" s="935"/>
    </row>
    <row r="40" spans="2:49" ht="15.6">
      <c r="B40" s="554"/>
      <c r="C40" s="888" t="s">
        <v>35</v>
      </c>
      <c r="D40" s="61"/>
      <c r="E40" s="592">
        <f>Summary!D17</f>
        <v>0</v>
      </c>
      <c r="F40" s="561"/>
      <c r="G40" s="985">
        <f>Summary!E17</f>
        <v>0</v>
      </c>
      <c r="H40" s="561"/>
      <c r="I40" s="847">
        <f>Summary!F17</f>
        <v>5.1333333333333329</v>
      </c>
      <c r="J40" s="888"/>
      <c r="K40" s="562">
        <f>IF(I40&lt;=0,0,(G40-I40)/I40)</f>
        <v>-1</v>
      </c>
      <c r="L40" s="888"/>
      <c r="M40" s="846">
        <f>Summary!J17</f>
        <v>22</v>
      </c>
      <c r="N40" s="566"/>
      <c r="O40" s="851">
        <f>Summary!K17</f>
        <v>24.283611940298513</v>
      </c>
      <c r="P40" s="566"/>
      <c r="Q40" s="556">
        <f>+Summary!Q17</f>
        <v>178.6</v>
      </c>
      <c r="R40" s="561"/>
      <c r="S40" s="843">
        <f>+Summary!T17</f>
        <v>213.04004179104481</v>
      </c>
      <c r="T40" s="61"/>
      <c r="U40" s="899"/>
      <c r="V40" s="898"/>
      <c r="W40" s="898"/>
      <c r="X40" s="898"/>
      <c r="Y40" s="917"/>
      <c r="Z40" s="902"/>
      <c r="AA40" s="935"/>
      <c r="AB40" s="984"/>
      <c r="AC40" s="935"/>
      <c r="AD40" s="449"/>
      <c r="AW40" s="449"/>
    </row>
    <row r="41" spans="2:49" ht="7.5" customHeight="1">
      <c r="B41" s="554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902"/>
      <c r="AA41" s="61"/>
      <c r="AB41" s="61"/>
      <c r="AC41" s="61"/>
    </row>
    <row r="42" spans="2:49" ht="17.45">
      <c r="B42" s="554"/>
      <c r="C42" s="61"/>
      <c r="D42" s="61"/>
      <c r="E42" s="1265"/>
      <c r="F42" s="1265"/>
      <c r="G42" s="1265"/>
      <c r="H42" s="1265"/>
      <c r="I42" s="1265"/>
      <c r="J42" s="1265"/>
      <c r="K42" s="1265"/>
      <c r="L42" s="1265"/>
      <c r="M42" s="1265"/>
      <c r="N42" s="1265"/>
      <c r="O42" s="1265"/>
      <c r="P42" s="891"/>
      <c r="Q42" s="891"/>
      <c r="R42" s="891"/>
      <c r="S42" s="891"/>
      <c r="T42" s="61"/>
      <c r="U42" s="61"/>
      <c r="V42" s="61"/>
      <c r="W42" s="61"/>
      <c r="X42" s="61"/>
      <c r="Y42" s="61"/>
      <c r="Z42" s="902"/>
      <c r="AA42" s="61"/>
      <c r="AB42" s="61"/>
      <c r="AC42" s="61"/>
      <c r="AR42" t="s">
        <v>36</v>
      </c>
      <c r="AU42" s="573">
        <v>3</v>
      </c>
    </row>
    <row r="43" spans="2:49" ht="18.600000000000001">
      <c r="B43" s="554"/>
      <c r="C43" s="61"/>
      <c r="D43" s="61"/>
      <c r="E43" s="1262" t="s">
        <v>37</v>
      </c>
      <c r="F43" s="1262"/>
      <c r="G43" s="1262"/>
      <c r="H43" s="1262"/>
      <c r="I43" s="1262"/>
      <c r="J43" s="1262"/>
      <c r="K43" s="1262"/>
      <c r="L43" s="1262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902"/>
      <c r="AA43" s="61"/>
      <c r="AB43" s="61"/>
      <c r="AC43" s="61"/>
      <c r="AU43" s="573"/>
    </row>
    <row r="44" spans="2:49">
      <c r="B44" s="554"/>
      <c r="C44" s="61"/>
      <c r="D44" s="1267" t="s">
        <v>38</v>
      </c>
      <c r="E44" s="1268"/>
      <c r="F44" s="1268"/>
      <c r="G44" s="1269"/>
      <c r="H44" s="61"/>
      <c r="I44" s="1267" t="s">
        <v>39</v>
      </c>
      <c r="J44" s="1268"/>
      <c r="K44" s="1268"/>
      <c r="L44" s="1268"/>
      <c r="M44" s="1269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902"/>
      <c r="AA44" s="61"/>
      <c r="AB44" s="61"/>
      <c r="AC44" s="61"/>
      <c r="AR44" t="s">
        <v>40</v>
      </c>
      <c r="AV44" t="s">
        <v>41</v>
      </c>
    </row>
    <row r="45" spans="2:49" ht="18.600000000000001">
      <c r="B45" s="554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892"/>
      <c r="O45" s="892"/>
      <c r="P45" s="892"/>
      <c r="Q45" s="892"/>
      <c r="R45" s="892"/>
      <c r="S45" s="892"/>
      <c r="T45" s="61"/>
      <c r="U45" s="61"/>
      <c r="V45" s="61"/>
      <c r="W45" s="61"/>
      <c r="X45" s="61"/>
      <c r="Y45" s="61"/>
      <c r="Z45" s="902"/>
      <c r="AA45" s="61"/>
      <c r="AB45" s="61"/>
      <c r="AC45" s="61"/>
      <c r="AR45" t="s">
        <v>42</v>
      </c>
      <c r="AU45" s="573">
        <v>1</v>
      </c>
      <c r="AV45" t="s">
        <v>43</v>
      </c>
    </row>
    <row r="46" spans="2:49">
      <c r="B46" s="554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902"/>
      <c r="AA46" s="61"/>
      <c r="AB46" s="61"/>
      <c r="AC46" s="61"/>
      <c r="AR46" t="s">
        <v>44</v>
      </c>
      <c r="AV46" t="s">
        <v>45</v>
      </c>
    </row>
    <row r="47" spans="2:49" ht="15">
      <c r="B47" s="554"/>
      <c r="C47" s="61"/>
      <c r="D47" s="61"/>
      <c r="E47" s="893" t="s">
        <v>46</v>
      </c>
      <c r="F47" s="893"/>
      <c r="G47" s="893" t="s">
        <v>6</v>
      </c>
      <c r="H47" s="893"/>
      <c r="I47" s="1270" t="s">
        <v>47</v>
      </c>
      <c r="J47" s="1270"/>
      <c r="K47" s="1270"/>
      <c r="L47" s="1270" t="s">
        <v>48</v>
      </c>
      <c r="M47" s="1270"/>
      <c r="N47" s="1270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902"/>
      <c r="AA47" s="61"/>
      <c r="AB47" s="61"/>
      <c r="AC47" s="61"/>
      <c r="AR47" t="s">
        <v>49</v>
      </c>
      <c r="AU47" s="573">
        <v>1.5</v>
      </c>
      <c r="AV47" t="s">
        <v>50</v>
      </c>
    </row>
    <row r="48" spans="2:49">
      <c r="B48" s="554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902"/>
      <c r="AA48" s="61"/>
      <c r="AB48" s="61"/>
      <c r="AC48" s="61"/>
      <c r="AR48" t="s">
        <v>51</v>
      </c>
      <c r="AU48" s="573">
        <v>1</v>
      </c>
      <c r="AV48" t="s">
        <v>52</v>
      </c>
    </row>
    <row r="49" spans="2:47">
      <c r="B49" s="554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902"/>
      <c r="AA49" s="61"/>
      <c r="AB49" s="61"/>
      <c r="AC49" s="61"/>
      <c r="AR49" t="s">
        <v>53</v>
      </c>
      <c r="AU49" s="573">
        <v>1</v>
      </c>
    </row>
    <row r="50" spans="2:47" ht="15.6" customHeight="1">
      <c r="B50" s="554"/>
      <c r="C50" s="61"/>
      <c r="D50" s="583">
        <f>+MAX(VLOOKUP($E$9,'Equipment '!$A$3:$U$36,4,FALSE),VLOOKUP(Dashboard!$E$9,'Equipment '!$A$3:$U$36,14,FALSE))</f>
        <v>13.924999999999992</v>
      </c>
      <c r="E50" s="583">
        <f>+MAX(VLOOKUP($E$9,'Equipment '!$A$3:$U$36,5,FALSE),VLOOKUP(Dashboard!$E$9,'Equipment '!$A$3:$U$36,15,FALSE))</f>
        <v>1.758333333332909</v>
      </c>
      <c r="F50" s="61"/>
      <c r="G50" s="583">
        <f>+MAX(VLOOKUP($E$9,'Equipment '!$A$3:$U$36,2,FALSE),VLOOKUP(Dashboard!$E$9,'Equipment '!$A$3:$U$36,12,FALSE))</f>
        <v>4.5583333333329392</v>
      </c>
      <c r="H50" s="61"/>
      <c r="I50" s="583">
        <f>+MAX(VLOOKUP($E$9,'Equipment '!$A$3:$U$36,7,FALSE),VLOOKUP(Dashboard!$E$9,'Equipment '!$A$3:$U$36,17,FALSE))</f>
        <v>0</v>
      </c>
      <c r="J50" s="61"/>
      <c r="K50" s="1258">
        <f>+MAX(VLOOKUP($E$9,'Equipment '!$A$3:$U$36,6,FALSE),VLOOKUP(Dashboard!$E$9,'Equipment '!$A$3:$U$36,16,FALSE))</f>
        <v>0</v>
      </c>
      <c r="L50" s="1259"/>
      <c r="M50" s="1260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902"/>
      <c r="AA50" s="61"/>
      <c r="AB50" s="61"/>
      <c r="AC50" s="61"/>
    </row>
    <row r="51" spans="2:47" ht="15.6" customHeight="1">
      <c r="B51" s="554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902"/>
      <c r="AA51" s="61"/>
      <c r="AB51" s="61"/>
      <c r="AC51" s="61"/>
      <c r="AR51" t="s">
        <v>54</v>
      </c>
    </row>
    <row r="52" spans="2:47" ht="15.6" customHeight="1">
      <c r="B52" s="554"/>
      <c r="C52" s="61"/>
      <c r="D52" s="61"/>
      <c r="E52" s="564"/>
      <c r="F52" s="888"/>
      <c r="G52" s="564"/>
      <c r="H52" s="61"/>
      <c r="I52" s="61"/>
      <c r="J52" s="61"/>
      <c r="K52" s="61"/>
      <c r="L52" s="61"/>
      <c r="M52" s="894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902"/>
      <c r="AA52" s="61"/>
      <c r="AB52" s="61"/>
      <c r="AC52" s="61"/>
      <c r="AR52" t="s">
        <v>55</v>
      </c>
    </row>
    <row r="53" spans="2:47" ht="15.6" customHeight="1">
      <c r="B53" s="554"/>
      <c r="C53" s="1247"/>
      <c r="D53" s="895"/>
      <c r="E53" s="567"/>
      <c r="F53" s="888"/>
      <c r="G53" s="567"/>
      <c r="H53" s="61"/>
      <c r="I53" s="61"/>
      <c r="J53" s="61"/>
      <c r="K53" s="568"/>
      <c r="L53" s="61"/>
      <c r="M53" s="569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902"/>
      <c r="AA53" s="61"/>
      <c r="AB53" s="61"/>
      <c r="AC53" s="61"/>
      <c r="AR53" s="1271" t="s">
        <v>56</v>
      </c>
      <c r="AS53" s="1271"/>
      <c r="AT53" s="1271"/>
      <c r="AU53" s="1271"/>
    </row>
    <row r="54" spans="2:47" ht="19.899999999999999" customHeight="1">
      <c r="B54" s="554"/>
      <c r="C54" s="1247"/>
      <c r="D54" s="895"/>
      <c r="E54" s="567"/>
      <c r="F54" s="888"/>
      <c r="G54" s="567"/>
      <c r="H54" s="61"/>
      <c r="I54" s="61"/>
      <c r="J54" s="61"/>
      <c r="K54" s="568"/>
      <c r="L54" s="61"/>
      <c r="M54" s="584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902"/>
      <c r="AA54" s="61"/>
      <c r="AB54" s="61"/>
      <c r="AC54" s="61"/>
    </row>
    <row r="55" spans="2:47" ht="19.899999999999999" customHeight="1">
      <c r="B55" s="554"/>
      <c r="C55" s="1247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902"/>
      <c r="AA55" s="61"/>
      <c r="AB55" s="61"/>
      <c r="AC55" s="61"/>
    </row>
    <row r="56" spans="2:47" ht="19.899999999999999" customHeight="1">
      <c r="B56" s="554"/>
      <c r="C56" s="1247"/>
      <c r="D56" s="895"/>
      <c r="E56" s="567"/>
      <c r="F56" s="896"/>
      <c r="G56" s="567"/>
      <c r="H56" s="61"/>
      <c r="I56" s="61"/>
      <c r="J56" s="61"/>
      <c r="K56" s="568"/>
      <c r="L56" s="61"/>
      <c r="M56" s="569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902"/>
      <c r="AA56" s="61"/>
      <c r="AB56" s="61"/>
      <c r="AC56" s="61"/>
    </row>
    <row r="57" spans="2:47" ht="19.899999999999999" customHeight="1">
      <c r="B57" s="554"/>
      <c r="C57" s="1247"/>
      <c r="D57" s="895"/>
      <c r="E57" s="567"/>
      <c r="F57" s="896"/>
      <c r="G57" s="567"/>
      <c r="H57" s="61"/>
      <c r="I57" s="61"/>
      <c r="J57" s="61"/>
      <c r="K57" s="568"/>
      <c r="L57" s="61"/>
      <c r="M57" s="584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902"/>
      <c r="AA57" s="61"/>
      <c r="AB57" s="914"/>
      <c r="AC57" s="61"/>
    </row>
    <row r="58" spans="2:47" ht="19.899999999999999" customHeight="1">
      <c r="B58" s="554"/>
      <c r="C58" s="1247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902"/>
      <c r="AA58" s="61"/>
      <c r="AB58" s="61"/>
      <c r="AC58" s="61"/>
    </row>
    <row r="59" spans="2:47" ht="19.899999999999999" customHeight="1">
      <c r="B59" s="554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907"/>
      <c r="Y59" s="907"/>
      <c r="Z59" s="906"/>
      <c r="AA59" s="907"/>
      <c r="AB59" s="907"/>
      <c r="AC59" s="61"/>
    </row>
    <row r="60" spans="2:47" ht="19.899999999999999" customHeight="1">
      <c r="B60" s="554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909"/>
      <c r="Y60" s="909"/>
      <c r="Z60" s="908"/>
      <c r="AA60" s="909"/>
      <c r="AB60" s="909"/>
      <c r="AC60" s="61"/>
    </row>
    <row r="61" spans="2:47" ht="19.899999999999999" customHeight="1">
      <c r="B61" s="554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909"/>
      <c r="Y61" s="909"/>
      <c r="Z61" s="908"/>
      <c r="AA61" s="909"/>
      <c r="AB61" s="909"/>
      <c r="AC61" s="61"/>
    </row>
    <row r="62" spans="2:47" ht="19.899999999999999" customHeight="1">
      <c r="B62" s="554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909"/>
      <c r="Y62" s="909"/>
      <c r="Z62" s="908"/>
      <c r="AA62" s="909"/>
      <c r="AB62" s="909"/>
      <c r="AC62" s="61"/>
      <c r="AF62" t="s">
        <v>57</v>
      </c>
    </row>
    <row r="63" spans="2:47" ht="19.899999999999999" customHeight="1">
      <c r="B63" s="554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909"/>
      <c r="Y63" s="909"/>
      <c r="Z63" s="908"/>
      <c r="AA63" s="909"/>
      <c r="AB63" s="909"/>
      <c r="AC63" s="61"/>
    </row>
    <row r="64" spans="2:47" ht="15.6">
      <c r="B64" s="554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897"/>
      <c r="P64" s="897"/>
      <c r="Q64" s="897"/>
      <c r="R64" s="897"/>
      <c r="S64" s="897"/>
      <c r="T64" s="61"/>
      <c r="U64" s="61"/>
      <c r="V64" s="61"/>
      <c r="W64" s="61"/>
      <c r="X64" s="61"/>
      <c r="Y64" s="61"/>
      <c r="Z64" s="902"/>
      <c r="AA64" s="61"/>
      <c r="AB64" s="61"/>
      <c r="AC64" s="61"/>
      <c r="AE64" s="362"/>
      <c r="AF64" s="362"/>
    </row>
    <row r="65" spans="2:32" ht="30" customHeight="1">
      <c r="B65" s="554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1276"/>
      <c r="P65" s="1276"/>
      <c r="Q65" s="1276"/>
      <c r="R65" s="1276"/>
      <c r="S65" s="1276"/>
      <c r="T65" s="1276"/>
      <c r="U65" s="1276"/>
      <c r="V65" s="1276"/>
      <c r="W65" s="1276"/>
      <c r="X65" s="1276"/>
      <c r="Y65" s="1276"/>
      <c r="Z65" s="910"/>
      <c r="AA65" s="911"/>
      <c r="AB65" s="61"/>
      <c r="AC65" s="61"/>
      <c r="AE65" s="362"/>
      <c r="AF65" s="362">
        <f>13*31</f>
        <v>403</v>
      </c>
    </row>
    <row r="66" spans="2:32" ht="27.6" customHeight="1">
      <c r="B66" s="554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1276"/>
      <c r="P66" s="1276"/>
      <c r="Q66" s="1276"/>
      <c r="R66" s="1276"/>
      <c r="S66" s="1276"/>
      <c r="T66" s="1276"/>
      <c r="U66" s="1276"/>
      <c r="V66" s="1276"/>
      <c r="W66" s="1276"/>
      <c r="X66" s="1276"/>
      <c r="Y66" s="1276"/>
      <c r="Z66" s="910"/>
      <c r="AA66" s="61"/>
      <c r="AB66" s="61"/>
      <c r="AC66" s="61"/>
      <c r="AE66" s="362"/>
      <c r="AF66" s="362"/>
    </row>
    <row r="67" spans="2:32" ht="30" customHeight="1">
      <c r="B67" s="554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1277" t="s">
        <v>58</v>
      </c>
      <c r="P67" s="1277"/>
      <c r="Q67" s="1277"/>
      <c r="R67" s="1277"/>
      <c r="S67" s="1277"/>
      <c r="T67" s="1277"/>
      <c r="U67" s="1277"/>
      <c r="V67" s="1277"/>
      <c r="W67" s="1277"/>
      <c r="X67" s="1277"/>
      <c r="Y67" s="1277"/>
      <c r="Z67" s="910"/>
      <c r="AA67" s="61"/>
      <c r="AB67" s="61"/>
      <c r="AC67" s="61"/>
    </row>
    <row r="68" spans="2:32" ht="25.15" customHeight="1">
      <c r="B68" s="554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1241"/>
      <c r="Z68" s="910"/>
      <c r="AA68" s="61"/>
      <c r="AB68" s="61"/>
      <c r="AC68" s="61"/>
    </row>
    <row r="69" spans="2:32" ht="28.9" customHeight="1">
      <c r="B69" s="554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1246" t="s">
        <v>59</v>
      </c>
      <c r="P69" s="1245"/>
      <c r="Q69" s="1245"/>
      <c r="R69" s="1245"/>
      <c r="S69" s="1245"/>
      <c r="T69" s="1245"/>
      <c r="U69" s="1245"/>
      <c r="V69" s="1245"/>
      <c r="W69" s="1245"/>
      <c r="X69" s="1245"/>
      <c r="Y69" s="1245"/>
      <c r="Z69" s="1060"/>
      <c r="AA69" s="61"/>
      <c r="AB69" s="61"/>
      <c r="AC69" s="61"/>
    </row>
    <row r="70" spans="2:32" ht="31.15" customHeight="1">
      <c r="B70" s="554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1241" t="s">
        <v>60</v>
      </c>
      <c r="Q70" s="593"/>
      <c r="Z70" s="1061"/>
      <c r="AA70" s="61"/>
      <c r="AB70" s="61"/>
      <c r="AC70" s="61"/>
    </row>
    <row r="71" spans="2:32" ht="25.15" customHeight="1">
      <c r="B71" s="554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1219" t="s">
        <v>61</v>
      </c>
      <c r="P71" s="1206"/>
      <c r="Q71" s="1206"/>
      <c r="R71" s="1206"/>
      <c r="S71" s="1206"/>
      <c r="T71" s="1206"/>
      <c r="U71" s="1206"/>
      <c r="V71" s="1206"/>
      <c r="W71" s="1206"/>
      <c r="X71" s="1206"/>
      <c r="Y71" s="1206"/>
      <c r="Z71" s="902"/>
      <c r="AA71" s="61"/>
      <c r="AB71" s="61"/>
      <c r="AC71" s="61"/>
    </row>
    <row r="72" spans="2:32" ht="25.15" customHeight="1">
      <c r="B72" s="554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Z72" s="902"/>
      <c r="AA72" s="61"/>
      <c r="AB72" s="61"/>
      <c r="AC72" s="61"/>
      <c r="AE72" s="362"/>
      <c r="AF72" s="362"/>
    </row>
    <row r="73" spans="2:32" ht="25.15" customHeight="1">
      <c r="B73" s="554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1220"/>
      <c r="Z73" s="902"/>
      <c r="AA73" s="61"/>
      <c r="AB73" s="61"/>
      <c r="AC73" s="61"/>
      <c r="AE73" s="362"/>
      <c r="AF73" s="362"/>
    </row>
    <row r="74" spans="2:32" ht="14.45" customHeight="1">
      <c r="B74" s="554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1284" t="s">
        <v>62</v>
      </c>
      <c r="P74" s="1248" t="s">
        <v>63</v>
      </c>
      <c r="Q74" s="1249"/>
      <c r="R74" s="1252" t="s">
        <v>64</v>
      </c>
      <c r="S74" s="1253"/>
      <c r="T74" s="1253"/>
      <c r="U74" s="1253"/>
      <c r="V74" s="1253"/>
      <c r="W74" s="1253"/>
      <c r="X74" s="1253"/>
      <c r="Y74" s="1254"/>
      <c r="Z74" s="902"/>
      <c r="AA74" s="61"/>
      <c r="AB74" s="61"/>
      <c r="AC74" s="61"/>
      <c r="AE74" s="362"/>
      <c r="AF74" s="362"/>
    </row>
    <row r="75" spans="2:32" ht="14.45" customHeight="1">
      <c r="B75" s="554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1285"/>
      <c r="P75" s="1250"/>
      <c r="Q75" s="1251"/>
      <c r="R75" s="1255" t="s">
        <v>65</v>
      </c>
      <c r="S75" s="1256"/>
      <c r="T75" s="1255" t="s">
        <v>66</v>
      </c>
      <c r="U75" s="1256"/>
      <c r="V75" s="1255" t="s">
        <v>67</v>
      </c>
      <c r="W75" s="1256"/>
      <c r="X75" s="1255" t="s">
        <v>68</v>
      </c>
      <c r="Y75" s="1257"/>
      <c r="Z75" s="902"/>
      <c r="AA75" s="61"/>
      <c r="AB75" s="61"/>
      <c r="AC75" s="61"/>
    </row>
    <row r="76" spans="2:32" s="61" customFormat="1" ht="14.45" customHeight="1">
      <c r="B76" s="554"/>
      <c r="O76" s="855" t="s">
        <v>69</v>
      </c>
      <c r="P76" s="1137"/>
      <c r="Q76" s="1138">
        <f>'Quality ROM'!B105/1000</f>
        <v>98.828664106000005</v>
      </c>
      <c r="R76" s="1118"/>
      <c r="S76" s="1119">
        <f>'Quality ROM'!H105</f>
        <v>3731.4194102818005</v>
      </c>
      <c r="T76" s="1116">
        <f>'Production per Tunnel'!P4</f>
        <v>0.11220512820512821</v>
      </c>
      <c r="U76" s="1117">
        <f>'Quality ROM'!F105</f>
        <v>0.13999999999999999</v>
      </c>
      <c r="V76" s="1116">
        <f>'Production per Tunnel'!O4</f>
        <v>9.0914358974358969</v>
      </c>
      <c r="W76" s="1117">
        <f>'Quality ROM'!E105</f>
        <v>7.3742857142857092</v>
      </c>
      <c r="X76" s="1116">
        <f>'Production per Tunnel'!M4</f>
        <v>39.846068376068381</v>
      </c>
      <c r="Y76" s="1117">
        <f>'Quality ROM'!C105</f>
        <v>39.0128571428572</v>
      </c>
      <c r="Z76" s="902"/>
    </row>
    <row r="77" spans="2:32" ht="14.45" customHeight="1">
      <c r="B77" s="554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1120" t="s">
        <v>70</v>
      </c>
      <c r="P77" s="1137"/>
      <c r="Q77" s="1138">
        <f>'Quality ROM'!B107/1000</f>
        <v>2.6973303620000002</v>
      </c>
      <c r="R77" s="1123"/>
      <c r="S77" s="1124">
        <f>'Quality ROM'!H107</f>
        <v>3678.0092640247044</v>
      </c>
      <c r="T77" s="1121"/>
      <c r="U77" s="1122">
        <f>'Quality ROM'!F107</f>
        <v>0.1</v>
      </c>
      <c r="V77" s="1121"/>
      <c r="W77" s="1122">
        <f>'Quality ROM'!E107</f>
        <v>8.8800000000000008</v>
      </c>
      <c r="X77" s="1121"/>
      <c r="Y77" s="1122">
        <f>'Quality ROM'!C107</f>
        <v>39.54</v>
      </c>
      <c r="Z77" s="902"/>
      <c r="AA77" s="61"/>
      <c r="AB77" s="61"/>
      <c r="AC77" s="61"/>
      <c r="AE77" s="86"/>
    </row>
    <row r="78" spans="2:32" ht="14.45" customHeight="1">
      <c r="B78" s="554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84" t="s">
        <v>71</v>
      </c>
      <c r="P78" s="1137"/>
      <c r="Q78" s="1138">
        <f>'Quality ROM'!B115/1000</f>
        <v>56.651176224000004</v>
      </c>
      <c r="R78" s="1141"/>
      <c r="S78" s="1142">
        <f>IF($Q$78&lt;0,0,'Quality ROM'!H115)</f>
        <v>3646.5156889495224</v>
      </c>
      <c r="T78" s="1143"/>
      <c r="U78" s="1237">
        <f>IF($Q$78&lt;=0,0,'Quality ROM'!F115)</f>
        <v>0.16800000000000001</v>
      </c>
      <c r="V78" s="1143"/>
      <c r="W78" s="1236">
        <f>IF($Q$78&lt;=0,0,'Quality ROM'!E115)</f>
        <v>8.9700000000000006</v>
      </c>
      <c r="X78" s="1143"/>
      <c r="Y78" s="1237">
        <f>IF($Q$78&lt;=0,0,'Quality ROM'!C115)</f>
        <v>38.944000000000003</v>
      </c>
      <c r="Z78" s="902"/>
      <c r="AA78" s="61"/>
      <c r="AB78" s="61"/>
      <c r="AC78" s="61"/>
      <c r="AE78" s="86"/>
    </row>
    <row r="79" spans="2:32" ht="14.45" customHeight="1">
      <c r="B79" s="554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968" t="s">
        <v>72</v>
      </c>
      <c r="P79" s="1139">
        <f>SUM(Q76:Q78)</f>
        <v>158.177170692</v>
      </c>
      <c r="Q79" s="1140">
        <f>SUM(Q76:Q78)</f>
        <v>158.177170692</v>
      </c>
      <c r="R79" s="1274">
        <f>IFERROR(SUMPRODUCT($Q$76:$Q$78,S76:S78)/$Q$79,0)</f>
        <v>3700.1003490877383</v>
      </c>
      <c r="S79" s="1275"/>
      <c r="T79" s="1272">
        <f>IFERROR(SUMPRODUCT($Q$76:$Q$78,U76:U78)/$Q$79,0)</f>
        <v>0.14934610040958818</v>
      </c>
      <c r="U79" s="1273"/>
      <c r="V79" s="1272">
        <f>IFERROR(SUMPRODUCT($Q$76:$Q$78,W76:W78)/$Q$79,0)</f>
        <v>7.9714673407445664</v>
      </c>
      <c r="W79" s="1273"/>
      <c r="X79" s="1272">
        <f>IFERROR(SUMPRODUCT($Q$76:$Q$78,Y76:Y78)/$Q$79,0)</f>
        <v>38.997185098087677</v>
      </c>
      <c r="Y79" s="1273"/>
      <c r="Z79" s="902"/>
      <c r="AA79" s="61"/>
      <c r="AB79" s="61"/>
      <c r="AC79" s="61"/>
      <c r="AE79" s="86"/>
    </row>
    <row r="80" spans="2:32">
      <c r="B80" s="554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Z80" s="902"/>
      <c r="AA80" s="61"/>
      <c r="AB80" s="61"/>
      <c r="AC80" s="61"/>
    </row>
    <row r="81" spans="1:37">
      <c r="A81" s="61"/>
      <c r="B81" s="554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1284" t="s">
        <v>73</v>
      </c>
      <c r="P81" s="1248" t="s">
        <v>63</v>
      </c>
      <c r="Q81" s="1249"/>
      <c r="R81" s="1252" t="s">
        <v>64</v>
      </c>
      <c r="S81" s="1253"/>
      <c r="T81" s="1253"/>
      <c r="U81" s="1253"/>
      <c r="V81" s="1253"/>
      <c r="W81" s="1253"/>
      <c r="X81" s="1253"/>
      <c r="Y81" s="1254"/>
      <c r="Z81" s="902"/>
      <c r="AA81" s="61"/>
      <c r="AB81" s="61"/>
      <c r="AE81" s="362"/>
    </row>
    <row r="82" spans="1:37" s="61" customFormat="1" ht="14.45" customHeight="1">
      <c r="B82" s="554"/>
      <c r="O82" s="1288"/>
      <c r="P82" s="1250"/>
      <c r="Q82" s="1251"/>
      <c r="R82" s="1286" t="s">
        <v>65</v>
      </c>
      <c r="S82" s="1289"/>
      <c r="T82" s="1286" t="s">
        <v>66</v>
      </c>
      <c r="U82" s="1289"/>
      <c r="V82" s="1286" t="s">
        <v>67</v>
      </c>
      <c r="W82" s="1289"/>
      <c r="X82" s="1286" t="s">
        <v>68</v>
      </c>
      <c r="Y82" s="1287"/>
      <c r="Z82" s="902"/>
    </row>
    <row r="83" spans="1:37" ht="14.45" customHeight="1">
      <c r="A83" s="61"/>
      <c r="B83" s="554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978" t="s">
        <v>74</v>
      </c>
      <c r="P83" s="1202">
        <f>'Quality FC '!$B$108/1000</f>
        <v>53.492115106</v>
      </c>
      <c r="Q83" s="1203">
        <f>'Quality FC '!$B$108/1000</f>
        <v>53.492115106</v>
      </c>
      <c r="R83" s="1282">
        <f>'Quality FC '!$H$108</f>
        <v>3706.1573981573965</v>
      </c>
      <c r="S83" s="1283"/>
      <c r="T83" s="1278">
        <f>'Quality FC '!$F$108</f>
        <v>0.16209090909090909</v>
      </c>
      <c r="U83" s="1279"/>
      <c r="V83" s="1278">
        <f>'Quality FC '!$E$108</f>
        <v>8.7799999999999994</v>
      </c>
      <c r="W83" s="1279"/>
      <c r="X83" s="1278">
        <f>'Quality FC '!$C$108</f>
        <v>38.741818181818211</v>
      </c>
      <c r="Y83" s="1279"/>
      <c r="Z83" s="902"/>
      <c r="AA83" s="61"/>
      <c r="AB83" s="1204"/>
      <c r="AC83" s="1204"/>
      <c r="AD83" s="1204"/>
      <c r="AE83" s="1204"/>
      <c r="AF83" s="1204"/>
      <c r="AG83" s="1204"/>
      <c r="AH83" s="1204"/>
      <c r="AI83" s="1204"/>
      <c r="AJ83" s="1204"/>
      <c r="AK83" s="1204"/>
    </row>
    <row r="84" spans="1:37">
      <c r="B84" s="554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978" t="s">
        <v>75</v>
      </c>
      <c r="P84" s="1137">
        <f>IF('Quality FC '!$B$114&lt;0,0,'Quality FC '!$B$114)</f>
        <v>0</v>
      </c>
      <c r="Q84" s="1138">
        <f>IF('Quality FC '!$B$114&lt;0,0,'Quality FC '!$B$114)/1000</f>
        <v>0</v>
      </c>
      <c r="R84" s="1282">
        <f>IF($P$84=0,0,'Quality FC '!$H$114)</f>
        <v>0</v>
      </c>
      <c r="S84" s="1283"/>
      <c r="T84" s="1278">
        <f>IF($R$84=0,0,'Quality FC '!$F$114)</f>
        <v>0</v>
      </c>
      <c r="U84" s="1279"/>
      <c r="V84" s="1278">
        <f>IF($T$84=0,0,'Quality FC '!$E$114)</f>
        <v>0</v>
      </c>
      <c r="W84" s="1279"/>
      <c r="X84" s="1278">
        <f>IF($V$84=0,0,'Quality FC '!$C$114)</f>
        <v>0</v>
      </c>
      <c r="Y84" s="1279"/>
      <c r="Z84" s="902"/>
      <c r="AB84" s="1204"/>
      <c r="AC84" s="1204"/>
      <c r="AD84" s="1204"/>
      <c r="AE84" s="1204"/>
      <c r="AF84" s="1204"/>
      <c r="AG84" s="1204"/>
      <c r="AH84" s="1204"/>
      <c r="AI84" s="1204"/>
      <c r="AJ84" s="1204"/>
      <c r="AK84" s="1204"/>
    </row>
    <row r="85" spans="1:37">
      <c r="B85" s="554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968" t="s">
        <v>72</v>
      </c>
      <c r="P85" s="1139">
        <f>SUM(Q82:Q84)</f>
        <v>53.492115106</v>
      </c>
      <c r="Q85" s="1140">
        <f>SUM(Q83:Q84)</f>
        <v>53.492115106</v>
      </c>
      <c r="R85" s="1280">
        <f>IFERROR(SUMPRODUCT($Q$83:$Q$84,R83:R84)/$Q$85,0)</f>
        <v>3706.1573981573965</v>
      </c>
      <c r="S85" s="1281"/>
      <c r="T85" s="1272">
        <f>IFERROR(SUMPRODUCT($Q$83:$Q$84,T83:T84)/$Q$85,0)</f>
        <v>0.16209090909090909</v>
      </c>
      <c r="U85" s="1273"/>
      <c r="V85" s="1272">
        <f>IFERROR(SUMPRODUCT($Q$83:$Q$84,V83:V84)/$Q$85,0)</f>
        <v>8.7799999999999994</v>
      </c>
      <c r="W85" s="1273"/>
      <c r="X85" s="1272">
        <f>IFERROR(SUMPRODUCT($Q$83:$Q$84,X83:X84)/$Q$85,0)</f>
        <v>38.741818181818211</v>
      </c>
      <c r="Y85" s="1273"/>
      <c r="Z85" s="902"/>
      <c r="AB85" s="1204"/>
      <c r="AC85" s="1204"/>
      <c r="AD85" s="1204"/>
      <c r="AE85" s="1204"/>
      <c r="AF85" s="1204"/>
      <c r="AG85" s="1204"/>
      <c r="AH85" s="1204"/>
      <c r="AI85" s="1204"/>
      <c r="AJ85" s="1204"/>
      <c r="AK85" s="1204"/>
    </row>
    <row r="86" spans="1:37">
      <c r="B86" s="554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1058"/>
      <c r="P86" s="1200"/>
      <c r="Q86" s="1200"/>
      <c r="R86" s="1201"/>
      <c r="S86" s="1201"/>
      <c r="T86" s="1201"/>
      <c r="U86" s="1201"/>
      <c r="V86" s="1201"/>
      <c r="W86" s="1201"/>
      <c r="X86" s="1201"/>
      <c r="Y86" s="1201"/>
      <c r="Z86" s="902"/>
      <c r="AC86" s="362"/>
    </row>
    <row r="87" spans="1:37" ht="15" thickBot="1">
      <c r="B87" s="938"/>
      <c r="C87" s="939"/>
      <c r="D87" s="939"/>
      <c r="E87" s="939"/>
      <c r="F87" s="939"/>
      <c r="G87" s="939"/>
      <c r="H87" s="939"/>
      <c r="I87" s="939"/>
      <c r="J87" s="939"/>
      <c r="K87" s="939"/>
      <c r="L87" s="939"/>
      <c r="M87" s="939"/>
      <c r="N87" s="939"/>
      <c r="O87" s="939"/>
      <c r="P87" s="939"/>
      <c r="Q87" s="939"/>
      <c r="R87" s="939"/>
      <c r="S87" s="939"/>
      <c r="T87" s="939"/>
      <c r="U87" s="939"/>
      <c r="V87" s="939"/>
      <c r="W87" s="939"/>
      <c r="X87" s="939"/>
      <c r="Y87" s="939"/>
      <c r="Z87" s="940"/>
    </row>
  </sheetData>
  <mergeCells count="48">
    <mergeCell ref="P81:Q82"/>
    <mergeCell ref="O74:O75"/>
    <mergeCell ref="X82:Y82"/>
    <mergeCell ref="O81:O82"/>
    <mergeCell ref="V82:W82"/>
    <mergeCell ref="T82:U82"/>
    <mergeCell ref="R82:S82"/>
    <mergeCell ref="V83:W83"/>
    <mergeCell ref="R81:Y81"/>
    <mergeCell ref="X83:Y83"/>
    <mergeCell ref="R85:S85"/>
    <mergeCell ref="T85:U85"/>
    <mergeCell ref="V85:W85"/>
    <mergeCell ref="X85:Y85"/>
    <mergeCell ref="X84:Y84"/>
    <mergeCell ref="R84:S84"/>
    <mergeCell ref="T84:U84"/>
    <mergeCell ref="V84:W84"/>
    <mergeCell ref="R83:S83"/>
    <mergeCell ref="T83:U83"/>
    <mergeCell ref="AR53:AU53"/>
    <mergeCell ref="V79:W79"/>
    <mergeCell ref="R79:S79"/>
    <mergeCell ref="T79:U79"/>
    <mergeCell ref="O66:Y66"/>
    <mergeCell ref="X79:Y79"/>
    <mergeCell ref="O65:Y65"/>
    <mergeCell ref="O67:Y67"/>
    <mergeCell ref="Q8:S9"/>
    <mergeCell ref="E34:S34"/>
    <mergeCell ref="D44:G44"/>
    <mergeCell ref="I44:M44"/>
    <mergeCell ref="I47:K47"/>
    <mergeCell ref="L47:N47"/>
    <mergeCell ref="K50:M50"/>
    <mergeCell ref="C7:D7"/>
    <mergeCell ref="E43:L43"/>
    <mergeCell ref="G8:K9"/>
    <mergeCell ref="L8:O9"/>
    <mergeCell ref="E42:O42"/>
    <mergeCell ref="C53:C55"/>
    <mergeCell ref="C56:C58"/>
    <mergeCell ref="P74:Q75"/>
    <mergeCell ref="R74:Y74"/>
    <mergeCell ref="R75:S75"/>
    <mergeCell ref="T75:U75"/>
    <mergeCell ref="V75:W75"/>
    <mergeCell ref="X75:Y75"/>
  </mergeCells>
  <conditionalFormatting sqref="K12">
    <cfRule type="expression" dxfId="70" priority="14">
      <formula>"&gt;0"</formula>
    </cfRule>
    <cfRule type="cellIs" dxfId="69" priority="22" operator="greaterThan">
      <formula>0</formula>
    </cfRule>
  </conditionalFormatting>
  <conditionalFormatting sqref="K14">
    <cfRule type="cellIs" dxfId="68" priority="20" operator="greaterThan">
      <formula>0</formula>
    </cfRule>
  </conditionalFormatting>
  <conditionalFormatting sqref="K15 K17 K19 K21 K23 K25">
    <cfRule type="expression" dxfId="67" priority="21">
      <formula>"&gt;0"</formula>
    </cfRule>
  </conditionalFormatting>
  <conditionalFormatting sqref="K16">
    <cfRule type="cellIs" dxfId="66" priority="11" operator="greaterThan">
      <formula>0</formula>
    </cfRule>
  </conditionalFormatting>
  <conditionalFormatting sqref="K18">
    <cfRule type="expression" dxfId="65" priority="1">
      <formula>"&gt;0"</formula>
    </cfRule>
    <cfRule type="cellIs" dxfId="64" priority="2" operator="greaterThan">
      <formula>0</formula>
    </cfRule>
  </conditionalFormatting>
  <conditionalFormatting sqref="K20">
    <cfRule type="cellIs" dxfId="63" priority="18" operator="greaterThan">
      <formula>0</formula>
    </cfRule>
  </conditionalFormatting>
  <conditionalFormatting sqref="K22">
    <cfRule type="cellIs" dxfId="62" priority="17" operator="greaterThan">
      <formula>0</formula>
    </cfRule>
  </conditionalFormatting>
  <conditionalFormatting sqref="K24">
    <cfRule type="cellIs" dxfId="61" priority="16" operator="greaterThan">
      <formula>0</formula>
    </cfRule>
  </conditionalFormatting>
  <conditionalFormatting sqref="K26:K27 K31">
    <cfRule type="cellIs" dxfId="60" priority="15" operator="greaterThan">
      <formula>0</formula>
    </cfRule>
  </conditionalFormatting>
  <conditionalFormatting sqref="K28">
    <cfRule type="cellIs" dxfId="59" priority="7" operator="lessThan">
      <formula>0</formula>
    </cfRule>
  </conditionalFormatting>
  <conditionalFormatting sqref="K28:K30">
    <cfRule type="cellIs" dxfId="58" priority="6" operator="greaterThan">
      <formula>0</formula>
    </cfRule>
  </conditionalFormatting>
  <conditionalFormatting sqref="K30">
    <cfRule type="cellIs" dxfId="57" priority="5" operator="lessThan">
      <formula>0</formula>
    </cfRule>
  </conditionalFormatting>
  <conditionalFormatting sqref="K36">
    <cfRule type="cellIs" dxfId="56" priority="13" operator="greaterThan">
      <formula>0</formula>
    </cfRule>
  </conditionalFormatting>
  <conditionalFormatting sqref="K38 K40">
    <cfRule type="cellIs" dxfId="55" priority="12" operator="greaterThan">
      <formula>0</formula>
    </cfRule>
  </conditionalFormatting>
  <pageMargins left="0.7" right="0.7" top="0.75" bottom="0.75" header="0.3" footer="0.3"/>
  <pageSetup paperSize="9" scale="52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39"/>
    <pageSetUpPr fitToPage="1"/>
  </sheetPr>
  <dimension ref="A1:AN103"/>
  <sheetViews>
    <sheetView zoomScale="90" zoomScaleNormal="90" workbookViewId="0">
      <pane xSplit="4" ySplit="3" topLeftCell="E4" activePane="bottomRight" state="frozen"/>
      <selection pane="bottomRight" activeCell="D4" sqref="D4"/>
      <selection pane="bottomLeft" activeCell="A4" sqref="A4"/>
      <selection pane="topRight" activeCell="E1" sqref="E1"/>
    </sheetView>
  </sheetViews>
  <sheetFormatPr defaultColWidth="9.28515625" defaultRowHeight="14.45"/>
  <cols>
    <col min="1" max="1" width="8.7109375" style="1" customWidth="1"/>
    <col min="2" max="2" width="15.28515625" style="1" customWidth="1"/>
    <col min="3" max="3" width="9.28515625" style="1" customWidth="1"/>
    <col min="4" max="4" width="10.28515625" style="1" customWidth="1"/>
    <col min="5" max="5" width="8.7109375" style="1" bestFit="1" customWidth="1"/>
    <col min="6" max="6" width="10.28515625" style="1" customWidth="1"/>
    <col min="7" max="7" width="8.28515625" style="1" customWidth="1"/>
    <col min="8" max="8" width="10.7109375" style="1" customWidth="1"/>
    <col min="9" max="9" width="11.7109375" style="1" bestFit="1" customWidth="1"/>
    <col min="10" max="11" width="10.28515625" style="1" customWidth="1"/>
    <col min="12" max="12" width="7.28515625" style="1" customWidth="1"/>
    <col min="13" max="13" width="11.7109375" style="1" bestFit="1" customWidth="1"/>
    <col min="14" max="15" width="10.28515625" style="1" customWidth="1"/>
    <col min="16" max="16" width="7.28515625" style="1" customWidth="1"/>
    <col min="17" max="17" width="11" style="1" customWidth="1"/>
    <col min="18" max="18" width="11.7109375" style="1" customWidth="1"/>
    <col min="19" max="19" width="7.28515625" style="1" customWidth="1"/>
    <col min="20" max="20" width="11.7109375" style="1" customWidth="1"/>
    <col min="21" max="21" width="7.28515625" style="1" customWidth="1"/>
    <col min="22" max="22" width="11.7109375" style="1" customWidth="1"/>
    <col min="23" max="23" width="12.28515625" style="1" customWidth="1"/>
    <col min="24" max="24" width="7.28515625" style="1" customWidth="1"/>
    <col min="25" max="25" width="9.28515625" style="1" customWidth="1"/>
    <col min="26" max="26" width="11.140625" style="1" bestFit="1" customWidth="1"/>
    <col min="27" max="27" width="13.7109375" style="1" bestFit="1" customWidth="1"/>
    <col min="28" max="28" width="10.28515625" style="1" customWidth="1"/>
    <col min="29" max="16384" width="9.28515625" style="1"/>
  </cols>
  <sheetData>
    <row r="1" spans="1:30" ht="15" thickBot="1">
      <c r="A1" s="86"/>
      <c r="C1" s="83"/>
      <c r="D1" s="100"/>
      <c r="E1" s="98"/>
      <c r="F1" s="155"/>
      <c r="G1" s="173"/>
      <c r="H1" s="99"/>
      <c r="I1" s="88"/>
      <c r="J1" s="162"/>
      <c r="K1" s="88"/>
      <c r="L1" s="88"/>
      <c r="M1" s="88"/>
      <c r="N1" s="88"/>
      <c r="O1" s="88"/>
      <c r="P1" s="88"/>
      <c r="Q1" s="75"/>
      <c r="R1" s="74"/>
    </row>
    <row r="2" spans="1:30">
      <c r="A2" s="107"/>
      <c r="B2" s="1431"/>
      <c r="C2" s="1432"/>
      <c r="D2" s="108" t="s">
        <v>76</v>
      </c>
      <c r="E2" s="1433" t="str">
        <f>MID(Actual!C2,13,6)</f>
        <v>Sep'26</v>
      </c>
      <c r="F2" s="1434"/>
      <c r="G2" s="1434"/>
      <c r="H2" s="1434"/>
      <c r="I2" s="1435"/>
      <c r="J2" s="1433" t="s">
        <v>7</v>
      </c>
      <c r="K2" s="1434"/>
      <c r="L2" s="1435"/>
      <c r="M2" s="1433" t="s">
        <v>77</v>
      </c>
      <c r="N2" s="1434"/>
      <c r="O2" s="1434"/>
      <c r="P2" s="1435"/>
      <c r="Q2" s="1433" t="s">
        <v>78</v>
      </c>
      <c r="R2" s="1434"/>
      <c r="S2" s="1434"/>
      <c r="T2" s="1434"/>
      <c r="U2" s="1435"/>
      <c r="V2" s="1433" t="s">
        <v>79</v>
      </c>
      <c r="W2" s="1434"/>
      <c r="X2" s="1435"/>
      <c r="Z2" s="161"/>
    </row>
    <row r="3" spans="1:30">
      <c r="A3" s="107"/>
      <c r="B3" s="1436"/>
      <c r="C3" s="1437"/>
      <c r="D3" s="542" t="s">
        <v>80</v>
      </c>
      <c r="E3" s="594" t="s">
        <v>6</v>
      </c>
      <c r="F3" s="595" t="s">
        <v>14</v>
      </c>
      <c r="G3" s="596" t="s">
        <v>81</v>
      </c>
      <c r="H3" s="597" t="s">
        <v>15</v>
      </c>
      <c r="I3" s="598" t="str">
        <f>G3</f>
        <v>%Diff</v>
      </c>
      <c r="J3" s="599" t="s">
        <v>14</v>
      </c>
      <c r="K3" s="597" t="s">
        <v>15</v>
      </c>
      <c r="L3" s="598" t="s">
        <v>81</v>
      </c>
      <c r="M3" s="594" t="s">
        <v>2</v>
      </c>
      <c r="N3" s="510" t="s">
        <v>14</v>
      </c>
      <c r="O3" s="597" t="s">
        <v>15</v>
      </c>
      <c r="P3" s="598" t="s">
        <v>81</v>
      </c>
      <c r="Q3" s="594" t="s">
        <v>2</v>
      </c>
      <c r="R3" s="595" t="s">
        <v>14</v>
      </c>
      <c r="S3" s="596" t="str">
        <f>G3</f>
        <v>%Diff</v>
      </c>
      <c r="T3" s="597" t="str">
        <f>H3</f>
        <v>Budget</v>
      </c>
      <c r="U3" s="598" t="str">
        <f>G3</f>
        <v>%Diff</v>
      </c>
      <c r="V3" s="600" t="s">
        <v>82</v>
      </c>
      <c r="W3" s="597" t="str">
        <f>H3</f>
        <v>Budget</v>
      </c>
      <c r="X3" s="598" t="s">
        <v>81</v>
      </c>
      <c r="Z3" s="158"/>
      <c r="AA3" s="1290" t="s">
        <v>83</v>
      </c>
      <c r="AB3" s="1290"/>
    </row>
    <row r="4" spans="1:30">
      <c r="A4" s="110"/>
      <c r="B4" s="111" t="s">
        <v>3</v>
      </c>
      <c r="C4" s="112" t="s">
        <v>84</v>
      </c>
      <c r="D4" s="113">
        <f>Actual!AL34</f>
        <v>36570.75</v>
      </c>
      <c r="E4" s="114">
        <f>SUM(Actual!F28:AJ32)</f>
        <v>238442.25</v>
      </c>
      <c r="F4" s="539">
        <f>((HLOOKUP(E$2,Outlook!$F$3:$Q$31,MATCH(B4,Outlook!$B$3:$B$31,0),FALSE))/Actual!E3)*(MID(D$3,1,2))</f>
        <v>190166.66666666669</v>
      </c>
      <c r="G4" s="116">
        <f t="shared" ref="G4:G17" si="0">IF(F4&lt;=0,0,(E4-F4)/F4)</f>
        <v>0.253859333917616</v>
      </c>
      <c r="H4" s="117">
        <f>((HLOOKUP(E$2,Budget!$E$3:$P$18,MATCH(B4,Budget!$B$3:$B$18,0),FALSE))/Actual!$E$3)*(MID(D$3,1,2))</f>
        <v>256666.66666666666</v>
      </c>
      <c r="I4" s="118">
        <f t="shared" ref="I4:I17" si="1">IF(H4&lt;=0,0,(E4-H4)/H4)</f>
        <v>-7.100422077922075E-2</v>
      </c>
      <c r="J4" s="119">
        <f>(HLOOKUP(E$2,Outlook!$F$3:$Q$31,MATCH(B4,Outlook!$B$3:$B$31,0),FALSE))</f>
        <v>815000</v>
      </c>
      <c r="K4" s="120">
        <f>HLOOKUP(E$2,Budget!$E$3:$P$18,MATCH(B4,Budget!$B$3:$B$18,0),FALSE)</f>
        <v>1100000</v>
      </c>
      <c r="L4" s="118">
        <f>IF(K4&lt;=0,0,(J4-K4)/K4)</f>
        <v>-0.25909090909090909</v>
      </c>
      <c r="M4" s="114">
        <f>(SUMIF(Outlook!$L$2:$N$2,"actual",Outlook!$L$4:$N$4))+E4</f>
        <v>2220016.1948000002</v>
      </c>
      <c r="N4" s="115">
        <f>+Outlook!N36</f>
        <v>2796573.9448000002</v>
      </c>
      <c r="O4" s="120">
        <f>+Budget!M19</f>
        <v>3270000</v>
      </c>
      <c r="P4" s="118">
        <f>IF(O4&lt;=0,0,(M4-O4)/O4)</f>
        <v>-0.32109596489296632</v>
      </c>
      <c r="Q4" s="114">
        <f>(SUMIF(Outlook!$F$2:$Q$2,"actual",Outlook!$F$4:$Q$4))+$E$4</f>
        <v>6651828.2803000025</v>
      </c>
      <c r="R4" s="115">
        <f>(SUMIF(Outlook!$F$2:$Q$2,"ACTUAL",Outlook!F4:Q4))+F4</f>
        <v>6603552.6969666695</v>
      </c>
      <c r="S4" s="116">
        <f>IF(R4&lt;=0,0,(Q4-R4)/R4)</f>
        <v>7.3105471476752702E-3</v>
      </c>
      <c r="T4" s="117">
        <f>(SUMIF(Budget!$E$2:$P$2,"PLANED",Budget!E4:P4))+H4</f>
        <v>8161666.666666667</v>
      </c>
      <c r="U4" s="121">
        <f>IF(T4&lt;=0,0,(Q4-T4)/T4)</f>
        <v>-0.18499142981825578</v>
      </c>
      <c r="V4" s="122">
        <f>Outlook!R4</f>
        <v>9650000.0000000019</v>
      </c>
      <c r="W4" s="123">
        <f>Budget!Q4</f>
        <v>11850000</v>
      </c>
      <c r="X4" s="124">
        <f>IF(W4&lt;=0,0,(V4-W4)/W4)</f>
        <v>-0.18565400843881841</v>
      </c>
      <c r="Y4" s="163"/>
      <c r="Z4" s="159"/>
    </row>
    <row r="5" spans="1:30">
      <c r="A5" s="110"/>
      <c r="B5" s="125" t="s">
        <v>9</v>
      </c>
      <c r="C5" s="126" t="s">
        <v>85</v>
      </c>
      <c r="D5" s="113">
        <f>Actual!AL109</f>
        <v>0</v>
      </c>
      <c r="E5" s="353">
        <f>SUM(Actual!F109:AJ109)</f>
        <v>1312.8979999999999</v>
      </c>
      <c r="F5" s="129">
        <f>'Graphic Production'!AI9</f>
        <v>36866.666666666672</v>
      </c>
      <c r="G5" s="453">
        <f t="shared" si="0"/>
        <v>-0.96438793851717897</v>
      </c>
      <c r="H5" s="131">
        <f>((HLOOKUP(E$2,Budget!$E$3:$P$18,MATCH(B5,Budget!$B$3:$B$18,0),FALSE))/Actual!$E$3)*(MID(D$3,1,2))</f>
        <v>38219.999999999993</v>
      </c>
      <c r="I5" s="132">
        <f t="shared" si="1"/>
        <v>-0.96564892726321294</v>
      </c>
      <c r="J5" s="133">
        <f>(HLOOKUP(E$2,Outlook!$F$3:$Q$31,MATCH(B5,Outlook!$B$3:$B$31,0),FALSE))</f>
        <v>158000</v>
      </c>
      <c r="K5" s="134">
        <f>HLOOKUP(E$2,Budget!$E$3:$P$18,MATCH(B5,Budget!$B$3:$B$18,0),FALSE)</f>
        <v>163799.99999999997</v>
      </c>
      <c r="L5" s="132">
        <f>IF(K5&lt;=0,0,(J5-K5)/K5)</f>
        <v>-3.5409035409035235E-2</v>
      </c>
      <c r="M5" s="114">
        <f>(SUMIF(Outlook!$L$2:$N$2,"actual",Outlook!$L$5:$N$5))+$E$5</f>
        <v>349194.848</v>
      </c>
      <c r="N5" s="115">
        <f>+Outlook!N37</f>
        <v>505881.95</v>
      </c>
      <c r="O5" s="120">
        <f>+Budget!M20</f>
        <v>483800</v>
      </c>
      <c r="P5" s="118">
        <f t="shared" ref="P5:P17" si="2">IF(O5&lt;=0,0,(M5-O5)/O5)</f>
        <v>-0.2782247871021083</v>
      </c>
      <c r="Q5" s="128">
        <f>(SUMIF(Outlook!$F$2:$Q$2,"actual",Outlook!$F$5:$Q$5))+$E$5</f>
        <v>1427162.5319999999</v>
      </c>
      <c r="R5" s="115">
        <f>(SUMIF(Outlook!$F$2:$Q$2,"ACTUAL",Outlook!F5:Q5))+F5</f>
        <v>1462716.3006666666</v>
      </c>
      <c r="S5" s="130">
        <f>IF(R5&lt;=0,0,(Q5-R5)/R5)</f>
        <v>-2.4306674267909813E-2</v>
      </c>
      <c r="T5" s="117">
        <f>(SUMIF(Budget!$E$2:$P$2,"PLANED",Budget!E5:P5))+H5</f>
        <v>1944420</v>
      </c>
      <c r="U5" s="132">
        <f t="shared" ref="U5:U18" si="3">IF(T5&lt;=0,0,(Q5-T5)/T5)</f>
        <v>-0.26602147066991705</v>
      </c>
      <c r="V5" s="135">
        <f>Outlook!R5</f>
        <v>2699999.6339999996</v>
      </c>
      <c r="W5" s="136">
        <f>Budget!Q5</f>
        <v>3000000</v>
      </c>
      <c r="X5" s="118">
        <f t="shared" ref="X5:X18" si="4">IF(W5&lt;=0,0,(V5-W5)/W5)</f>
        <v>-0.10000012200000014</v>
      </c>
      <c r="Z5" s="159">
        <f>+W5-Q5</f>
        <v>1572837.4680000001</v>
      </c>
      <c r="AA5" s="159">
        <f>2000000-Q5</f>
        <v>572837.46800000011</v>
      </c>
      <c r="AB5" s="159">
        <f>+AA5/6200</f>
        <v>92.393140000000017</v>
      </c>
      <c r="AC5" s="1" t="s">
        <v>86</v>
      </c>
      <c r="AD5" s="159">
        <f>+Z5/6200</f>
        <v>253.68346258064517</v>
      </c>
    </row>
    <row r="6" spans="1:30">
      <c r="A6" s="110"/>
      <c r="B6" s="125" t="s">
        <v>87</v>
      </c>
      <c r="C6" s="126" t="s">
        <v>88</v>
      </c>
      <c r="D6" s="137">
        <f>IF(OR(D4=0,D5=0),0,D4/D5)</f>
        <v>0</v>
      </c>
      <c r="E6" s="138">
        <f>IF(OR(E4=0,E5=0),0,E4/E5)</f>
        <v>181.61521306301023</v>
      </c>
      <c r="F6" s="139">
        <f>IF(OR(F4=0,F5=0),0,F4/F5)</f>
        <v>5.1582278481012658</v>
      </c>
      <c r="G6" s="454">
        <f>IF(F6&lt;=0,0,(E6-F6)/F6)</f>
        <v>34.208838851479285</v>
      </c>
      <c r="H6" s="140">
        <f>IF(OR(H4=0,H5=0),0,H4/H5)</f>
        <v>6.7155067155067165</v>
      </c>
      <c r="I6" s="454">
        <f t="shared" si="1"/>
        <v>26.044156272473703</v>
      </c>
      <c r="J6" s="141">
        <f>IF(OR(J4=0,J5=0),0,J4/J5)</f>
        <v>5.1582278481012658</v>
      </c>
      <c r="K6" s="142">
        <f>IF(OR(K4=0,K5=0),0,K4/K5)</f>
        <v>6.7155067155067165</v>
      </c>
      <c r="L6" s="132">
        <f t="shared" ref="L6:L18" si="5">IF(K6&lt;=0,0,(J6-K6)/K6)</f>
        <v>-0.23189298043728435</v>
      </c>
      <c r="M6" s="138">
        <f>IF(OR(M4=0,M5=0),0,M4/M5)</f>
        <v>6.3575284902256062</v>
      </c>
      <c r="N6" s="139">
        <f>IF(OR(N4=0,N5=0),0,N4/N5)</f>
        <v>5.5281156894409857</v>
      </c>
      <c r="O6" s="509">
        <f>IF(OR(O4=0,O5=0),0,O4/O5)</f>
        <v>6.7589913187267463</v>
      </c>
      <c r="P6" s="454">
        <f>IF(O6&lt;=0,0,(M6-O6)/O6)</f>
        <v>-5.9396855177018835E-2</v>
      </c>
      <c r="Q6" s="138">
        <f>IF(OR(Q4=0,Q5=0),0,Q4/Q5)</f>
        <v>4.660876481235988</v>
      </c>
      <c r="R6" s="139">
        <f>IF(OR(R4=0,R5=0),0,R4/R5)</f>
        <v>4.5145820101662562</v>
      </c>
      <c r="S6" s="130">
        <f t="shared" ref="S6:S18" si="6">IF(R6&lt;=0,0,(Q6-R6)/R6)</f>
        <v>3.2404876185723408E-2</v>
      </c>
      <c r="T6" s="140">
        <f>IF(OR(T4=0,T5=0),0,T4/T5)</f>
        <v>4.1974813397654147</v>
      </c>
      <c r="U6" s="454">
        <f t="shared" si="3"/>
        <v>0.11039838035265002</v>
      </c>
      <c r="V6" s="143">
        <f>IF(OR(V4=0,V5=0),0,V4/V5)</f>
        <v>3.5740745585597375</v>
      </c>
      <c r="W6" s="144">
        <f>IF(OR(W4=0,W5=0),0,W4/W5)</f>
        <v>3.95</v>
      </c>
      <c r="X6" s="118">
        <f t="shared" si="4"/>
        <v>-9.5170997832977874E-2</v>
      </c>
      <c r="Z6" s="160"/>
    </row>
    <row r="7" spans="1:30">
      <c r="A7" s="110"/>
      <c r="B7" s="125" t="s">
        <v>89</v>
      </c>
      <c r="C7" s="126" t="s">
        <v>84</v>
      </c>
      <c r="D7" s="113">
        <f>Actual!AL14</f>
        <v>0</v>
      </c>
      <c r="E7" s="353">
        <f>SUM(Actual!F10:AJ14)</f>
        <v>3307.5</v>
      </c>
      <c r="F7" s="129">
        <f>((HLOOKUP(E$2,Outlook!$F$3:$Q$31,MATCH(B7,Outlook!$B$3:$B$31,0),FALSE))/Actual!E3)*(MID(D$3,1,2))</f>
        <v>0</v>
      </c>
      <c r="G7" s="822">
        <f t="shared" si="0"/>
        <v>0</v>
      </c>
      <c r="H7" s="131">
        <f>((HLOOKUP(E$2,Budget!$E$3:$P$18,MATCH(B7,Budget!$B$3:$B$18,0),FALSE))/Actual!$E$3)*(MID(D$3,1,2))</f>
        <v>0</v>
      </c>
      <c r="I7" s="823">
        <f t="shared" si="1"/>
        <v>0</v>
      </c>
      <c r="J7" s="133">
        <f>(HLOOKUP(E$2,Outlook!$F$3:$Q$31,MATCH(B7,Outlook!$B$3:$B$31,0),FALSE))</f>
        <v>0</v>
      </c>
      <c r="K7" s="142">
        <f>HLOOKUP(E$2,Budget!$E$3:$P$18,MATCH(B7,Budget!$B$3:$B$18,0),FALSE)</f>
        <v>0</v>
      </c>
      <c r="L7" s="132">
        <f>IF(K7&lt;=0,0,(J7-K7)/K7)</f>
        <v>0</v>
      </c>
      <c r="M7" s="114">
        <f>(SUMIF(Outlook!$F$2:$H$2,"actual",Outlook!$F$7:$H$7))+E7</f>
        <v>3307.5</v>
      </c>
      <c r="N7" s="115">
        <f>SUM(Outlook!F7:H7)</f>
        <v>0</v>
      </c>
      <c r="O7" s="120">
        <f>SUM(Budget!E7:G7)</f>
        <v>0</v>
      </c>
      <c r="P7" s="824">
        <f t="shared" si="2"/>
        <v>0</v>
      </c>
      <c r="Q7" s="128">
        <f>(SUMIF(Outlook!$F$2:$Q$2,"actual",Outlook!$F$7:$Q$7))+E7</f>
        <v>12561.687000000002</v>
      </c>
      <c r="R7" s="115">
        <f>(SUMIF(Outlook!$F$2:$Q$2,"ACTUAL",Outlook!F7:Q7))+F7</f>
        <v>9254.1870000000017</v>
      </c>
      <c r="S7" s="130">
        <f>IF(R7&lt;=0,0,(Q7-R7)/R7)</f>
        <v>0.35740578832046505</v>
      </c>
      <c r="T7" s="117">
        <f>(SUMIF(Budget!$E$2:$P$2,"PLANED",Budget!E7:P7))+H7</f>
        <v>0</v>
      </c>
      <c r="U7" s="132">
        <f t="shared" si="3"/>
        <v>0</v>
      </c>
      <c r="V7" s="135">
        <f>Outlook!R7</f>
        <v>9254.1870000000017</v>
      </c>
      <c r="W7" s="136">
        <f>Budget!Q7</f>
        <v>0</v>
      </c>
      <c r="X7" s="118">
        <f t="shared" si="4"/>
        <v>0</v>
      </c>
      <c r="Z7" s="160"/>
    </row>
    <row r="8" spans="1:30">
      <c r="A8" s="110"/>
      <c r="B8" s="125" t="s">
        <v>90</v>
      </c>
      <c r="C8" s="126" t="s">
        <v>85</v>
      </c>
      <c r="D8" s="127">
        <f>Actual!AL158</f>
        <v>158177.17069199999</v>
      </c>
      <c r="E8" s="128">
        <f>Actual!AL158</f>
        <v>158177.17069199999</v>
      </c>
      <c r="F8" s="129">
        <f>'Graphic Production'!AI11</f>
        <v>157816.3567333332</v>
      </c>
      <c r="G8" s="116">
        <f t="shared" si="0"/>
        <v>2.2862900027305773E-3</v>
      </c>
      <c r="H8" s="131">
        <f>(HLOOKUP(E$2,Budget!$E$3:$P$18,MATCH(B8,Budget!$B$3:$B$18,0),FALSE))</f>
        <v>213183.93240937701</v>
      </c>
      <c r="I8" s="132">
        <f t="shared" si="1"/>
        <v>-0.25802489472681067</v>
      </c>
      <c r="J8" s="133">
        <f>(HLOOKUP(E$2,Outlook!$F$3:$Q$31,MATCH(B8,Outlook!$B$3:$B$31,0),FALSE))</f>
        <v>154864.2727</v>
      </c>
      <c r="K8" s="134">
        <f>HLOOKUP(E$2,Budget!$E$3:$P$18,MATCH(B8,Budget!$B$3:$B$18,0),FALSE)</f>
        <v>213183.93240937701</v>
      </c>
      <c r="L8" s="132">
        <f t="shared" si="5"/>
        <v>-0.2735649870525223</v>
      </c>
      <c r="M8" s="128">
        <f>Actual!AL158</f>
        <v>158177.17069199999</v>
      </c>
      <c r="N8" s="129">
        <f>+Outlook!N8</f>
        <v>154864.2727</v>
      </c>
      <c r="O8" s="120">
        <f>+Budget!M8</f>
        <v>213183.93240937701</v>
      </c>
      <c r="P8" s="118">
        <f t="shared" si="2"/>
        <v>-0.25802489472681067</v>
      </c>
      <c r="Q8" s="128">
        <f>Actual!AL158</f>
        <v>158177.17069199999</v>
      </c>
      <c r="R8" s="129">
        <f>(HLOOKUP(E$2,Outlook!$F$3:$Q$31,MATCH(B8,Outlook!$B$3:$B$31,0),FALSE))</f>
        <v>154864.2727</v>
      </c>
      <c r="S8" s="130">
        <f t="shared" si="6"/>
        <v>2.1392267785466983E-2</v>
      </c>
      <c r="T8" s="131">
        <f>(HLOOKUP(E$2,Budget!$E$3:$P$18,MATCH(B8,Budget!$B$3:$B$18,0),FALSE))</f>
        <v>213183.93240937701</v>
      </c>
      <c r="U8" s="132">
        <f t="shared" si="3"/>
        <v>-0.25802489472681067</v>
      </c>
      <c r="V8" s="135">
        <f>Outlook!R8</f>
        <v>160462.6617</v>
      </c>
      <c r="W8" s="136">
        <f>Budget!P8</f>
        <v>108183.932409377</v>
      </c>
      <c r="X8" s="118">
        <f t="shared" si="4"/>
        <v>0.48323931406741566</v>
      </c>
      <c r="Z8" s="159"/>
    </row>
    <row r="9" spans="1:30">
      <c r="A9" s="110"/>
      <c r="B9" s="125" t="s">
        <v>10</v>
      </c>
      <c r="C9" s="126" t="s">
        <v>85</v>
      </c>
      <c r="D9" s="127">
        <f>Actual!AL159</f>
        <v>0</v>
      </c>
      <c r="E9" s="353">
        <f>Actual!AK159</f>
        <v>0</v>
      </c>
      <c r="F9" s="129">
        <f>'Graphic Production'!AI12</f>
        <v>37333.333333333328</v>
      </c>
      <c r="G9" s="574">
        <f t="shared" si="0"/>
        <v>-1</v>
      </c>
      <c r="H9" s="131">
        <f>((HLOOKUP(E$2,Budget!$E$3:$P$18,MATCH(B9,Budget!$B$3:$B$18,0),FALSE))/Actual!$E$3)*(MID(D$3,1,2))</f>
        <v>39666.666666666672</v>
      </c>
      <c r="I9" s="132">
        <f t="shared" si="1"/>
        <v>-1</v>
      </c>
      <c r="J9" s="133">
        <f>(HLOOKUP(E$2,Outlook!$F$3:$Q$31,MATCH(B9,Outlook!$B$3:$B$31,0),FALSE))</f>
        <v>160000</v>
      </c>
      <c r="K9" s="134">
        <f>HLOOKUP(E$2,Budget!$E$3:$P$18,MATCH(B9,Budget!$B$3:$B$18,0),FALSE)</f>
        <v>170000</v>
      </c>
      <c r="L9" s="132">
        <f t="shared" si="5"/>
        <v>-5.8823529411764705E-2</v>
      </c>
      <c r="M9" s="114">
        <f>(SUMIF(Outlook!$L$2:$N$2,"actual",Outlook!$L$12:$N$12))+E9</f>
        <v>208993.45500000007</v>
      </c>
      <c r="N9" s="115">
        <f>+Outlook!N39</f>
        <v>368993.45500000007</v>
      </c>
      <c r="O9" s="120">
        <f>+Budget!M26</f>
        <v>475000</v>
      </c>
      <c r="P9" s="118">
        <f t="shared" si="2"/>
        <v>-0.56001377894736826</v>
      </c>
      <c r="Q9" s="128">
        <f>(SUMIF(Outlook!$F$2:$Q$2,"actual",Outlook!$F$12:$Q$12))+E9</f>
        <v>1349598.3890000002</v>
      </c>
      <c r="R9" s="129">
        <f>(SUMIF(Outlook!$F$2:$Q$2,"ACTUAL",Outlook!F12:Q12))+F9</f>
        <v>1386931.7223333335</v>
      </c>
      <c r="S9" s="130">
        <f t="shared" si="6"/>
        <v>-2.6917931670439224E-2</v>
      </c>
      <c r="T9" s="131">
        <f>(SUMIF(Budget!$E$2:$P$2,"PLANED",Budget!E9:P9))+$H$9</f>
        <v>1884666.6666666667</v>
      </c>
      <c r="U9" s="132">
        <f t="shared" si="3"/>
        <v>-0.28390605465157404</v>
      </c>
      <c r="V9" s="135">
        <f>Outlook!R12</f>
        <v>2620000.0000000005</v>
      </c>
      <c r="W9" s="136">
        <f>Budget!Q9</f>
        <v>3050000</v>
      </c>
      <c r="X9" s="118">
        <f t="shared" si="4"/>
        <v>-0.14098360655737691</v>
      </c>
      <c r="Z9" s="159">
        <f>+W9-Q9</f>
        <v>1700401.6109999998</v>
      </c>
      <c r="AA9" s="159">
        <f>2000000-Q9</f>
        <v>650401.6109999998</v>
      </c>
      <c r="AB9" s="159">
        <f>+AA9/8500</f>
        <v>76.517836588235269</v>
      </c>
      <c r="AC9" s="1" t="s">
        <v>86</v>
      </c>
      <c r="AD9" s="159">
        <f>+Z9/8500</f>
        <v>200.04724835294115</v>
      </c>
    </row>
    <row r="10" spans="1:30">
      <c r="A10" s="110"/>
      <c r="B10" s="125" t="s">
        <v>91</v>
      </c>
      <c r="C10" s="126" t="s">
        <v>85</v>
      </c>
      <c r="D10" s="127">
        <f>Actual!AL162</f>
        <v>0</v>
      </c>
      <c r="E10" s="353">
        <f>Actual!AK215</f>
        <v>0</v>
      </c>
      <c r="F10" s="129">
        <f>'Graphic Production'!AI15</f>
        <v>40833.333333333336</v>
      </c>
      <c r="G10" s="574">
        <f t="shared" si="0"/>
        <v>-1</v>
      </c>
      <c r="H10" s="131">
        <f>(HLOOKUP(E$2,Budget!$E$3:$P$18,MATCH(B10,Budget!$B$3:$B$18,0),FALSE))/(Actual!$E$3)*(MID(D$3,1,2))</f>
        <v>39666.666666666672</v>
      </c>
      <c r="I10" s="132">
        <f t="shared" si="1"/>
        <v>-1</v>
      </c>
      <c r="J10" s="133">
        <f>(HLOOKUP(E$2,Outlook!$F$3:$Q$31,MATCH(B10,Outlook!$B$3:$B$31,0),FALSE))</f>
        <v>175000</v>
      </c>
      <c r="K10" s="134">
        <f>HLOOKUP(E$2,Budget!$E$3:$P$18,MATCH(B10,Budget!$B$3:$B$18,0),FALSE)</f>
        <v>170000</v>
      </c>
      <c r="L10" s="132">
        <f t="shared" si="5"/>
        <v>2.9411764705882353E-2</v>
      </c>
      <c r="M10" s="114">
        <f>(SUMIF(Outlook!$L$2:$N$2,"actual",Outlook!$L$14:$N$14))+E10</f>
        <v>172530.37000000002</v>
      </c>
      <c r="N10" s="129">
        <f>+Outlook!N40</f>
        <v>347530.37</v>
      </c>
      <c r="O10" s="120">
        <f>+Budget!M27</f>
        <v>410000</v>
      </c>
      <c r="P10" s="118">
        <f>IF(O10&lt;=0,0,(M10-O10)/O10)</f>
        <v>-0.57919421951219507</v>
      </c>
      <c r="Q10" s="128">
        <f>(SUMIF(Outlook!$F$2:$Q$2,"actual",Outlook!$F$14:$Q$14))+$E$10</f>
        <v>1298197.48</v>
      </c>
      <c r="R10" s="129">
        <f>(SUMIF(Outlook!$F$2:$Q$2,"ACTUAL",Outlook!F14:Q14))+F10</f>
        <v>1339030.8133333332</v>
      </c>
      <c r="S10" s="130">
        <f t="shared" si="6"/>
        <v>-3.0494692823150413E-2</v>
      </c>
      <c r="T10" s="131">
        <f>(SUMIF(Budget!$E$2:$P$2,"PLANED",Budget!E11:P11))+H10</f>
        <v>1867166.6666666667</v>
      </c>
      <c r="U10" s="132">
        <f t="shared" si="3"/>
        <v>-0.30472329911630819</v>
      </c>
      <c r="V10" s="135">
        <f>Outlook!R14</f>
        <v>2600000</v>
      </c>
      <c r="W10" s="136">
        <f>Budget!Q11</f>
        <v>3040000</v>
      </c>
      <c r="X10" s="118">
        <f t="shared" si="4"/>
        <v>-0.14473684210526316</v>
      </c>
      <c r="Z10" s="159">
        <f>+W10-Q10</f>
        <v>1741802.52</v>
      </c>
      <c r="AA10" s="159">
        <f>2000000-Q10</f>
        <v>701802.52</v>
      </c>
      <c r="AB10" s="159">
        <f>+AA10/7500</f>
        <v>93.573669333333342</v>
      </c>
      <c r="AC10" s="1" t="s">
        <v>92</v>
      </c>
      <c r="AD10" s="159">
        <f>+Z10/7500</f>
        <v>232.24033600000001</v>
      </c>
    </row>
    <row r="11" spans="1:30">
      <c r="A11" s="110"/>
      <c r="B11" s="125" t="s">
        <v>93</v>
      </c>
      <c r="C11" s="126" t="s">
        <v>85</v>
      </c>
      <c r="D11" s="393">
        <f>Actual!AL163</f>
        <v>53492.115105999997</v>
      </c>
      <c r="E11" s="128">
        <f>Actual!AL163</f>
        <v>53492.115105999997</v>
      </c>
      <c r="F11" s="129">
        <f>'Graphic Production'!AI16</f>
        <v>49712.624999999993</v>
      </c>
      <c r="G11" s="574">
        <f>IF(F11&lt;=0,0,(E11-F11)/F11)</f>
        <v>7.6026765957339912E-2</v>
      </c>
      <c r="H11" s="131">
        <f>((HLOOKUP(E$2,Budget!$E$3:$P$18,MATCH(B11,Budget!$B$3:$B$18,0),FALSE)))</f>
        <v>84984.685239999904</v>
      </c>
      <c r="I11" s="132">
        <f t="shared" si="1"/>
        <v>-0.37056759162034569</v>
      </c>
      <c r="J11" s="133">
        <f>(HLOOKUP(E$2,Outlook!$F$3:$Q$31,MATCH(B11,Outlook!$B$3:$B$31,0),FALSE))</f>
        <v>38492.115100000003</v>
      </c>
      <c r="K11" s="134">
        <f>HLOOKUP(E$2,Budget!$E$3:$P$18,MATCH(B11,Budget!$B$3:$B$18,0),FALSE)</f>
        <v>84984.685239999904</v>
      </c>
      <c r="L11" s="132">
        <f t="shared" si="5"/>
        <v>-0.54706998100543835</v>
      </c>
      <c r="M11" s="128">
        <f>Actual!AL163</f>
        <v>53492.115105999997</v>
      </c>
      <c r="N11" s="129">
        <f>+Outlook!N13</f>
        <v>38492.115100000003</v>
      </c>
      <c r="O11" s="120">
        <f>+Budget!M10</f>
        <v>84984.685239999904</v>
      </c>
      <c r="P11" s="118">
        <f t="shared" si="2"/>
        <v>-0.37056759162034569</v>
      </c>
      <c r="Q11" s="128">
        <f>Actual!AL163</f>
        <v>53492.115105999997</v>
      </c>
      <c r="R11" s="129">
        <f>(HLOOKUP(E$2,Outlook!$F$3:$Q$31,MATCH(B11,Outlook!$B$3:$B$31,0),FALSE))</f>
        <v>38492.115100000003</v>
      </c>
      <c r="S11" s="130">
        <f t="shared" si="6"/>
        <v>0.389690199331239</v>
      </c>
      <c r="T11" s="131">
        <f>(HLOOKUP(E$2,Budget!$E$3:$P$18,MATCH(B11,Budget!$B$3:$B$18,0),FALSE))</f>
        <v>84984.685239999904</v>
      </c>
      <c r="U11" s="132">
        <f t="shared" si="3"/>
        <v>-0.37056759162034569</v>
      </c>
      <c r="V11" s="135">
        <f>Outlook!R13</f>
        <v>25691.206099999999</v>
      </c>
      <c r="W11" s="136">
        <f>Budget!P10</f>
        <v>77484.685239999904</v>
      </c>
      <c r="X11" s="118">
        <f t="shared" si="4"/>
        <v>-0.66843504596521963</v>
      </c>
      <c r="Z11" s="159">
        <f>+W9-Q10</f>
        <v>1751802.52</v>
      </c>
      <c r="AD11" s="159">
        <f>+Z11/7500</f>
        <v>233.57366933333333</v>
      </c>
    </row>
    <row r="12" spans="1:30">
      <c r="A12" s="110"/>
      <c r="B12" s="125" t="s">
        <v>94</v>
      </c>
      <c r="C12" s="126" t="s">
        <v>85</v>
      </c>
      <c r="D12" s="127">
        <f>Actual!AL164</f>
        <v>0</v>
      </c>
      <c r="E12" s="128">
        <f>Actual!AL164</f>
        <v>0</v>
      </c>
      <c r="F12" s="129">
        <f>(HLOOKUP(E$2,Outlook!$F$3:$Q$31,MATCH(B12,Outlook!$B$3:$B$31,0),FALSE))</f>
        <v>0</v>
      </c>
      <c r="G12" s="574">
        <f t="shared" si="0"/>
        <v>0</v>
      </c>
      <c r="H12" s="131">
        <f>(HLOOKUP(E$2,Budget!$E$3:$P$18,MATCH(B12,Budget!$B$3:$B$18,0),FALSE))</f>
        <v>0</v>
      </c>
      <c r="I12" s="575">
        <f t="shared" si="1"/>
        <v>0</v>
      </c>
      <c r="J12" s="133">
        <f>(HLOOKUP(E$2,Outlook!$F$3:$Q$31,MATCH(B12,Outlook!$B$3:$B$31,0),FALSE))</f>
        <v>0</v>
      </c>
      <c r="K12" s="134">
        <f>HLOOKUP(E$2,Budget!$E$3:$P$18,MATCH(B12,Budget!$B$3:$B$18,0),FALSE)</f>
        <v>0</v>
      </c>
      <c r="L12" s="575">
        <f t="shared" si="5"/>
        <v>0</v>
      </c>
      <c r="M12" s="128">
        <f>Actual!AL164</f>
        <v>0</v>
      </c>
      <c r="N12" s="129">
        <f>F12</f>
        <v>0</v>
      </c>
      <c r="O12" s="120">
        <f>H12</f>
        <v>0</v>
      </c>
      <c r="P12" s="576">
        <f t="shared" si="2"/>
        <v>0</v>
      </c>
      <c r="Q12" s="128">
        <f>Actual!AL164</f>
        <v>0</v>
      </c>
      <c r="R12" s="129">
        <f>(HLOOKUP(E$2,Outlook!$F$3:$Q$31,MATCH(B12,Outlook!$B$3:$B$31,0),FALSE))</f>
        <v>0</v>
      </c>
      <c r="S12" s="130">
        <f t="shared" si="6"/>
        <v>0</v>
      </c>
      <c r="T12" s="131">
        <f>(HLOOKUP(E$2,Budget!$E$3:$P$18,MATCH(B12,Budget!$B$3:$B$18,0),FALSE))</f>
        <v>0</v>
      </c>
      <c r="U12" s="575">
        <f t="shared" si="3"/>
        <v>0</v>
      </c>
      <c r="V12" s="135">
        <f>Outlook!Q25</f>
        <v>0</v>
      </c>
      <c r="W12" s="136">
        <f>Budget!P12</f>
        <v>0</v>
      </c>
      <c r="X12" s="576">
        <f t="shared" si="4"/>
        <v>0</v>
      </c>
      <c r="Y12" s="69"/>
      <c r="Z12" s="382"/>
    </row>
    <row r="13" spans="1:30">
      <c r="A13" s="110"/>
      <c r="B13" s="125" t="s">
        <v>95</v>
      </c>
      <c r="C13" s="126" t="s">
        <v>96</v>
      </c>
      <c r="D13" s="137">
        <f>Actual!AL219</f>
        <v>1.0845163362933501</v>
      </c>
      <c r="E13" s="138">
        <f>Actual!AK219</f>
        <v>1.1029474855769581</v>
      </c>
      <c r="F13" s="139">
        <f>(HLOOKUP(E$2,Outlook!$F$3:$Q$31,MATCH(B13,Outlook!$B$3:$B$31,0),FALSE))</f>
        <v>1.25</v>
      </c>
      <c r="G13" s="454">
        <f t="shared" si="0"/>
        <v>-0.11764201153843352</v>
      </c>
      <c r="H13" s="140">
        <f>((HLOOKUP(E$2,Budget!$E$3:$P$18,MATCH(B13,Budget!$B$3:$B$18,0),FALSE)))</f>
        <v>1.2</v>
      </c>
      <c r="I13" s="454">
        <f t="shared" si="1"/>
        <v>-8.0877095352534886E-2</v>
      </c>
      <c r="J13" s="141">
        <f>(HLOOKUP(E$2,Outlook!$F$3:$Q$31,MATCH(B13,Outlook!$B$3:$B$31,0),FALSE))</f>
        <v>1.25</v>
      </c>
      <c r="K13" s="142">
        <f>HLOOKUP(E$2,Budget!$E$3:$P$18,MATCH(B13,Budget!$B$3:$B$18,0),FALSE)</f>
        <v>1.2</v>
      </c>
      <c r="L13" s="118">
        <f>IF(K13&lt;=0,0,(J13-K13)/K13)</f>
        <v>4.1666666666666706E-2</v>
      </c>
      <c r="M13" s="138">
        <f>IFERROR(E4*E13/E4,0)</f>
        <v>1.1029474855769581</v>
      </c>
      <c r="N13" s="139">
        <f>+Outlook!N41</f>
        <v>1.1098764108486909</v>
      </c>
      <c r="O13" s="550">
        <f>Budget!M21</f>
        <v>1.3861162079510703</v>
      </c>
      <c r="P13" s="118">
        <f t="shared" si="2"/>
        <v>-0.20428930904190681</v>
      </c>
      <c r="Q13" s="138">
        <f>(SUMPRODUCT(Outlook!F4:K4,Outlook!F26:K26)+Summary!$E$4*Summary!$E$13)/Summary!$Q$4</f>
        <v>0.75680776263848681</v>
      </c>
      <c r="R13" s="793">
        <f>(SUMPRODUCT(Outlook!F4:K4,Outlook!F26:K26))/SUM(Outlook!F4:K4)</f>
        <v>1.0765722702428522</v>
      </c>
      <c r="S13" s="130">
        <f t="shared" si="6"/>
        <v>-0.29702093992466777</v>
      </c>
      <c r="T13" s="140">
        <f>+SUMPRODUCT(Budget!E4:J4,Budget!E13:J13)/SUM(Budget!E4:J4)</f>
        <v>1.2946992153443766</v>
      </c>
      <c r="U13" s="118">
        <f>IF(T13&lt;=0,0,(Q13-T13)/T13)</f>
        <v>-0.41545669166318</v>
      </c>
      <c r="V13" s="143">
        <f>Outlook!R26</f>
        <v>1.1698741013608842</v>
      </c>
      <c r="W13" s="144">
        <f>Budget!Q13</f>
        <v>1.361308016877637</v>
      </c>
      <c r="X13" s="118">
        <f t="shared" si="4"/>
        <v>-0.14062498210789579</v>
      </c>
      <c r="Y13" s="69"/>
      <c r="Z13" s="158"/>
    </row>
    <row r="14" spans="1:30">
      <c r="A14" s="110"/>
      <c r="B14" s="125" t="s">
        <v>97</v>
      </c>
      <c r="C14" s="126" t="s">
        <v>96</v>
      </c>
      <c r="D14" s="137">
        <f>Actual!AL225</f>
        <v>0</v>
      </c>
      <c r="E14" s="138">
        <f>Actual!AK225</f>
        <v>12.908824000000001</v>
      </c>
      <c r="F14" s="139">
        <f>(HLOOKUP(E$2,Outlook!$F$3:$Q$31,MATCH(B14,Outlook!$B$3:$B$31,0),FALSE))</f>
        <v>13.75</v>
      </c>
      <c r="G14" s="454">
        <f t="shared" si="0"/>
        <v>-6.1176436363636295E-2</v>
      </c>
      <c r="H14" s="140">
        <f>((HLOOKUP(E$2,Budget!$E$3:$P$18,MATCH(B14,Budget!$B$3:$B$18,0),FALSE)))</f>
        <v>14.25</v>
      </c>
      <c r="I14" s="132">
        <f t="shared" si="1"/>
        <v>-9.4117614035087657E-2</v>
      </c>
      <c r="J14" s="141">
        <f>(HLOOKUP(E$2,Outlook!$F$3:$Q$31,MATCH(B14,Outlook!$B$3:$B$31,0),FALSE))</f>
        <v>13.75</v>
      </c>
      <c r="K14" s="142">
        <f>HLOOKUP(E$2,Budget!$E$3:$P$18,MATCH(B14,Budget!$B$3:$B$18,0),FALSE)</f>
        <v>14.25</v>
      </c>
      <c r="L14" s="118">
        <f>IF(K14&lt;=0,0,(J14-K14)/K14)</f>
        <v>-3.5087719298245612E-2</v>
      </c>
      <c r="M14" s="138">
        <f>IFERROR(E5*E14/E5,0)</f>
        <v>12.908824000000001</v>
      </c>
      <c r="N14" s="139">
        <f>+Outlook!N42</f>
        <v>13.62913379265534</v>
      </c>
      <c r="O14" s="550">
        <f>Budget!M22</f>
        <v>14.415357585779248</v>
      </c>
      <c r="P14" s="118">
        <f t="shared" si="2"/>
        <v>-0.10450892923151918</v>
      </c>
      <c r="Q14" s="138">
        <f>(SUMPRODUCT(Outlook!F5:K5,Outlook!F27:K27)+Summary!$E$5*Summary!$E$14)/Summary!$Q$5</f>
        <v>10.478817970912097</v>
      </c>
      <c r="R14" s="793">
        <f>(SUMPRODUCT(Outlook!F5:K5,Outlook!F27:K27))/SUM(Outlook!F5:K5)</f>
        <v>13.857584638429715</v>
      </c>
      <c r="S14" s="130">
        <f t="shared" si="6"/>
        <v>-0.2438207491186925</v>
      </c>
      <c r="T14" s="140">
        <f>+SUMPRODUCT(Budget!E5:J5,Budget!E14:J14)/SUM(Budget!E5:J5)</f>
        <v>14.663125709242214</v>
      </c>
      <c r="U14" s="118">
        <f t="shared" si="3"/>
        <v>-0.28536260421560289</v>
      </c>
      <c r="V14" s="143">
        <f>Outlook!R27</f>
        <v>13.873654176340322</v>
      </c>
      <c r="W14" s="144">
        <f>Budget!Q14</f>
        <v>14.500008333333334</v>
      </c>
      <c r="X14" s="118">
        <f t="shared" si="4"/>
        <v>-4.3196813587556206E-2</v>
      </c>
      <c r="Y14" s="69"/>
      <c r="Z14" s="158"/>
    </row>
    <row r="15" spans="1:30">
      <c r="A15" s="110"/>
      <c r="B15" s="125" t="s">
        <v>98</v>
      </c>
      <c r="C15" s="126" t="s">
        <v>99</v>
      </c>
      <c r="D15" s="145">
        <f>Actual!AK178</f>
        <v>0</v>
      </c>
      <c r="E15" s="146">
        <f>Actual!AK177</f>
        <v>0</v>
      </c>
      <c r="F15" s="147">
        <f>((HLOOKUP(E$2,Outlook!$F$3:$Q$31,MATCH(B15,Outlook!$B$3:$B$31,0),FALSE))/Actual!$E$3)*(MID(D$3,1,2))</f>
        <v>71.633333333333326</v>
      </c>
      <c r="G15" s="130">
        <f t="shared" si="0"/>
        <v>-1</v>
      </c>
      <c r="H15" s="140">
        <f>((HLOOKUP(E$2,Budget!$E$3:$P$18,MATCH(B15,Budget!$B$3:$B$18,0),FALSE))/Actual!$E$3)*(MID(D$3,1,2))</f>
        <v>71.685837870370364</v>
      </c>
      <c r="I15" s="132">
        <f t="shared" si="1"/>
        <v>-1</v>
      </c>
      <c r="J15" s="133">
        <f>(HLOOKUP(E$2,Outlook!$F$3:$Q$31,MATCH(B15,Outlook!$B$3:$B$31,0),FALSE))</f>
        <v>307</v>
      </c>
      <c r="K15" s="134">
        <f>HLOOKUP(E$2,Budget!$E$3:$P$18,MATCH(B15,Budget!$B$3:$B$18,0),FALSE)</f>
        <v>307.2250194444444</v>
      </c>
      <c r="L15" s="132">
        <f t="shared" si="5"/>
        <v>-7.3242551941668759E-4</v>
      </c>
      <c r="M15" s="114">
        <f>(SUMIF(Outlook!$L$2:$N$2,"actual",Outlook!$L$28:$N$28))+E15</f>
        <v>275</v>
      </c>
      <c r="N15" s="539">
        <f>+Outlook!N43</f>
        <v>582</v>
      </c>
      <c r="O15" s="120">
        <f>Budget!M23</f>
        <v>809.67346701388897</v>
      </c>
      <c r="P15" s="118">
        <f t="shared" si="2"/>
        <v>-0.66035690781098211</v>
      </c>
      <c r="Q15" s="128">
        <f>(SUMIF(Outlook!$F$2:$Q$2,"actual",Outlook!$F$28:$Q$28))+E15</f>
        <v>2833.87</v>
      </c>
      <c r="R15" s="859">
        <f>(SUMIF(Outlook!$F$2:$Q$2,"ACTUAL",Outlook!F28:Q28))+F15</f>
        <v>2905.5033333333331</v>
      </c>
      <c r="S15" s="130">
        <f t="shared" si="6"/>
        <v>-2.4654362812639424E-2</v>
      </c>
      <c r="T15" s="140">
        <f>(SUMIF(Budget!$E$2:$P$2,"PLANED",Budget!E15:P15))+(((HLOOKUP(E$2,Budget!$E$3:$P$18,MATCH(B15,Budget!$B$3:$B$18,0),FALSE))/Actual!$E$3)*(MID(D$3,1,2)))</f>
        <v>3103.639285439815</v>
      </c>
      <c r="U15" s="132">
        <f t="shared" si="3"/>
        <v>-8.6920308911345112E-2</v>
      </c>
      <c r="V15" s="135">
        <f>Outlook!R28</f>
        <v>4491.87</v>
      </c>
      <c r="W15" s="136">
        <f>Budget!Q15</f>
        <v>4690.772842041607</v>
      </c>
      <c r="X15" s="132">
        <f t="shared" si="4"/>
        <v>-4.240300026019525E-2</v>
      </c>
      <c r="Z15" s="101"/>
      <c r="AA15" s="65">
        <f>Q5</f>
        <v>1427162.5319999999</v>
      </c>
    </row>
    <row r="16" spans="1:30">
      <c r="A16" s="110"/>
      <c r="B16" s="149" t="s">
        <v>100</v>
      </c>
      <c r="C16" s="150" t="s">
        <v>101</v>
      </c>
      <c r="D16" s="151">
        <f>Actual!AK185</f>
        <v>0</v>
      </c>
      <c r="E16" s="146">
        <f>Actual!AK184</f>
        <v>0</v>
      </c>
      <c r="F16" s="147">
        <f>((HLOOKUP(E$2,Outlook!$F$3:$Q$31,MATCH(B16,Outlook!$B$3:$B$31,0),FALSE))/Actual!$E$3)*MID(D$3,1,2)</f>
        <v>17.266666666666666</v>
      </c>
      <c r="G16" s="148">
        <f t="shared" si="0"/>
        <v>-1</v>
      </c>
      <c r="H16" s="152">
        <f>((HLOOKUP(E$2,Budget!$E$3:$P$18,MATCH(B16,Budget!$B$3:$B$18,0),FALSE))/Actual!$E$3)*(MID(D$3,1,2))</f>
        <v>16.665223880597015</v>
      </c>
      <c r="I16" s="132">
        <f t="shared" si="1"/>
        <v>-1</v>
      </c>
      <c r="J16" s="133">
        <f>(HLOOKUP(E$2,Outlook!$F$3:$Q$31,MATCH(B16,Outlook!$B$3:$B$31,0),FALSE))</f>
        <v>74</v>
      </c>
      <c r="K16" s="134">
        <f>HLOOKUP(E$2,Budget!$E$3:$P$18,MATCH(B16,Budget!$B$3:$B$18,0),FALSE)</f>
        <v>71.42238805970149</v>
      </c>
      <c r="L16" s="132">
        <f t="shared" si="5"/>
        <v>3.6089691346415105E-2</v>
      </c>
      <c r="M16" s="114">
        <f>(SUMIF(Outlook!$L$2:$N$2,"actual",Outlook!$L$29:$N$29))+E16</f>
        <v>78.033333333333331</v>
      </c>
      <c r="N16" s="539">
        <f>+Outlook!N44</f>
        <v>152.03333333333333</v>
      </c>
      <c r="O16" s="120">
        <f>Budget!M24</f>
        <v>172.58955223880596</v>
      </c>
      <c r="P16" s="118">
        <f t="shared" si="2"/>
        <v>-0.5478675718136089</v>
      </c>
      <c r="Q16" s="128">
        <f>((SUMIF(Outlook!$F$2:$Q$2,"actual",Outlook!$F$29:$Q$29))+E16)</f>
        <v>609.52</v>
      </c>
      <c r="R16" s="857">
        <f>(SUMIF(Outlook!$F$2:$Q$2,"ACTUAL",Outlook!F29:Q29))+F16</f>
        <v>626.78666666666663</v>
      </c>
      <c r="S16" s="130">
        <f t="shared" si="6"/>
        <v>-2.754791635644236E-2</v>
      </c>
      <c r="T16" s="140">
        <f>(SUMIF(Budget!$E$2:$P$2,"PLANED",Budget!E16:P16))+(((HLOOKUP(E$2,Budget!$E$3:$P$18,MATCH(B16,Budget!$B$3:$B$18,0),FALSE))/Actual!$E$3)*(MID(D$3,1,2)))</f>
        <v>626.58835820895524</v>
      </c>
      <c r="U16" s="132">
        <f t="shared" si="3"/>
        <v>-2.7240145759719475E-2</v>
      </c>
      <c r="V16" s="135">
        <f>Outlook!R29</f>
        <v>1106.52</v>
      </c>
      <c r="W16" s="136">
        <f>Budget!Q16</f>
        <v>1090.7485074626866</v>
      </c>
      <c r="X16" s="118">
        <f t="shared" si="4"/>
        <v>1.4459329927483704E-2</v>
      </c>
      <c r="Z16" s="101"/>
      <c r="AB16" s="69"/>
    </row>
    <row r="17" spans="1:26" ht="15" thickBot="1">
      <c r="A17" s="110"/>
      <c r="B17" s="433" t="s">
        <v>102</v>
      </c>
      <c r="C17" s="434" t="s">
        <v>101</v>
      </c>
      <c r="D17" s="435">
        <f>Actual!AK192</f>
        <v>0</v>
      </c>
      <c r="E17" s="436">
        <f>Actual!AK191</f>
        <v>0</v>
      </c>
      <c r="F17" s="437">
        <f>((HLOOKUP(E$2,Outlook!$F$3:$Q$31,MATCH(B17,Outlook!$B$3:$B$31,0),FALSE))/Actual!$E$3)*MID(D$3,1,2)</f>
        <v>5.1333333333333329</v>
      </c>
      <c r="G17" s="438">
        <f t="shared" si="0"/>
        <v>-1</v>
      </c>
      <c r="H17" s="439">
        <f>((HLOOKUP(E$2,Budget!$E$3:$P$18,MATCH(B17,Budget!$B$3:$B$18,0),FALSE))/Actual!$E$3)*(MID(D$3,1,2))</f>
        <v>5.6661761194029863</v>
      </c>
      <c r="I17" s="440">
        <f t="shared" si="1"/>
        <v>-1</v>
      </c>
      <c r="J17" s="1074">
        <f>(HLOOKUP(E$2,Outlook!$F$3:$Q$31,MATCH(B17,Outlook!$B$3:$B$31,0),FALSE))</f>
        <v>22</v>
      </c>
      <c r="K17" s="1075">
        <f>HLOOKUP(E$2,Budget!$E$3:$P$18,MATCH(B17,Budget!$B$3:$B$18,0),FALSE)</f>
        <v>24.283611940298513</v>
      </c>
      <c r="L17" s="440">
        <f t="shared" si="5"/>
        <v>-9.403922060329388E-2</v>
      </c>
      <c r="M17" s="856">
        <f>(SUMIF(Outlook!$L$2:$N$2,"actual",Outlook!$L$30:$N$30))+E17</f>
        <v>21.699999999999996</v>
      </c>
      <c r="N17" s="1013">
        <f>+Outlook!N45</f>
        <v>43.699999999999996</v>
      </c>
      <c r="O17" s="1076">
        <f>Budget!M25</f>
        <v>58.680447761194046</v>
      </c>
      <c r="P17" s="440">
        <f t="shared" si="2"/>
        <v>-0.63020050412174222</v>
      </c>
      <c r="Q17" s="856">
        <f>(SUMIF(Outlook!$F$2:$Q$2,"actual",Outlook!$F$30:$Q$30))+E17</f>
        <v>178.6</v>
      </c>
      <c r="R17" s="858">
        <f>(SUMIF(Outlook!$F$2:$Q$2,"ACTUAL",Outlook!F30:Q30))+F17</f>
        <v>183.73333333333332</v>
      </c>
      <c r="S17" s="441">
        <f t="shared" si="6"/>
        <v>-2.7939042089985447E-2</v>
      </c>
      <c r="T17" s="439">
        <f>(SUMIF(Budget!$E$2:$P$2,"PLANED",Budget!E17:P17))+(((HLOOKUP(E$2,Budget!$E$3:$P$18,MATCH(B17,Budget!$B$3:$B$18,0),FALSE))/Actual!$E$3)*(MID(D$3,1,2)))</f>
        <v>213.04004179104481</v>
      </c>
      <c r="U17" s="440">
        <f t="shared" si="3"/>
        <v>-0.16165994665371172</v>
      </c>
      <c r="V17" s="1077">
        <f>Outlook!R30</f>
        <v>326.60000000000002</v>
      </c>
      <c r="W17" s="1078">
        <f>Budget!Q17</f>
        <v>370.85449253731349</v>
      </c>
      <c r="X17" s="440">
        <f t="shared" si="4"/>
        <v>-0.11933114854436018</v>
      </c>
      <c r="Y17" s="65"/>
      <c r="Z17" s="101"/>
    </row>
    <row r="18" spans="1:26" ht="15" hidden="1" thickBot="1">
      <c r="A18" s="110"/>
      <c r="B18" s="420" t="s">
        <v>103</v>
      </c>
      <c r="C18" s="421" t="s">
        <v>104</v>
      </c>
      <c r="D18" s="422">
        <f>Actual!AL167</f>
        <v>101525.994468</v>
      </c>
      <c r="E18" s="423">
        <f>Actual!AL167</f>
        <v>101525.994468</v>
      </c>
      <c r="F18" s="601">
        <f>(HLOOKUP(E$2,Outlook!$F$3:$Q$31,MATCH(B18,Outlook!$B$3:$B$31,0),FALSE))</f>
        <v>35000</v>
      </c>
      <c r="G18" s="424">
        <f>IF(F18&lt;=0,0,(E18-F18)/F18)</f>
        <v>1.9007426990857144</v>
      </c>
      <c r="H18" s="425" t="e">
        <f>(HLOOKUP(E$2,Budget!$E$3:$P$18,MATCH(B18,Budget!$B$3:$B$18,0),FALSE))</f>
        <v>#N/A</v>
      </c>
      <c r="I18" s="153" t="e">
        <f>IF(H18&lt;=0,0,(E18-H18)/H18)</f>
        <v>#N/A</v>
      </c>
      <c r="J18" s="426">
        <f>(HLOOKUP(E$2,Outlook!$F$3:$Q$31,MATCH(B18,Outlook!$B$3:$B$31,0),FALSE))</f>
        <v>35000</v>
      </c>
      <c r="K18" s="427" t="e">
        <f>HLOOKUP(E$2,Budget!$E$3:$P$18,MATCH(B18,Budget!$B$3:$B$18,0),FALSE)</f>
        <v>#N/A</v>
      </c>
      <c r="L18" s="153" t="e">
        <f t="shared" si="5"/>
        <v>#N/A</v>
      </c>
      <c r="M18" s="602"/>
      <c r="N18" s="602"/>
      <c r="O18" s="602"/>
      <c r="P18" s="602"/>
      <c r="Q18" s="423">
        <f>Actual!AL167</f>
        <v>101525.994468</v>
      </c>
      <c r="R18" s="428">
        <f>Outlook!Q31</f>
        <v>35000</v>
      </c>
      <c r="S18" s="429">
        <f t="shared" si="6"/>
        <v>1.9007426990857144</v>
      </c>
      <c r="T18" s="425" t="e">
        <f>(HLOOKUP(E$2,Budget!$E$3:$P$18,MATCH(B18,Budget!$B$3:$B$18,0),FALSE))</f>
        <v>#N/A</v>
      </c>
      <c r="U18" s="153" t="e">
        <f t="shared" si="3"/>
        <v>#N/A</v>
      </c>
      <c r="V18" s="430">
        <f>Outlook!Q31</f>
        <v>35000</v>
      </c>
      <c r="W18" s="431">
        <f>Budget!P18</f>
        <v>0</v>
      </c>
      <c r="X18" s="153">
        <f t="shared" si="4"/>
        <v>0</v>
      </c>
      <c r="Z18" s="158"/>
    </row>
    <row r="19" spans="1:26">
      <c r="A19" s="154"/>
      <c r="B19" s="109"/>
      <c r="C19" s="109"/>
      <c r="D19" s="109"/>
      <c r="E19" s="1050"/>
      <c r="F19" s="1050"/>
      <c r="G19" s="109"/>
      <c r="H19" s="109"/>
      <c r="I19" s="109"/>
      <c r="J19" s="109"/>
      <c r="K19" s="109"/>
      <c r="L19" s="157"/>
      <c r="M19" s="157"/>
      <c r="N19" s="157"/>
      <c r="O19" s="157"/>
      <c r="P19" s="157"/>
      <c r="Q19" s="109"/>
      <c r="R19" s="109"/>
      <c r="S19" s="109"/>
      <c r="T19" s="109"/>
      <c r="U19" s="109"/>
      <c r="V19" s="109"/>
      <c r="W19" s="109"/>
      <c r="X19" s="109"/>
    </row>
    <row r="20" spans="1:26" hidden="1">
      <c r="A20" s="85"/>
    </row>
    <row r="21" spans="1:26" hidden="1">
      <c r="A21" s="65"/>
      <c r="F21" s="1" t="s">
        <v>105</v>
      </c>
    </row>
    <row r="22" spans="1:26" hidden="1">
      <c r="A22" s="65"/>
    </row>
    <row r="23" spans="1:26">
      <c r="A23" s="65"/>
      <c r="R23" s="65"/>
    </row>
    <row r="24" spans="1:26">
      <c r="A24" s="65"/>
    </row>
    <row r="25" spans="1:26">
      <c r="A25" s="65"/>
    </row>
    <row r="26" spans="1:26">
      <c r="A26" s="66"/>
    </row>
    <row r="27" spans="1:26">
      <c r="A27" s="65"/>
    </row>
    <row r="28" spans="1:26">
      <c r="A28" s="65"/>
    </row>
    <row r="29" spans="1:26">
      <c r="A29" s="65"/>
    </row>
    <row r="33" spans="1:13" ht="17.45">
      <c r="A33" s="31"/>
    </row>
    <row r="38" spans="1:13">
      <c r="B38" s="2"/>
    </row>
    <row r="39" spans="1:13">
      <c r="B39" s="58"/>
      <c r="H39" s="41"/>
      <c r="I39" s="65"/>
      <c r="J39" s="65"/>
      <c r="K39" s="65"/>
    </row>
    <row r="40" spans="1:13">
      <c r="B40" s="58"/>
      <c r="E40" s="65"/>
      <c r="H40" s="41"/>
      <c r="K40" s="448"/>
      <c r="M40" s="65"/>
    </row>
    <row r="41" spans="1:13">
      <c r="B41" s="58"/>
      <c r="D41" s="69"/>
      <c r="H41" s="41"/>
    </row>
    <row r="42" spans="1:13">
      <c r="B42" s="58"/>
      <c r="D42" s="69"/>
      <c r="H42" s="41"/>
    </row>
    <row r="43" spans="1:13">
      <c r="B43" s="58"/>
      <c r="D43" s="69"/>
      <c r="H43" s="41"/>
    </row>
    <row r="44" spans="1:13">
      <c r="B44" s="58"/>
      <c r="D44" s="65"/>
      <c r="H44" s="41"/>
    </row>
    <row r="45" spans="1:13">
      <c r="B45" s="58"/>
      <c r="H45" s="41"/>
    </row>
    <row r="46" spans="1:13">
      <c r="B46" s="58"/>
      <c r="H46" s="41"/>
    </row>
    <row r="47" spans="1:13">
      <c r="B47" s="58"/>
      <c r="H47" s="41"/>
    </row>
    <row r="48" spans="1:13">
      <c r="B48" s="58"/>
      <c r="H48" s="41"/>
    </row>
    <row r="49" spans="1:31">
      <c r="B49" s="58"/>
      <c r="H49" s="41"/>
    </row>
    <row r="50" spans="1:31">
      <c r="B50" s="58"/>
      <c r="H50" s="41"/>
    </row>
    <row r="51" spans="1:31">
      <c r="B51" s="58"/>
      <c r="H51" s="41"/>
    </row>
    <row r="52" spans="1:31">
      <c r="B52" s="58"/>
      <c r="H52" s="41"/>
    </row>
    <row r="53" spans="1:31">
      <c r="B53" s="58"/>
      <c r="H53" s="41"/>
    </row>
    <row r="54" spans="1:31">
      <c r="B54" s="58"/>
      <c r="H54" s="41"/>
    </row>
    <row r="55" spans="1:31">
      <c r="B55" s="58"/>
      <c r="H55" s="41"/>
    </row>
    <row r="56" spans="1:31">
      <c r="B56" s="58"/>
      <c r="H56" s="41"/>
    </row>
    <row r="57" spans="1:31">
      <c r="B57" s="58"/>
      <c r="H57" s="41"/>
    </row>
    <row r="58" spans="1:31">
      <c r="B58" s="58"/>
      <c r="H58" s="41"/>
    </row>
    <row r="59" spans="1:31">
      <c r="B59" s="58"/>
      <c r="H59" s="41"/>
    </row>
    <row r="60" spans="1:31">
      <c r="B60" s="58"/>
      <c r="H60" s="41"/>
    </row>
    <row r="61" spans="1:31">
      <c r="B61" s="58"/>
      <c r="H61" s="41"/>
    </row>
    <row r="62" spans="1:31">
      <c r="B62" s="58"/>
      <c r="H62" s="41"/>
    </row>
    <row r="63" spans="1:31">
      <c r="B63" s="58"/>
      <c r="H63" s="41"/>
    </row>
    <row r="64" spans="1:31">
      <c r="A64" s="158"/>
      <c r="B64" s="381"/>
      <c r="C64" s="158"/>
      <c r="D64" s="158"/>
      <c r="E64" s="158"/>
      <c r="F64" s="158"/>
      <c r="G64" s="158"/>
      <c r="H64" s="382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</row>
    <row r="65" spans="1:40">
      <c r="A65" s="158"/>
      <c r="B65" s="381"/>
      <c r="C65" s="158"/>
      <c r="D65" s="158"/>
      <c r="E65" s="158"/>
      <c r="F65" s="158"/>
      <c r="G65" s="158"/>
      <c r="H65" s="382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</row>
    <row r="66" spans="1:40">
      <c r="A66" s="158"/>
      <c r="B66" s="381"/>
      <c r="C66" s="158"/>
      <c r="D66" s="158"/>
      <c r="E66" s="158"/>
      <c r="F66" s="158"/>
      <c r="G66" s="158"/>
      <c r="H66" s="382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</row>
    <row r="67" spans="1:40">
      <c r="A67" s="74"/>
      <c r="B67" s="348"/>
      <c r="C67" s="74"/>
      <c r="D67" s="74"/>
      <c r="E67" s="74"/>
      <c r="F67" s="74"/>
      <c r="G67" s="74"/>
      <c r="H67" s="101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</row>
    <row r="68" spans="1:40">
      <c r="A68" s="74"/>
      <c r="B68" s="348"/>
      <c r="C68" s="74"/>
      <c r="D68" s="74"/>
      <c r="E68" s="74"/>
      <c r="F68" s="74"/>
      <c r="G68" s="74"/>
      <c r="H68" s="101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</row>
    <row r="69" spans="1:40">
      <c r="A69" s="74"/>
      <c r="B69" s="348"/>
      <c r="C69" s="104">
        <v>1</v>
      </c>
      <c r="D69" s="104">
        <v>2</v>
      </c>
      <c r="E69" s="104">
        <v>3</v>
      </c>
      <c r="F69" s="104">
        <v>4</v>
      </c>
      <c r="G69" s="104">
        <v>5</v>
      </c>
      <c r="H69" s="104">
        <v>6</v>
      </c>
      <c r="I69" s="104">
        <v>7</v>
      </c>
      <c r="J69" s="104">
        <v>8</v>
      </c>
      <c r="K69" s="104">
        <v>9</v>
      </c>
      <c r="L69" s="104">
        <v>10</v>
      </c>
      <c r="M69" s="104"/>
      <c r="N69" s="104"/>
      <c r="O69" s="104"/>
      <c r="P69" s="104"/>
      <c r="Q69" s="104">
        <v>11</v>
      </c>
      <c r="R69" s="104">
        <v>12</v>
      </c>
      <c r="S69" s="104">
        <v>13</v>
      </c>
      <c r="T69" s="104">
        <v>14</v>
      </c>
      <c r="U69" s="104">
        <v>15</v>
      </c>
      <c r="V69" s="104">
        <v>16</v>
      </c>
      <c r="W69" s="104">
        <v>17</v>
      </c>
      <c r="X69" s="104">
        <v>18</v>
      </c>
      <c r="Y69" s="104">
        <v>19</v>
      </c>
      <c r="Z69" s="104">
        <v>20</v>
      </c>
      <c r="AA69" s="104">
        <v>21</v>
      </c>
      <c r="AB69" s="104">
        <v>22</v>
      </c>
      <c r="AC69" s="104">
        <v>23</v>
      </c>
      <c r="AD69" s="104">
        <v>24</v>
      </c>
      <c r="AE69" s="104">
        <v>25</v>
      </c>
      <c r="AF69" s="104">
        <v>26</v>
      </c>
      <c r="AG69" s="104">
        <v>27</v>
      </c>
      <c r="AH69" s="104">
        <v>28</v>
      </c>
      <c r="AI69" s="104">
        <v>29</v>
      </c>
      <c r="AJ69" s="104">
        <v>30</v>
      </c>
      <c r="AK69" s="104">
        <v>31</v>
      </c>
    </row>
    <row r="70" spans="1:40">
      <c r="A70" s="74"/>
      <c r="B70" s="348" t="s">
        <v>106</v>
      </c>
      <c r="C70" s="104">
        <f>Actual!F139</f>
        <v>34987.5</v>
      </c>
      <c r="D70" s="104">
        <f>Actual!G139</f>
        <v>36594</v>
      </c>
      <c r="E70" s="104">
        <f>Actual!H139</f>
        <v>32709.75</v>
      </c>
      <c r="F70" s="104">
        <f>Actual!I139</f>
        <v>32669.25</v>
      </c>
      <c r="G70" s="104">
        <f>Actual!J139</f>
        <v>31549.5</v>
      </c>
      <c r="H70" s="104">
        <f>Actual!K139</f>
        <v>33361.5</v>
      </c>
      <c r="I70" s="104">
        <f>Actual!L139</f>
        <v>36570.75</v>
      </c>
      <c r="J70" s="104">
        <f>Actual!M139</f>
        <v>0</v>
      </c>
      <c r="K70" s="104">
        <f>Actual!N139</f>
        <v>0</v>
      </c>
      <c r="L70" s="104">
        <f>Actual!O139</f>
        <v>0</v>
      </c>
      <c r="M70" s="104"/>
      <c r="N70" s="104"/>
      <c r="O70" s="104"/>
      <c r="P70" s="104"/>
      <c r="Q70" s="104">
        <f>Actual!P139</f>
        <v>0</v>
      </c>
      <c r="R70" s="104">
        <f>Actual!Q139</f>
        <v>0</v>
      </c>
      <c r="S70" s="104">
        <f>Actual!R139</f>
        <v>0</v>
      </c>
      <c r="T70" s="104">
        <f>Actual!S139</f>
        <v>0</v>
      </c>
      <c r="U70" s="104">
        <f>Actual!T139</f>
        <v>0</v>
      </c>
      <c r="V70" s="104">
        <f>Actual!U139</f>
        <v>0</v>
      </c>
      <c r="W70" s="104">
        <f>Actual!V139</f>
        <v>0</v>
      </c>
      <c r="X70" s="104">
        <f>Actual!W139</f>
        <v>0</v>
      </c>
      <c r="Y70" s="104">
        <f>Actual!X139</f>
        <v>0</v>
      </c>
      <c r="Z70" s="104">
        <f>Actual!Y139</f>
        <v>0</v>
      </c>
      <c r="AA70" s="104">
        <f>Actual!Z139</f>
        <v>0</v>
      </c>
      <c r="AB70" s="104">
        <f>Actual!AA139</f>
        <v>0</v>
      </c>
      <c r="AC70" s="104">
        <f>Actual!AB139</f>
        <v>0</v>
      </c>
      <c r="AD70" s="104">
        <f>Actual!AC139</f>
        <v>0</v>
      </c>
      <c r="AE70" s="104">
        <f>Actual!AD139</f>
        <v>0</v>
      </c>
      <c r="AF70" s="104">
        <f>Actual!AE139</f>
        <v>0</v>
      </c>
      <c r="AG70" s="104">
        <f>Actual!AF139</f>
        <v>0</v>
      </c>
      <c r="AH70" s="104">
        <f>Actual!AG139</f>
        <v>0</v>
      </c>
      <c r="AI70" s="104">
        <f>Actual!AH139</f>
        <v>0</v>
      </c>
      <c r="AJ70" s="104">
        <f>Actual!AI139</f>
        <v>0</v>
      </c>
      <c r="AK70" s="104">
        <f>Actual!AJ139</f>
        <v>0</v>
      </c>
    </row>
    <row r="71" spans="1:40">
      <c r="A71" s="74"/>
      <c r="B71" s="348" t="s">
        <v>107</v>
      </c>
      <c r="C71" s="104" t="e">
        <f>Actual!#REF!</f>
        <v>#REF!</v>
      </c>
      <c r="D71" s="104" t="e">
        <f>Actual!#REF!</f>
        <v>#REF!</v>
      </c>
      <c r="E71" s="104" t="e">
        <f>Actual!#REF!</f>
        <v>#REF!</v>
      </c>
      <c r="F71" s="104" t="e">
        <f>Actual!#REF!</f>
        <v>#REF!</v>
      </c>
      <c r="G71" s="104" t="e">
        <f>Actual!#REF!</f>
        <v>#REF!</v>
      </c>
      <c r="H71" s="104" t="e">
        <f>Actual!#REF!</f>
        <v>#REF!</v>
      </c>
      <c r="I71" s="104" t="e">
        <f>Actual!#REF!</f>
        <v>#REF!</v>
      </c>
      <c r="J71" s="104" t="e">
        <f>Actual!#REF!</f>
        <v>#REF!</v>
      </c>
      <c r="K71" s="104" t="e">
        <f>Actual!#REF!</f>
        <v>#REF!</v>
      </c>
      <c r="L71" s="104" t="e">
        <f>Actual!#REF!</f>
        <v>#REF!</v>
      </c>
      <c r="M71" s="104"/>
      <c r="N71" s="104"/>
      <c r="O71" s="104"/>
      <c r="P71" s="104"/>
      <c r="Q71" s="104" t="e">
        <f>Actual!#REF!</f>
        <v>#REF!</v>
      </c>
      <c r="R71" s="104" t="e">
        <f>Actual!#REF!</f>
        <v>#REF!</v>
      </c>
      <c r="S71" s="104" t="e">
        <f>Actual!#REF!</f>
        <v>#REF!</v>
      </c>
      <c r="T71" s="104" t="e">
        <f>Actual!#REF!</f>
        <v>#REF!</v>
      </c>
      <c r="U71" s="104" t="e">
        <f>Actual!#REF!</f>
        <v>#REF!</v>
      </c>
      <c r="V71" s="104" t="e">
        <f>Actual!#REF!</f>
        <v>#REF!</v>
      </c>
      <c r="W71" s="104" t="e">
        <f>Actual!#REF!</f>
        <v>#REF!</v>
      </c>
      <c r="X71" s="104" t="e">
        <f>Actual!#REF!</f>
        <v>#REF!</v>
      </c>
      <c r="Y71" s="104" t="e">
        <f>Actual!#REF!</f>
        <v>#REF!</v>
      </c>
      <c r="Z71" s="104" t="e">
        <f>Actual!#REF!</f>
        <v>#REF!</v>
      </c>
      <c r="AA71" s="104" t="e">
        <f>Actual!#REF!</f>
        <v>#REF!</v>
      </c>
      <c r="AB71" s="104" t="e">
        <f>Actual!#REF!</f>
        <v>#REF!</v>
      </c>
      <c r="AC71" s="104" t="e">
        <f>Actual!#REF!</f>
        <v>#REF!</v>
      </c>
      <c r="AD71" s="104" t="e">
        <f>Actual!#REF!</f>
        <v>#REF!</v>
      </c>
      <c r="AE71" s="104" t="e">
        <f>Actual!#REF!</f>
        <v>#REF!</v>
      </c>
      <c r="AF71" s="104" t="e">
        <f>Actual!#REF!</f>
        <v>#REF!</v>
      </c>
      <c r="AG71" s="104" t="e">
        <f>Actual!#REF!</f>
        <v>#REF!</v>
      </c>
      <c r="AH71" s="104" t="e">
        <f>Actual!#REF!</f>
        <v>#REF!</v>
      </c>
      <c r="AI71" s="104" t="e">
        <f>Actual!#REF!</f>
        <v>#REF!</v>
      </c>
      <c r="AJ71" s="104" t="e">
        <f>Actual!#REF!</f>
        <v>#REF!</v>
      </c>
      <c r="AK71" s="104" t="e">
        <f>Actual!#REF!</f>
        <v>#REF!</v>
      </c>
    </row>
    <row r="72" spans="1:40">
      <c r="A72" s="74"/>
      <c r="B72" s="348" t="s">
        <v>108</v>
      </c>
      <c r="C72" s="104">
        <f>Actual!F142</f>
        <v>0</v>
      </c>
      <c r="D72" s="104">
        <f>Actual!G142</f>
        <v>0</v>
      </c>
      <c r="E72" s="104">
        <f>Actual!H142</f>
        <v>0</v>
      </c>
      <c r="F72" s="104">
        <f>Actual!I142</f>
        <v>0</v>
      </c>
      <c r="G72" s="104">
        <f>Actual!J142</f>
        <v>1312.8979999999999</v>
      </c>
      <c r="H72" s="104">
        <f>Actual!K142</f>
        <v>0</v>
      </c>
      <c r="I72" s="104">
        <f>Actual!L142</f>
        <v>0</v>
      </c>
      <c r="J72" s="104">
        <f>Actual!M142</f>
        <v>0</v>
      </c>
      <c r="K72" s="104">
        <f>Actual!N142</f>
        <v>0</v>
      </c>
      <c r="L72" s="104">
        <f>Actual!O142</f>
        <v>0</v>
      </c>
      <c r="M72" s="104"/>
      <c r="N72" s="104"/>
      <c r="O72" s="104"/>
      <c r="P72" s="104"/>
      <c r="Q72" s="104">
        <f>Actual!P142</f>
        <v>0</v>
      </c>
      <c r="R72" s="104">
        <f>Actual!Q142</f>
        <v>0</v>
      </c>
      <c r="S72" s="104">
        <f>Actual!R142</f>
        <v>0</v>
      </c>
      <c r="T72" s="104">
        <f>Actual!S142</f>
        <v>0</v>
      </c>
      <c r="U72" s="104">
        <f>Actual!T142</f>
        <v>0</v>
      </c>
      <c r="V72" s="104">
        <f>Actual!U142</f>
        <v>0</v>
      </c>
      <c r="W72" s="104">
        <f>Actual!V142</f>
        <v>0</v>
      </c>
      <c r="X72" s="104">
        <f>Actual!W142</f>
        <v>0</v>
      </c>
      <c r="Y72" s="104">
        <f>Actual!X142</f>
        <v>0</v>
      </c>
      <c r="Z72" s="104">
        <f>Actual!Y142</f>
        <v>0</v>
      </c>
      <c r="AA72" s="104">
        <f>Actual!Z142</f>
        <v>0</v>
      </c>
      <c r="AB72" s="104">
        <f>Actual!AA142</f>
        <v>0</v>
      </c>
      <c r="AC72" s="104">
        <f>Actual!AB142</f>
        <v>0</v>
      </c>
      <c r="AD72" s="104">
        <f>Actual!AC142</f>
        <v>0</v>
      </c>
      <c r="AE72" s="104">
        <f>Actual!AD142</f>
        <v>0</v>
      </c>
      <c r="AF72" s="104">
        <f>Actual!AE142</f>
        <v>0</v>
      </c>
      <c r="AG72" s="104">
        <f>Actual!AF142</f>
        <v>0</v>
      </c>
      <c r="AH72" s="104">
        <f>Actual!AG142</f>
        <v>0</v>
      </c>
      <c r="AI72" s="104">
        <f>Actual!AH142</f>
        <v>0</v>
      </c>
      <c r="AJ72" s="104">
        <f>Actual!AI142</f>
        <v>0</v>
      </c>
      <c r="AK72" s="104">
        <f>Actual!AJ142</f>
        <v>0</v>
      </c>
    </row>
    <row r="73" spans="1:40">
      <c r="A73" s="74"/>
      <c r="B73" s="348" t="s">
        <v>109</v>
      </c>
      <c r="C73" s="104" t="e">
        <f>Actual!#REF!</f>
        <v>#REF!</v>
      </c>
      <c r="D73" s="104" t="e">
        <f>Actual!#REF!</f>
        <v>#REF!</v>
      </c>
      <c r="E73" s="104" t="e">
        <f>Actual!#REF!</f>
        <v>#REF!</v>
      </c>
      <c r="F73" s="104" t="e">
        <f>Actual!#REF!</f>
        <v>#REF!</v>
      </c>
      <c r="G73" s="104" t="e">
        <f>Actual!#REF!</f>
        <v>#REF!</v>
      </c>
      <c r="H73" s="104" t="e">
        <f>Actual!#REF!</f>
        <v>#REF!</v>
      </c>
      <c r="I73" s="104" t="e">
        <f>Actual!#REF!</f>
        <v>#REF!</v>
      </c>
      <c r="J73" s="104" t="e">
        <f>Actual!#REF!</f>
        <v>#REF!</v>
      </c>
      <c r="K73" s="104" t="e">
        <f>Actual!#REF!</f>
        <v>#REF!</v>
      </c>
      <c r="L73" s="104" t="e">
        <f>Actual!#REF!</f>
        <v>#REF!</v>
      </c>
      <c r="M73" s="104"/>
      <c r="N73" s="104"/>
      <c r="O73" s="104"/>
      <c r="P73" s="104"/>
      <c r="Q73" s="104" t="e">
        <f>Actual!#REF!</f>
        <v>#REF!</v>
      </c>
      <c r="R73" s="104" t="e">
        <f>Actual!#REF!</f>
        <v>#REF!</v>
      </c>
      <c r="S73" s="104" t="e">
        <f>Actual!#REF!</f>
        <v>#REF!</v>
      </c>
      <c r="T73" s="104" t="e">
        <f>Actual!#REF!</f>
        <v>#REF!</v>
      </c>
      <c r="U73" s="104" t="e">
        <f>Actual!#REF!</f>
        <v>#REF!</v>
      </c>
      <c r="V73" s="104" t="e">
        <f>Actual!#REF!</f>
        <v>#REF!</v>
      </c>
      <c r="W73" s="104" t="e">
        <f>Actual!#REF!</f>
        <v>#REF!</v>
      </c>
      <c r="X73" s="104" t="e">
        <f>Actual!#REF!</f>
        <v>#REF!</v>
      </c>
      <c r="Y73" s="104" t="e">
        <f>Actual!#REF!</f>
        <v>#REF!</v>
      </c>
      <c r="Z73" s="104" t="e">
        <f>Actual!#REF!</f>
        <v>#REF!</v>
      </c>
      <c r="AA73" s="104" t="e">
        <f>Actual!#REF!</f>
        <v>#REF!</v>
      </c>
      <c r="AB73" s="104" t="e">
        <f>Actual!#REF!</f>
        <v>#REF!</v>
      </c>
      <c r="AC73" s="104" t="e">
        <f>Actual!#REF!</f>
        <v>#REF!</v>
      </c>
      <c r="AD73" s="104" t="e">
        <f>Actual!#REF!</f>
        <v>#REF!</v>
      </c>
      <c r="AE73" s="104" t="e">
        <f>Actual!#REF!</f>
        <v>#REF!</v>
      </c>
      <c r="AF73" s="104" t="e">
        <f>Actual!#REF!</f>
        <v>#REF!</v>
      </c>
      <c r="AG73" s="104" t="e">
        <f>Actual!#REF!</f>
        <v>#REF!</v>
      </c>
      <c r="AH73" s="104" t="e">
        <f>Actual!#REF!</f>
        <v>#REF!</v>
      </c>
      <c r="AI73" s="104" t="e">
        <f>Actual!#REF!</f>
        <v>#REF!</v>
      </c>
      <c r="AJ73" s="104" t="e">
        <f>Actual!#REF!</f>
        <v>#REF!</v>
      </c>
      <c r="AK73" s="104" t="e">
        <f>Actual!#REF!</f>
        <v>#REF!</v>
      </c>
    </row>
    <row r="74" spans="1:40" s="74" customFormat="1"/>
    <row r="75" spans="1:40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74"/>
      <c r="AC75" s="74"/>
      <c r="AD75" s="74"/>
      <c r="AE75" s="74"/>
      <c r="AF75" s="74"/>
      <c r="AG75" s="74"/>
      <c r="AH75" s="74"/>
      <c r="AI75" s="74"/>
      <c r="AJ75" s="74"/>
      <c r="AK75" s="74"/>
    </row>
    <row r="76" spans="1:40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74"/>
      <c r="AC76" s="74"/>
      <c r="AD76" s="74"/>
      <c r="AE76" s="74"/>
      <c r="AF76" s="74"/>
      <c r="AG76" s="74"/>
      <c r="AH76" s="74"/>
      <c r="AI76" s="74"/>
      <c r="AJ76" s="74"/>
      <c r="AK76" s="74"/>
    </row>
    <row r="77" spans="1:40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74"/>
      <c r="AC77" s="74"/>
      <c r="AD77" s="74"/>
      <c r="AE77" s="74"/>
      <c r="AF77" s="74"/>
      <c r="AG77" s="74"/>
      <c r="AH77" s="74"/>
      <c r="AI77" s="74"/>
      <c r="AJ77" s="74"/>
      <c r="AK77" s="74"/>
    </row>
    <row r="78" spans="1:40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74"/>
      <c r="AC78" s="74"/>
      <c r="AD78" s="74"/>
      <c r="AE78" s="74"/>
      <c r="AF78" s="74"/>
      <c r="AG78" s="74"/>
      <c r="AH78" s="74"/>
      <c r="AI78" s="74"/>
      <c r="AJ78" s="74"/>
      <c r="AK78" s="74"/>
    </row>
    <row r="79" spans="1:40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</row>
    <row r="80" spans="1:40">
      <c r="A80" s="172"/>
      <c r="B80" s="74"/>
      <c r="C80" s="74"/>
      <c r="D80" s="74"/>
      <c r="E80" s="74"/>
      <c r="F80" s="74"/>
      <c r="G80" s="101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88"/>
      <c r="AM80" s="88"/>
      <c r="AN80" s="74"/>
    </row>
    <row r="81" spans="1:40">
      <c r="A81" s="169"/>
      <c r="B81" s="168">
        <v>1</v>
      </c>
      <c r="C81" s="168">
        <v>2</v>
      </c>
      <c r="D81" s="168">
        <f>C81+1</f>
        <v>3</v>
      </c>
      <c r="E81" s="168">
        <f t="shared" ref="E81:AJ81" si="7">D81+1</f>
        <v>4</v>
      </c>
      <c r="F81" s="168">
        <f t="shared" si="7"/>
        <v>5</v>
      </c>
      <c r="G81" s="168">
        <f t="shared" si="7"/>
        <v>6</v>
      </c>
      <c r="H81" s="168">
        <f t="shared" si="7"/>
        <v>7</v>
      </c>
      <c r="I81" s="168">
        <f t="shared" si="7"/>
        <v>8</v>
      </c>
      <c r="J81" s="168">
        <f t="shared" si="7"/>
        <v>9</v>
      </c>
      <c r="K81" s="168">
        <f t="shared" si="7"/>
        <v>10</v>
      </c>
      <c r="L81" s="168">
        <f t="shared" si="7"/>
        <v>11</v>
      </c>
      <c r="M81" s="168"/>
      <c r="N81" s="168"/>
      <c r="O81" s="168"/>
      <c r="P81" s="168"/>
      <c r="Q81" s="168">
        <f>L81+1</f>
        <v>12</v>
      </c>
      <c r="R81" s="168">
        <f t="shared" si="7"/>
        <v>13</v>
      </c>
      <c r="S81" s="168">
        <f t="shared" si="7"/>
        <v>14</v>
      </c>
      <c r="T81" s="168">
        <f t="shared" si="7"/>
        <v>15</v>
      </c>
      <c r="U81" s="168">
        <f>T81+1</f>
        <v>16</v>
      </c>
      <c r="V81" s="168">
        <f t="shared" si="7"/>
        <v>17</v>
      </c>
      <c r="W81" s="168">
        <f t="shared" si="7"/>
        <v>18</v>
      </c>
      <c r="X81" s="168">
        <f t="shared" si="7"/>
        <v>19</v>
      </c>
      <c r="Y81" s="168">
        <f t="shared" si="7"/>
        <v>20</v>
      </c>
      <c r="Z81" s="168">
        <f t="shared" si="7"/>
        <v>21</v>
      </c>
      <c r="AA81" s="168">
        <f t="shared" si="7"/>
        <v>22</v>
      </c>
      <c r="AB81" s="168">
        <f>AA81+1</f>
        <v>23</v>
      </c>
      <c r="AC81" s="168">
        <f t="shared" si="7"/>
        <v>24</v>
      </c>
      <c r="AD81" s="168">
        <f t="shared" si="7"/>
        <v>25</v>
      </c>
      <c r="AE81" s="168">
        <f t="shared" si="7"/>
        <v>26</v>
      </c>
      <c r="AF81" s="168">
        <f t="shared" si="7"/>
        <v>27</v>
      </c>
      <c r="AG81" s="168">
        <f t="shared" si="7"/>
        <v>28</v>
      </c>
      <c r="AH81" s="168">
        <f t="shared" si="7"/>
        <v>29</v>
      </c>
      <c r="AI81" s="168">
        <f t="shared" si="7"/>
        <v>30</v>
      </c>
      <c r="AJ81" s="168">
        <f t="shared" si="7"/>
        <v>31</v>
      </c>
      <c r="AK81" s="168"/>
      <c r="AL81" s="465"/>
      <c r="AM81" s="465"/>
      <c r="AN81" s="102"/>
    </row>
    <row r="82" spans="1:40">
      <c r="A82" s="169" t="s">
        <v>110</v>
      </c>
      <c r="B82" s="168">
        <f>Actual!F151</f>
        <v>0</v>
      </c>
      <c r="C82" s="168">
        <f>Actual!G151</f>
        <v>0</v>
      </c>
      <c r="D82" s="168">
        <f>Actual!H151</f>
        <v>0</v>
      </c>
      <c r="E82" s="168">
        <f>Actual!I151</f>
        <v>0</v>
      </c>
      <c r="F82" s="168">
        <f>Actual!J151</f>
        <v>1312.8979999999999</v>
      </c>
      <c r="G82" s="168">
        <f>Actual!K151</f>
        <v>0</v>
      </c>
      <c r="H82" s="168">
        <f>Actual!L151</f>
        <v>0</v>
      </c>
      <c r="I82" s="168">
        <f>Actual!M151</f>
        <v>0</v>
      </c>
      <c r="J82" s="168">
        <f>Actual!N151</f>
        <v>0</v>
      </c>
      <c r="K82" s="168">
        <f>Actual!O151</f>
        <v>0</v>
      </c>
      <c r="L82" s="168">
        <f>Actual!P151</f>
        <v>0</v>
      </c>
      <c r="M82" s="168"/>
      <c r="N82" s="168"/>
      <c r="O82" s="168"/>
      <c r="P82" s="168"/>
      <c r="Q82" s="168">
        <f>Actual!Q151</f>
        <v>0</v>
      </c>
      <c r="R82" s="168">
        <f>Actual!R151</f>
        <v>0</v>
      </c>
      <c r="S82" s="168">
        <f>Actual!S151</f>
        <v>0</v>
      </c>
      <c r="T82" s="168">
        <f>Actual!T151</f>
        <v>0</v>
      </c>
      <c r="U82" s="168">
        <f>Actual!U151</f>
        <v>0</v>
      </c>
      <c r="V82" s="168">
        <f>Actual!V151</f>
        <v>0</v>
      </c>
      <c r="W82" s="168">
        <f>Actual!W151</f>
        <v>0</v>
      </c>
      <c r="X82" s="168">
        <f>Actual!X151</f>
        <v>0</v>
      </c>
      <c r="Y82" s="168">
        <f>Actual!Y151</f>
        <v>0</v>
      </c>
      <c r="Z82" s="168">
        <f>Actual!Z151</f>
        <v>0</v>
      </c>
      <c r="AA82" s="168">
        <f>Actual!AA151</f>
        <v>0</v>
      </c>
      <c r="AB82" s="168">
        <f>Actual!AB151</f>
        <v>0</v>
      </c>
      <c r="AC82" s="168">
        <f>Actual!AC151</f>
        <v>0</v>
      </c>
      <c r="AD82" s="168">
        <f>Actual!AD151</f>
        <v>0</v>
      </c>
      <c r="AE82" s="168">
        <f>Actual!AE151</f>
        <v>0</v>
      </c>
      <c r="AF82" s="168">
        <f>Actual!AF151</f>
        <v>0</v>
      </c>
      <c r="AG82" s="168">
        <f>Actual!AG151</f>
        <v>0</v>
      </c>
      <c r="AH82" s="168">
        <f>Actual!AH151</f>
        <v>0</v>
      </c>
      <c r="AI82" s="168">
        <f>Actual!AI151</f>
        <v>0</v>
      </c>
      <c r="AJ82" s="168">
        <f>Actual!AJ151</f>
        <v>0</v>
      </c>
      <c r="AK82" s="169"/>
      <c r="AL82" s="88"/>
      <c r="AM82" s="88"/>
      <c r="AN82" s="74"/>
    </row>
    <row r="83" spans="1:40">
      <c r="A83" s="172" t="s">
        <v>111</v>
      </c>
      <c r="B83" s="168">
        <f>Actual!F177</f>
        <v>0</v>
      </c>
      <c r="C83" s="168">
        <f>Actual!G177</f>
        <v>0</v>
      </c>
      <c r="D83" s="168">
        <f>Actual!H177</f>
        <v>0</v>
      </c>
      <c r="E83" s="168">
        <f>Actual!I177</f>
        <v>0</v>
      </c>
      <c r="F83" s="168">
        <f>Actual!J177</f>
        <v>0</v>
      </c>
      <c r="G83" s="168">
        <f>Actual!K177</f>
        <v>0</v>
      </c>
      <c r="H83" s="168">
        <f>Actual!L177</f>
        <v>0</v>
      </c>
      <c r="I83" s="168">
        <f>Actual!M177</f>
        <v>0</v>
      </c>
      <c r="J83" s="168">
        <f>Actual!N177</f>
        <v>0</v>
      </c>
      <c r="K83" s="168">
        <f>Actual!O177</f>
        <v>0</v>
      </c>
      <c r="L83" s="168">
        <f>Actual!P177</f>
        <v>0</v>
      </c>
      <c r="M83" s="168"/>
      <c r="N83" s="168"/>
      <c r="O83" s="168"/>
      <c r="P83" s="168"/>
      <c r="Q83" s="168">
        <f>Actual!Q177</f>
        <v>0</v>
      </c>
      <c r="R83" s="168">
        <f>Actual!R177</f>
        <v>0</v>
      </c>
      <c r="S83" s="168">
        <f>Actual!S177</f>
        <v>0</v>
      </c>
      <c r="T83" s="168">
        <f>Actual!T177</f>
        <v>0</v>
      </c>
      <c r="U83" s="168">
        <f>Actual!U177</f>
        <v>0</v>
      </c>
      <c r="V83" s="168">
        <f>Actual!V177</f>
        <v>0</v>
      </c>
      <c r="W83" s="168">
        <f>Actual!W177</f>
        <v>0</v>
      </c>
      <c r="X83" s="168">
        <f>Actual!X177</f>
        <v>0</v>
      </c>
      <c r="Y83" s="168">
        <f>Actual!Y177</f>
        <v>0</v>
      </c>
      <c r="Z83" s="168">
        <f>Actual!Z177</f>
        <v>0</v>
      </c>
      <c r="AA83" s="168">
        <f>Actual!AA177</f>
        <v>0</v>
      </c>
      <c r="AB83" s="168">
        <f>Actual!AB177</f>
        <v>0</v>
      </c>
      <c r="AC83" s="168">
        <f>Actual!AC177</f>
        <v>0</v>
      </c>
      <c r="AD83" s="168">
        <f>Actual!AD177</f>
        <v>0</v>
      </c>
      <c r="AE83" s="168">
        <f>Actual!AE177</f>
        <v>0</v>
      </c>
      <c r="AF83" s="168">
        <f>Actual!AF177</f>
        <v>0</v>
      </c>
      <c r="AG83" s="168">
        <f>Actual!AG177</f>
        <v>0</v>
      </c>
      <c r="AH83" s="168">
        <f>Actual!AH177</f>
        <v>0</v>
      </c>
      <c r="AI83" s="168">
        <f>Actual!AI177</f>
        <v>0</v>
      </c>
      <c r="AJ83" s="168">
        <f>Actual!AJ177</f>
        <v>0</v>
      </c>
      <c r="AK83" s="169"/>
      <c r="AL83" s="88"/>
      <c r="AM83" s="88"/>
      <c r="AN83" s="74"/>
    </row>
    <row r="84" spans="1:40">
      <c r="A84" s="169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88"/>
      <c r="AM84" s="88"/>
      <c r="AN84" s="74"/>
    </row>
    <row r="85" spans="1:40">
      <c r="A85" s="169"/>
      <c r="B85" s="170"/>
      <c r="C85" s="170"/>
      <c r="D85" s="170"/>
      <c r="E85" s="170"/>
      <c r="F85" s="170"/>
      <c r="G85" s="170"/>
      <c r="H85" s="170"/>
      <c r="I85" s="171"/>
      <c r="J85" s="170"/>
      <c r="K85" s="170"/>
      <c r="L85" s="170"/>
      <c r="M85" s="170"/>
      <c r="N85" s="170"/>
      <c r="O85" s="170"/>
      <c r="P85" s="170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88"/>
      <c r="AM85" s="88"/>
      <c r="AN85" s="74"/>
    </row>
    <row r="86" spans="1:40">
      <c r="A86" s="169"/>
      <c r="B86" s="168">
        <v>1</v>
      </c>
      <c r="C86" s="168">
        <v>2</v>
      </c>
      <c r="D86" s="168">
        <f>C86+1</f>
        <v>3</v>
      </c>
      <c r="E86" s="168">
        <f t="shared" ref="E86:T86" si="8">D86+1</f>
        <v>4</v>
      </c>
      <c r="F86" s="168">
        <f t="shared" si="8"/>
        <v>5</v>
      </c>
      <c r="G86" s="168">
        <f t="shared" si="8"/>
        <v>6</v>
      </c>
      <c r="H86" s="168">
        <f t="shared" si="8"/>
        <v>7</v>
      </c>
      <c r="I86" s="168">
        <f t="shared" si="8"/>
        <v>8</v>
      </c>
      <c r="J86" s="168">
        <f t="shared" si="8"/>
        <v>9</v>
      </c>
      <c r="K86" s="168">
        <f t="shared" si="8"/>
        <v>10</v>
      </c>
      <c r="L86" s="168">
        <f t="shared" si="8"/>
        <v>11</v>
      </c>
      <c r="M86" s="168"/>
      <c r="N86" s="168"/>
      <c r="O86" s="168"/>
      <c r="P86" s="168"/>
      <c r="Q86" s="168">
        <f>L86+1</f>
        <v>12</v>
      </c>
      <c r="R86" s="168">
        <f t="shared" si="8"/>
        <v>13</v>
      </c>
      <c r="S86" s="168">
        <f t="shared" si="8"/>
        <v>14</v>
      </c>
      <c r="T86" s="168">
        <f t="shared" si="8"/>
        <v>15</v>
      </c>
      <c r="U86" s="168">
        <f>T86+1</f>
        <v>16</v>
      </c>
      <c r="V86" s="168">
        <f t="shared" ref="V86:AA86" si="9">U86+1</f>
        <v>17</v>
      </c>
      <c r="W86" s="168">
        <f t="shared" si="9"/>
        <v>18</v>
      </c>
      <c r="X86" s="168">
        <f t="shared" si="9"/>
        <v>19</v>
      </c>
      <c r="Y86" s="168">
        <f t="shared" si="9"/>
        <v>20</v>
      </c>
      <c r="Z86" s="168">
        <f t="shared" si="9"/>
        <v>21</v>
      </c>
      <c r="AA86" s="168">
        <f t="shared" si="9"/>
        <v>22</v>
      </c>
      <c r="AB86" s="168">
        <f>AA86+1</f>
        <v>23</v>
      </c>
      <c r="AC86" s="168">
        <f t="shared" ref="AC86:AJ86" si="10">AB86+1</f>
        <v>24</v>
      </c>
      <c r="AD86" s="168">
        <f t="shared" si="10"/>
        <v>25</v>
      </c>
      <c r="AE86" s="168">
        <f t="shared" si="10"/>
        <v>26</v>
      </c>
      <c r="AF86" s="168">
        <f t="shared" si="10"/>
        <v>27</v>
      </c>
      <c r="AG86" s="168">
        <f t="shared" si="10"/>
        <v>28</v>
      </c>
      <c r="AH86" s="168">
        <f t="shared" si="10"/>
        <v>29</v>
      </c>
      <c r="AI86" s="168">
        <f t="shared" si="10"/>
        <v>30</v>
      </c>
      <c r="AJ86" s="168">
        <f t="shared" si="10"/>
        <v>31</v>
      </c>
      <c r="AK86" s="169"/>
      <c r="AL86" s="88"/>
      <c r="AM86" s="88"/>
      <c r="AN86" s="74"/>
    </row>
    <row r="87" spans="1:40">
      <c r="A87" s="169" t="s">
        <v>110</v>
      </c>
      <c r="B87" s="168">
        <f>B82</f>
        <v>0</v>
      </c>
      <c r="C87" s="168">
        <f t="shared" ref="C87:AJ87" si="11">C82</f>
        <v>0</v>
      </c>
      <c r="D87" s="168">
        <f t="shared" si="11"/>
        <v>0</v>
      </c>
      <c r="E87" s="168">
        <f t="shared" si="11"/>
        <v>0</v>
      </c>
      <c r="F87" s="168">
        <f t="shared" si="11"/>
        <v>1312.8979999999999</v>
      </c>
      <c r="G87" s="168">
        <f t="shared" si="11"/>
        <v>0</v>
      </c>
      <c r="H87" s="168">
        <f t="shared" si="11"/>
        <v>0</v>
      </c>
      <c r="I87" s="168">
        <f t="shared" si="11"/>
        <v>0</v>
      </c>
      <c r="J87" s="168">
        <f t="shared" si="11"/>
        <v>0</v>
      </c>
      <c r="K87" s="168">
        <f t="shared" si="11"/>
        <v>0</v>
      </c>
      <c r="L87" s="168">
        <f t="shared" si="11"/>
        <v>0</v>
      </c>
      <c r="M87" s="168"/>
      <c r="N87" s="168"/>
      <c r="O87" s="168"/>
      <c r="P87" s="168"/>
      <c r="Q87" s="168">
        <f t="shared" si="11"/>
        <v>0</v>
      </c>
      <c r="R87" s="168">
        <f t="shared" si="11"/>
        <v>0</v>
      </c>
      <c r="S87" s="168">
        <f t="shared" si="11"/>
        <v>0</v>
      </c>
      <c r="T87" s="168">
        <f t="shared" si="11"/>
        <v>0</v>
      </c>
      <c r="U87" s="168">
        <f t="shared" si="11"/>
        <v>0</v>
      </c>
      <c r="V87" s="168">
        <f t="shared" si="11"/>
        <v>0</v>
      </c>
      <c r="W87" s="168">
        <f t="shared" si="11"/>
        <v>0</v>
      </c>
      <c r="X87" s="168">
        <f t="shared" si="11"/>
        <v>0</v>
      </c>
      <c r="Y87" s="168">
        <f t="shared" si="11"/>
        <v>0</v>
      </c>
      <c r="Z87" s="168">
        <f t="shared" si="11"/>
        <v>0</v>
      </c>
      <c r="AA87" s="168">
        <f t="shared" si="11"/>
        <v>0</v>
      </c>
      <c r="AB87" s="168">
        <f t="shared" si="11"/>
        <v>0</v>
      </c>
      <c r="AC87" s="168">
        <f t="shared" si="11"/>
        <v>0</v>
      </c>
      <c r="AD87" s="168">
        <f t="shared" si="11"/>
        <v>0</v>
      </c>
      <c r="AE87" s="168">
        <f t="shared" si="11"/>
        <v>0</v>
      </c>
      <c r="AF87" s="168">
        <f t="shared" si="11"/>
        <v>0</v>
      </c>
      <c r="AG87" s="168">
        <f t="shared" si="11"/>
        <v>0</v>
      </c>
      <c r="AH87" s="168">
        <f t="shared" si="11"/>
        <v>0</v>
      </c>
      <c r="AI87" s="168">
        <f t="shared" si="11"/>
        <v>0</v>
      </c>
      <c r="AJ87" s="168">
        <f t="shared" si="11"/>
        <v>0</v>
      </c>
      <c r="AK87" s="169"/>
      <c r="AL87" s="88"/>
      <c r="AM87" s="88"/>
      <c r="AN87" s="74"/>
    </row>
    <row r="88" spans="1:40">
      <c r="A88" s="172" t="s">
        <v>112</v>
      </c>
      <c r="B88" s="168">
        <f>Actual!F197</f>
        <v>0</v>
      </c>
      <c r="C88" s="168">
        <f>Actual!G197</f>
        <v>0</v>
      </c>
      <c r="D88" s="168">
        <f>Actual!H197</f>
        <v>0</v>
      </c>
      <c r="E88" s="168">
        <f>Actual!I197</f>
        <v>0</v>
      </c>
      <c r="F88" s="168">
        <f>Actual!J197</f>
        <v>0</v>
      </c>
      <c r="G88" s="168">
        <f>Actual!K197</f>
        <v>0</v>
      </c>
      <c r="H88" s="168">
        <f>Actual!L197</f>
        <v>0</v>
      </c>
      <c r="I88" s="168">
        <f>Actual!M197</f>
        <v>0</v>
      </c>
      <c r="J88" s="168">
        <f>Actual!N197</f>
        <v>0</v>
      </c>
      <c r="K88" s="168">
        <f>Actual!O197</f>
        <v>0</v>
      </c>
      <c r="L88" s="168">
        <f>Actual!P197</f>
        <v>0</v>
      </c>
      <c r="M88" s="168"/>
      <c r="N88" s="168"/>
      <c r="O88" s="168"/>
      <c r="P88" s="168"/>
      <c r="Q88" s="168">
        <f>Actual!Q197</f>
        <v>0</v>
      </c>
      <c r="R88" s="168">
        <f>Actual!R197</f>
        <v>0</v>
      </c>
      <c r="S88" s="168">
        <f>Actual!S197</f>
        <v>0</v>
      </c>
      <c r="T88" s="168">
        <f>Actual!T197</f>
        <v>0</v>
      </c>
      <c r="U88" s="168">
        <f>Actual!U197</f>
        <v>0</v>
      </c>
      <c r="V88" s="168">
        <f>Actual!V197</f>
        <v>0</v>
      </c>
      <c r="W88" s="168">
        <f>Actual!W197</f>
        <v>0</v>
      </c>
      <c r="X88" s="168">
        <f>Actual!X197</f>
        <v>0</v>
      </c>
      <c r="Y88" s="168">
        <f>Actual!Y197</f>
        <v>0</v>
      </c>
      <c r="Z88" s="168">
        <f>Actual!Z197</f>
        <v>0</v>
      </c>
      <c r="AA88" s="168">
        <f>Actual!AA197</f>
        <v>0</v>
      </c>
      <c r="AB88" s="168">
        <f>Actual!AB197</f>
        <v>0</v>
      </c>
      <c r="AC88" s="168">
        <f>Actual!AC197</f>
        <v>0</v>
      </c>
      <c r="AD88" s="168">
        <f>Actual!AD197</f>
        <v>0</v>
      </c>
      <c r="AE88" s="168">
        <f>Actual!AE197</f>
        <v>0</v>
      </c>
      <c r="AF88" s="168">
        <f>Actual!AF197</f>
        <v>0</v>
      </c>
      <c r="AG88" s="168">
        <f>Actual!AG197</f>
        <v>0</v>
      </c>
      <c r="AH88" s="168">
        <f>Actual!AH197</f>
        <v>0</v>
      </c>
      <c r="AI88" s="168">
        <f>Actual!AI197</f>
        <v>0</v>
      </c>
      <c r="AJ88" s="168">
        <f>Actual!AJ197</f>
        <v>0</v>
      </c>
      <c r="AK88" s="169"/>
      <c r="AL88" s="88"/>
      <c r="AM88" s="88"/>
      <c r="AN88" s="74"/>
    </row>
    <row r="89" spans="1:40">
      <c r="A89" s="172"/>
      <c r="B89" s="170"/>
      <c r="C89" s="170"/>
      <c r="D89" s="170"/>
      <c r="E89" s="170"/>
      <c r="F89" s="170"/>
      <c r="G89" s="170"/>
      <c r="H89" s="170"/>
      <c r="I89" s="349"/>
      <c r="J89" s="170"/>
      <c r="K89" s="170"/>
      <c r="L89" s="170"/>
      <c r="M89" s="170"/>
      <c r="N89" s="170"/>
      <c r="O89" s="170"/>
      <c r="P89" s="170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88"/>
      <c r="AM89" s="88"/>
    </row>
    <row r="90" spans="1:40">
      <c r="A90" s="459"/>
      <c r="B90" s="460"/>
      <c r="C90" s="460"/>
      <c r="D90" s="460"/>
      <c r="E90" s="460"/>
      <c r="F90" s="460"/>
      <c r="G90" s="460"/>
      <c r="H90" s="460"/>
      <c r="I90" s="461"/>
      <c r="J90" s="460"/>
      <c r="K90" s="460"/>
      <c r="L90" s="460"/>
      <c r="M90" s="460"/>
      <c r="N90" s="460"/>
      <c r="O90" s="460"/>
      <c r="P90" s="460"/>
      <c r="Q90" s="288"/>
      <c r="R90" s="288"/>
      <c r="S90" s="288"/>
      <c r="T90" s="288"/>
      <c r="U90" s="288"/>
      <c r="V90" s="288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288"/>
      <c r="AI90" s="288"/>
      <c r="AJ90" s="288"/>
      <c r="AK90" s="288"/>
      <c r="AL90" s="88"/>
      <c r="AM90" s="88"/>
    </row>
    <row r="91" spans="1:40">
      <c r="A91" s="462"/>
      <c r="B91" s="463"/>
      <c r="C91" s="463"/>
      <c r="D91" s="463"/>
      <c r="E91" s="463"/>
      <c r="F91" s="463"/>
      <c r="G91" s="463"/>
      <c r="H91" s="463"/>
      <c r="I91" s="464"/>
      <c r="J91" s="463"/>
      <c r="K91" s="463"/>
      <c r="L91" s="463"/>
      <c r="M91" s="463"/>
      <c r="N91" s="463"/>
      <c r="O91" s="463"/>
      <c r="P91" s="463"/>
      <c r="Q91" s="88"/>
      <c r="R91" s="88"/>
      <c r="S91" s="88"/>
      <c r="T91" s="88"/>
      <c r="U91" s="88"/>
      <c r="V91" s="88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88"/>
      <c r="AI91" s="88"/>
      <c r="AJ91" s="88"/>
      <c r="AK91" s="88"/>
      <c r="AL91" s="88"/>
      <c r="AM91" s="88"/>
    </row>
    <row r="92" spans="1:40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88"/>
      <c r="AI92" s="88"/>
      <c r="AJ92" s="88"/>
      <c r="AK92" s="88"/>
      <c r="AL92" s="88"/>
      <c r="AM92" s="88"/>
    </row>
    <row r="93" spans="1:40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158"/>
      <c r="X93" s="158"/>
      <c r="Y93" s="158"/>
      <c r="Z93" s="158"/>
      <c r="AA93" s="158"/>
      <c r="AB93" s="88"/>
      <c r="AC93" s="88"/>
      <c r="AD93" s="88"/>
      <c r="AE93" s="88"/>
      <c r="AF93" s="88"/>
      <c r="AG93" s="88"/>
      <c r="AH93" s="88"/>
      <c r="AI93" s="88"/>
      <c r="AJ93" s="88"/>
      <c r="AK93" s="88"/>
    </row>
    <row r="94" spans="1:40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158"/>
      <c r="X94" s="158"/>
      <c r="Y94" s="158"/>
      <c r="Z94" s="158"/>
      <c r="AA94" s="158"/>
    </row>
    <row r="95" spans="1:40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158"/>
      <c r="X95" s="158"/>
      <c r="Y95" s="158"/>
      <c r="Z95" s="158"/>
      <c r="AA95" s="158"/>
    </row>
    <row r="96" spans="1:40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158"/>
      <c r="X96" s="158"/>
      <c r="Y96" s="158"/>
      <c r="Z96" s="158"/>
      <c r="AA96" s="158"/>
    </row>
    <row r="97" spans="1:2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158"/>
      <c r="X97" s="158"/>
      <c r="Y97" s="158"/>
      <c r="Z97" s="158"/>
      <c r="AA97" s="158"/>
    </row>
    <row r="98" spans="1:27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158"/>
      <c r="X98" s="158"/>
      <c r="Y98" s="158"/>
      <c r="Z98" s="158"/>
      <c r="AA98" s="158"/>
    </row>
    <row r="99" spans="1:27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158"/>
      <c r="X99" s="158"/>
      <c r="Y99" s="158"/>
      <c r="Z99" s="158"/>
      <c r="AA99" s="158"/>
    </row>
    <row r="100" spans="1:27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158"/>
      <c r="X100" s="158"/>
      <c r="Y100" s="158"/>
      <c r="Z100" s="158"/>
      <c r="AA100" s="158"/>
    </row>
    <row r="101" spans="1:27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</row>
    <row r="102" spans="1:27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</row>
    <row r="103" spans="1:27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</row>
  </sheetData>
  <sheetProtection formatCells="0" formatColumns="0" formatRows="0"/>
  <mergeCells count="7">
    <mergeCell ref="AA3:AB3"/>
    <mergeCell ref="V2:X2"/>
    <mergeCell ref="J2:L2"/>
    <mergeCell ref="B2:C3"/>
    <mergeCell ref="E2:I2"/>
    <mergeCell ref="Q2:U2"/>
    <mergeCell ref="M2:P2"/>
  </mergeCells>
  <phoneticPr fontId="22" type="noConversion"/>
  <conditionalFormatting sqref="G6:G7">
    <cfRule type="cellIs" dxfId="54" priority="11" operator="greaterThan">
      <formula>0</formula>
    </cfRule>
  </conditionalFormatting>
  <conditionalFormatting sqref="G13:G14">
    <cfRule type="cellIs" dxfId="53" priority="1" operator="greaterThan">
      <formula>0</formula>
    </cfRule>
  </conditionalFormatting>
  <conditionalFormatting sqref="I6:I7">
    <cfRule type="cellIs" dxfId="52" priority="4" operator="greaterThan">
      <formula>0</formula>
    </cfRule>
  </conditionalFormatting>
  <conditionalFormatting sqref="I13">
    <cfRule type="cellIs" dxfId="51" priority="5" operator="greaterThan">
      <formula>0</formula>
    </cfRule>
  </conditionalFormatting>
  <conditionalFormatting sqref="P6:P7">
    <cfRule type="cellIs" dxfId="50" priority="3" operator="greaterThan">
      <formula>0</formula>
    </cfRule>
  </conditionalFormatting>
  <conditionalFormatting sqref="U6">
    <cfRule type="cellIs" dxfId="49" priority="2" operator="greaterThan">
      <formula>0</formula>
    </cfRule>
  </conditionalFormatting>
  <pageMargins left="0.67" right="0.61" top="0.75" bottom="0.75" header="0.3" footer="0.3"/>
  <pageSetup paperSize="9" scale="33" orientation="landscape" horizontalDpi="1200" verticalDpi="1200" r:id="rId1"/>
  <ignoredErrors>
    <ignoredError sqref="Q6:U6 G6:L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50"/>
    <pageSetUpPr fitToPage="1"/>
  </sheetPr>
  <dimension ref="B2:U332"/>
  <sheetViews>
    <sheetView zoomScale="70" zoomScaleNormal="70" workbookViewId="0">
      <pane xSplit="4" ySplit="3" topLeftCell="E4" activePane="bottomRight" state="frozen"/>
      <selection pane="bottomRight" activeCell="S11" sqref="S11"/>
      <selection pane="bottomLeft" activeCell="A4" sqref="A4"/>
      <selection pane="topRight" activeCell="E1" sqref="E1"/>
    </sheetView>
  </sheetViews>
  <sheetFormatPr defaultColWidth="9.28515625" defaultRowHeight="14.45"/>
  <cols>
    <col min="1" max="1" width="9.28515625" style="1"/>
    <col min="2" max="2" width="41.28515625" style="1" customWidth="1"/>
    <col min="3" max="3" width="12.28515625" style="1" bestFit="1" customWidth="1"/>
    <col min="4" max="4" width="11.7109375" style="1" customWidth="1"/>
    <col min="5" max="5" width="13.28515625" style="1" bestFit="1" customWidth="1"/>
    <col min="6" max="6" width="14.28515625" style="1" customWidth="1"/>
    <col min="7" max="7" width="11.7109375" style="1" customWidth="1"/>
    <col min="8" max="8" width="12.7109375" style="1" customWidth="1"/>
    <col min="9" max="9" width="13.7109375" style="1" customWidth="1"/>
    <col min="10" max="11" width="11.7109375" style="1" customWidth="1"/>
    <col min="12" max="12" width="13.28515625" style="1" bestFit="1" customWidth="1"/>
    <col min="13" max="14" width="11.7109375" style="1" customWidth="1"/>
    <col min="15" max="15" width="12.7109375" style="1" bestFit="1" customWidth="1"/>
    <col min="16" max="16" width="11.7109375" style="1" customWidth="1"/>
    <col min="17" max="17" width="17.5703125" style="1" customWidth="1"/>
    <col min="18" max="18" width="9.28515625" style="1"/>
    <col min="19" max="19" width="67.85546875" style="1" bestFit="1" customWidth="1"/>
    <col min="20" max="20" width="16.28515625" style="1" bestFit="1" customWidth="1"/>
    <col min="21" max="16384" width="9.28515625" style="1"/>
  </cols>
  <sheetData>
    <row r="2" spans="2:20" ht="17.45">
      <c r="B2" s="3" t="str">
        <f>"Plan Budget "&amp;MID(Outlook!B2,9,16)</f>
        <v>Plan Budget Production 2026</v>
      </c>
      <c r="C2" s="4"/>
      <c r="D2" s="4"/>
      <c r="E2" s="11" t="str">
        <f>IF(Outlook!F2="ACTUAL","PLANED","PLAN")</f>
        <v>PLANED</v>
      </c>
      <c r="F2" s="11" t="str">
        <f>IF(Outlook!G2="ACTUAL","PLANED","PLAN")</f>
        <v>PLANED</v>
      </c>
      <c r="G2" s="11" t="str">
        <f>IF(Outlook!H2="ACTUAL","PLANED","PLAN")</f>
        <v>PLANED</v>
      </c>
      <c r="H2" s="11" t="str">
        <f>IF(Outlook!I2="ACTUAL","PLANED","PLAN")</f>
        <v>PLANED</v>
      </c>
      <c r="I2" s="11" t="str">
        <f>IF(Outlook!J2="ACTUAL","PLANED","PLAN")</f>
        <v>PLANED</v>
      </c>
      <c r="J2" s="11" t="str">
        <f>IF(Outlook!K2="ACTUAL","PLANED","PLAN")</f>
        <v>PLANED</v>
      </c>
      <c r="K2" s="11" t="str">
        <f>IF(Outlook!L2="ACTUAL","PLANED","PLAN")</f>
        <v>PLANED</v>
      </c>
      <c r="L2" s="11" t="str">
        <f>IF(Outlook!M2="ACTUAL","PLANED","PLAN")</f>
        <v>PLANED</v>
      </c>
      <c r="M2" s="11" t="str">
        <f>IF(Outlook!N2="ACTUAL","PLANED","PLAN")</f>
        <v>PLAN</v>
      </c>
      <c r="N2" s="11" t="str">
        <f>IF(Outlook!O2="ACTUAL","PLANED","PLAN")</f>
        <v>PLAN</v>
      </c>
      <c r="O2" s="11" t="str">
        <f>IF(Outlook!P2="ACTUAL","PLANED","PLAN")</f>
        <v>PLAN</v>
      </c>
      <c r="P2" s="11" t="str">
        <f>IF(Outlook!Q2="ACTUAL","PLANED","PLAN")</f>
        <v>PLAN</v>
      </c>
      <c r="Q2" s="11" t="str">
        <f>IF(Outlook!R2="ACTUAL","PLANED","PLAN")</f>
        <v>PLAN</v>
      </c>
    </row>
    <row r="3" spans="2:20" ht="20.100000000000001" customHeight="1">
      <c r="B3" s="650"/>
      <c r="C3" s="651" t="s">
        <v>113</v>
      </c>
      <c r="D3" s="652" t="str">
        <f>Outlook!E3</f>
        <v>EOP 2025</v>
      </c>
      <c r="E3" s="653" t="s">
        <v>114</v>
      </c>
      <c r="F3" s="653" t="s">
        <v>115</v>
      </c>
      <c r="G3" s="653" t="s">
        <v>116</v>
      </c>
      <c r="H3" s="653" t="s">
        <v>117</v>
      </c>
      <c r="I3" s="653" t="s">
        <v>118</v>
      </c>
      <c r="J3" s="653" t="s">
        <v>119</v>
      </c>
      <c r="K3" s="653" t="s">
        <v>120</v>
      </c>
      <c r="L3" s="653" t="s">
        <v>121</v>
      </c>
      <c r="M3" s="653" t="s">
        <v>122</v>
      </c>
      <c r="N3" s="653" t="s">
        <v>123</v>
      </c>
      <c r="O3" s="653" t="s">
        <v>124</v>
      </c>
      <c r="P3" s="653" t="s">
        <v>125</v>
      </c>
      <c r="Q3" s="654" t="s">
        <v>126</v>
      </c>
    </row>
    <row r="4" spans="2:20" ht="22.15" customHeight="1">
      <c r="B4" s="547" t="s">
        <v>3</v>
      </c>
      <c r="C4" s="548" t="s">
        <v>84</v>
      </c>
      <c r="D4" s="548"/>
      <c r="E4" s="655">
        <v>885000</v>
      </c>
      <c r="F4" s="655">
        <v>865000</v>
      </c>
      <c r="G4" s="655">
        <v>960000</v>
      </c>
      <c r="H4" s="655">
        <v>995000</v>
      </c>
      <c r="I4" s="655">
        <v>1010000</v>
      </c>
      <c r="J4" s="655">
        <v>1020000</v>
      </c>
      <c r="K4" s="655">
        <v>1095000</v>
      </c>
      <c r="L4" s="655">
        <v>1075000</v>
      </c>
      <c r="M4" s="655">
        <v>1100000</v>
      </c>
      <c r="N4" s="655">
        <v>980000</v>
      </c>
      <c r="O4" s="655">
        <v>935000</v>
      </c>
      <c r="P4" s="655">
        <v>930000</v>
      </c>
      <c r="Q4" s="656">
        <f>SUM(E4:P4)</f>
        <v>11850000</v>
      </c>
      <c r="S4" s="383"/>
      <c r="T4" s="65"/>
    </row>
    <row r="5" spans="2:20" ht="22.15" customHeight="1">
      <c r="B5" s="547" t="s">
        <v>9</v>
      </c>
      <c r="C5" s="548" t="s">
        <v>127</v>
      </c>
      <c r="D5" s="548"/>
      <c r="E5" s="655">
        <v>250000</v>
      </c>
      <c r="F5" s="655">
        <v>255000</v>
      </c>
      <c r="G5" s="655">
        <v>260000</v>
      </c>
      <c r="H5" s="655">
        <v>270000</v>
      </c>
      <c r="I5" s="655">
        <v>275000</v>
      </c>
      <c r="J5" s="655">
        <v>276200</v>
      </c>
      <c r="K5" s="655">
        <v>160000</v>
      </c>
      <c r="L5" s="655">
        <v>160000</v>
      </c>
      <c r="M5" s="655">
        <v>163799.99999999997</v>
      </c>
      <c r="N5" s="655">
        <v>315000</v>
      </c>
      <c r="O5" s="655">
        <v>305000</v>
      </c>
      <c r="P5" s="655">
        <v>310000.00000000006</v>
      </c>
      <c r="Q5" s="656">
        <f>SUM(E5:P5)</f>
        <v>3000000</v>
      </c>
      <c r="S5" s="383"/>
      <c r="T5" s="65"/>
    </row>
    <row r="6" spans="2:20" ht="22.15" customHeight="1">
      <c r="B6" s="547" t="s">
        <v>87</v>
      </c>
      <c r="C6" s="657" t="s">
        <v>88</v>
      </c>
      <c r="D6" s="658"/>
      <c r="E6" s="659">
        <f>E4/E5</f>
        <v>3.54</v>
      </c>
      <c r="F6" s="659">
        <f t="shared" ref="F6:P6" si="0">F4/F5</f>
        <v>3.392156862745098</v>
      </c>
      <c r="G6" s="659">
        <f t="shared" si="0"/>
        <v>3.6923076923076925</v>
      </c>
      <c r="H6" s="659">
        <f t="shared" si="0"/>
        <v>3.6851851851851851</v>
      </c>
      <c r="I6" s="659">
        <f t="shared" si="0"/>
        <v>3.6727272727272728</v>
      </c>
      <c r="J6" s="659">
        <f t="shared" si="0"/>
        <v>3.6929761042722666</v>
      </c>
      <c r="K6" s="659">
        <f t="shared" si="0"/>
        <v>6.84375</v>
      </c>
      <c r="L6" s="659">
        <f t="shared" si="0"/>
        <v>6.71875</v>
      </c>
      <c r="M6" s="659">
        <f t="shared" si="0"/>
        <v>6.7155067155067165</v>
      </c>
      <c r="N6" s="659">
        <f t="shared" si="0"/>
        <v>3.1111111111111112</v>
      </c>
      <c r="O6" s="659">
        <f t="shared" si="0"/>
        <v>3.0655737704918034</v>
      </c>
      <c r="P6" s="659">
        <f t="shared" si="0"/>
        <v>2.9999999999999996</v>
      </c>
      <c r="Q6" s="659">
        <f>IF(Q4=0,0,IF(Q5=0,0,Q4/Q5))</f>
        <v>3.95</v>
      </c>
      <c r="S6" s="65"/>
      <c r="T6" s="65"/>
    </row>
    <row r="7" spans="2:20" ht="22.15" customHeight="1">
      <c r="B7" s="547" t="s">
        <v>89</v>
      </c>
      <c r="C7" s="657" t="s">
        <v>84</v>
      </c>
      <c r="D7" s="658"/>
      <c r="E7" s="659">
        <v>0</v>
      </c>
      <c r="F7" s="659">
        <v>0</v>
      </c>
      <c r="G7" s="659">
        <v>0</v>
      </c>
      <c r="H7" s="659">
        <v>0</v>
      </c>
      <c r="I7" s="659">
        <v>0</v>
      </c>
      <c r="J7" s="659">
        <v>0</v>
      </c>
      <c r="K7" s="659">
        <v>0</v>
      </c>
      <c r="L7" s="659">
        <v>0</v>
      </c>
      <c r="M7" s="659">
        <v>0</v>
      </c>
      <c r="N7" s="659">
        <v>0</v>
      </c>
      <c r="O7" s="659">
        <v>0</v>
      </c>
      <c r="P7" s="659">
        <v>0</v>
      </c>
      <c r="Q7" s="659">
        <f>SUM(E7:P7)</f>
        <v>0</v>
      </c>
      <c r="S7" s="65"/>
      <c r="T7" s="65"/>
    </row>
    <row r="8" spans="2:20" ht="22.15" customHeight="1">
      <c r="B8" s="547" t="s">
        <v>90</v>
      </c>
      <c r="C8" s="548" t="s">
        <v>127</v>
      </c>
      <c r="D8" s="660">
        <v>158400.32585200001</v>
      </c>
      <c r="E8" s="661">
        <v>148400.32585200001</v>
      </c>
      <c r="F8" s="661">
        <v>153400.32585200001</v>
      </c>
      <c r="G8" s="661">
        <v>153400.32585200001</v>
      </c>
      <c r="H8" s="661">
        <v>178400.32585200001</v>
      </c>
      <c r="I8" s="661">
        <v>193400.32585200001</v>
      </c>
      <c r="J8" s="661">
        <v>204383.93240937701</v>
      </c>
      <c r="K8" s="661">
        <v>179383.93240937701</v>
      </c>
      <c r="L8" s="661">
        <v>219383.93240937701</v>
      </c>
      <c r="M8" s="661">
        <v>213183.93240937701</v>
      </c>
      <c r="N8" s="661">
        <v>198183.93240937701</v>
      </c>
      <c r="O8" s="661">
        <v>153183.93240937701</v>
      </c>
      <c r="P8" s="661">
        <v>108183.932409377</v>
      </c>
      <c r="Q8" s="662">
        <f>P8</f>
        <v>108183.932409377</v>
      </c>
    </row>
    <row r="9" spans="2:20" ht="22.15" customHeight="1">
      <c r="B9" s="547" t="s">
        <v>10</v>
      </c>
      <c r="C9" s="548" t="s">
        <v>127</v>
      </c>
      <c r="D9" s="663"/>
      <c r="E9" s="664">
        <v>260000</v>
      </c>
      <c r="F9" s="664">
        <v>250000</v>
      </c>
      <c r="G9" s="664">
        <v>260000</v>
      </c>
      <c r="H9" s="664">
        <v>245000</v>
      </c>
      <c r="I9" s="664">
        <v>260000</v>
      </c>
      <c r="J9" s="664">
        <v>265000</v>
      </c>
      <c r="K9" s="664">
        <v>185000</v>
      </c>
      <c r="L9" s="664">
        <v>120000</v>
      </c>
      <c r="M9" s="664">
        <v>170000</v>
      </c>
      <c r="N9" s="664">
        <v>330000</v>
      </c>
      <c r="O9" s="664">
        <v>350000</v>
      </c>
      <c r="P9" s="664">
        <v>355000</v>
      </c>
      <c r="Q9" s="665">
        <f>SUM(E9:P9)</f>
        <v>3050000</v>
      </c>
      <c r="S9" s="65"/>
    </row>
    <row r="10" spans="2:20" ht="22.15" customHeight="1">
      <c r="B10" s="666" t="s">
        <v>93</v>
      </c>
      <c r="C10" s="667" t="s">
        <v>127</v>
      </c>
      <c r="D10" s="660">
        <v>67484.685239999904</v>
      </c>
      <c r="E10" s="661">
        <f>D10+E9-E11</f>
        <v>57484.685239999904</v>
      </c>
      <c r="F10" s="661">
        <f t="shared" ref="F10:P10" si="1">E10+F9-F11</f>
        <v>44984.685239999904</v>
      </c>
      <c r="G10" s="661">
        <f t="shared" si="1"/>
        <v>34984.685239999904</v>
      </c>
      <c r="H10" s="661">
        <f t="shared" si="1"/>
        <v>17484.685239999904</v>
      </c>
      <c r="I10" s="661">
        <f t="shared" si="1"/>
        <v>9984.6852399999043</v>
      </c>
      <c r="J10" s="661">
        <f t="shared" si="1"/>
        <v>19984.685239999904</v>
      </c>
      <c r="K10" s="661">
        <f t="shared" si="1"/>
        <v>54984.685239999904</v>
      </c>
      <c r="L10" s="661">
        <f t="shared" si="1"/>
        <v>84984.685239999904</v>
      </c>
      <c r="M10" s="661">
        <f t="shared" si="1"/>
        <v>84984.685239999904</v>
      </c>
      <c r="N10" s="661">
        <f t="shared" si="1"/>
        <v>77484.685239999904</v>
      </c>
      <c r="O10" s="661">
        <f t="shared" si="1"/>
        <v>82484.685239999904</v>
      </c>
      <c r="P10" s="661">
        <f t="shared" si="1"/>
        <v>77484.685239999904</v>
      </c>
      <c r="Q10" s="668">
        <f>P10</f>
        <v>77484.685239999904</v>
      </c>
    </row>
    <row r="11" spans="2:20" ht="22.15" customHeight="1">
      <c r="B11" s="547" t="s">
        <v>91</v>
      </c>
      <c r="C11" s="548" t="s">
        <v>127</v>
      </c>
      <c r="D11" s="549"/>
      <c r="E11" s="549">
        <v>270000</v>
      </c>
      <c r="F11" s="549">
        <v>262500</v>
      </c>
      <c r="G11" s="549">
        <v>270000</v>
      </c>
      <c r="H11" s="549">
        <v>262500</v>
      </c>
      <c r="I11" s="549">
        <v>267500</v>
      </c>
      <c r="J11" s="549">
        <v>255000</v>
      </c>
      <c r="K11" s="549">
        <v>150000</v>
      </c>
      <c r="L11" s="549">
        <v>90000</v>
      </c>
      <c r="M11" s="549">
        <v>170000</v>
      </c>
      <c r="N11" s="549">
        <v>337500</v>
      </c>
      <c r="O11" s="549">
        <v>345000</v>
      </c>
      <c r="P11" s="549">
        <v>360000</v>
      </c>
      <c r="Q11" s="665">
        <f>SUM(E11:P11)</f>
        <v>3040000</v>
      </c>
    </row>
    <row r="12" spans="2:20" ht="22.15" customHeight="1">
      <c r="B12" s="547" t="s">
        <v>94</v>
      </c>
      <c r="C12" s="548" t="s">
        <v>127</v>
      </c>
      <c r="D12" s="549"/>
      <c r="E12" s="549"/>
      <c r="F12" s="549"/>
      <c r="G12" s="549"/>
      <c r="H12" s="549"/>
      <c r="I12" s="549"/>
      <c r="J12" s="549"/>
      <c r="K12" s="549"/>
      <c r="L12" s="549"/>
      <c r="M12" s="549"/>
      <c r="N12" s="549"/>
      <c r="O12" s="549"/>
      <c r="P12" s="549"/>
      <c r="Q12" s="665"/>
    </row>
    <row r="13" spans="2:20" ht="22.15" customHeight="1">
      <c r="B13" s="547" t="s">
        <v>95</v>
      </c>
      <c r="C13" s="548" t="s">
        <v>96</v>
      </c>
      <c r="D13" s="549"/>
      <c r="E13" s="659">
        <v>1.1000000000000001</v>
      </c>
      <c r="F13" s="659">
        <v>1.25</v>
      </c>
      <c r="G13" s="659">
        <v>1.2</v>
      </c>
      <c r="H13" s="659">
        <v>1.25</v>
      </c>
      <c r="I13" s="659">
        <v>1.4</v>
      </c>
      <c r="J13" s="659">
        <v>1.53</v>
      </c>
      <c r="K13" s="659">
        <v>1.53</v>
      </c>
      <c r="L13" s="659">
        <v>1.43</v>
      </c>
      <c r="M13" s="659">
        <v>1.2</v>
      </c>
      <c r="N13" s="659">
        <v>1.3</v>
      </c>
      <c r="O13" s="659">
        <v>1.5</v>
      </c>
      <c r="P13" s="659">
        <v>1.61</v>
      </c>
      <c r="Q13" s="659">
        <f>SUMPRODUCT(E4:P4,E13:P13)/Q4</f>
        <v>1.361308016877637</v>
      </c>
    </row>
    <row r="14" spans="2:20" ht="22.15" customHeight="1">
      <c r="B14" s="547" t="s">
        <v>97</v>
      </c>
      <c r="C14" s="548" t="s">
        <v>96</v>
      </c>
      <c r="D14" s="549"/>
      <c r="E14" s="659">
        <v>14.75</v>
      </c>
      <c r="F14" s="659">
        <v>14.75</v>
      </c>
      <c r="G14" s="659">
        <v>14.75</v>
      </c>
      <c r="H14" s="659">
        <v>14.75</v>
      </c>
      <c r="I14" s="659">
        <v>14.5</v>
      </c>
      <c r="J14" s="659">
        <v>14.5</v>
      </c>
      <c r="K14" s="659">
        <v>14.5</v>
      </c>
      <c r="L14" s="659">
        <v>14.5</v>
      </c>
      <c r="M14" s="659">
        <v>14.25</v>
      </c>
      <c r="N14" s="659">
        <v>14.25</v>
      </c>
      <c r="O14" s="659">
        <v>14.25</v>
      </c>
      <c r="P14" s="659">
        <v>14.297499999999999</v>
      </c>
      <c r="Q14" s="659">
        <f>SUMPRODUCT(E5:P5,E14:P14)/Q5</f>
        <v>14.500008333333334</v>
      </c>
    </row>
    <row r="15" spans="2:20" ht="22.15" customHeight="1">
      <c r="B15" s="547" t="s">
        <v>98</v>
      </c>
      <c r="C15" s="548" t="s">
        <v>99</v>
      </c>
      <c r="D15" s="655"/>
      <c r="E15" s="655">
        <v>399.21750000000003</v>
      </c>
      <c r="F15" s="655">
        <v>378.95</v>
      </c>
      <c r="G15" s="655">
        <v>504.9</v>
      </c>
      <c r="H15" s="655">
        <v>349.52499999999998</v>
      </c>
      <c r="I15" s="655">
        <v>545.73749999999995</v>
      </c>
      <c r="J15" s="655">
        <v>351.17500000000001</v>
      </c>
      <c r="K15" s="655">
        <v>357.91250000000002</v>
      </c>
      <c r="L15" s="655">
        <v>144.53594756944446</v>
      </c>
      <c r="M15" s="655">
        <v>307.2250194444444</v>
      </c>
      <c r="N15" s="655">
        <v>286.34707363707884</v>
      </c>
      <c r="O15" s="655">
        <v>490.25399270833333</v>
      </c>
      <c r="P15" s="655">
        <v>574.99330868230584</v>
      </c>
      <c r="Q15" s="655">
        <f>SUM(E15:P15)</f>
        <v>4690.772842041607</v>
      </c>
      <c r="S15" s="163">
        <f>+(G15-F15)/F15</f>
        <v>0.33236574746008707</v>
      </c>
    </row>
    <row r="16" spans="2:20" ht="22.15" customHeight="1">
      <c r="B16" s="547" t="s">
        <v>100</v>
      </c>
      <c r="C16" s="548" t="s">
        <v>128</v>
      </c>
      <c r="D16" s="655"/>
      <c r="E16" s="655">
        <v>94.754477611940302</v>
      </c>
      <c r="F16" s="655">
        <v>70.102985074626858</v>
      </c>
      <c r="G16" s="655">
        <v>94.987313432835805</v>
      </c>
      <c r="H16" s="655">
        <v>84.97537313432835</v>
      </c>
      <c r="I16" s="655">
        <v>94.744776119402985</v>
      </c>
      <c r="J16" s="655">
        <v>69.191044776119398</v>
      </c>
      <c r="K16" s="655">
        <v>50.214925373134321</v>
      </c>
      <c r="L16" s="655">
        <v>50.952238805970154</v>
      </c>
      <c r="M16" s="655">
        <v>71.42238805970149</v>
      </c>
      <c r="N16" s="655">
        <v>126.70149253731343</v>
      </c>
      <c r="O16" s="655">
        <v>150.01417910447762</v>
      </c>
      <c r="P16" s="655">
        <v>132.68731343283582</v>
      </c>
      <c r="Q16" s="655">
        <f>SUM(E16:P16)</f>
        <v>1090.7485074626866</v>
      </c>
      <c r="S16" s="163">
        <f>+(G16-F16)/F16</f>
        <v>0.35496817049543306</v>
      </c>
    </row>
    <row r="17" spans="2:21" ht="22.15" customHeight="1">
      <c r="B17" s="547" t="s">
        <v>102</v>
      </c>
      <c r="C17" s="548" t="s">
        <v>101</v>
      </c>
      <c r="D17" s="655"/>
      <c r="E17" s="655">
        <v>32.216522388059701</v>
      </c>
      <c r="F17" s="655">
        <v>23.835014925373144</v>
      </c>
      <c r="G17" s="655">
        <v>32.295686567164182</v>
      </c>
      <c r="H17" s="655">
        <v>28.891626865671654</v>
      </c>
      <c r="I17" s="655">
        <v>32.213223880597013</v>
      </c>
      <c r="J17" s="655">
        <v>23.524955223880596</v>
      </c>
      <c r="K17" s="655">
        <v>17.073074626865676</v>
      </c>
      <c r="L17" s="655">
        <v>17.323761194029856</v>
      </c>
      <c r="M17" s="655">
        <v>24.283611940298513</v>
      </c>
      <c r="N17" s="655">
        <v>43.078507462686574</v>
      </c>
      <c r="O17" s="655">
        <v>51.004820895522386</v>
      </c>
      <c r="P17" s="655">
        <v>45.113686567164194</v>
      </c>
      <c r="Q17" s="655">
        <f>SUM(E17:P17)</f>
        <v>370.85449253731349</v>
      </c>
      <c r="S17" s="41">
        <f>+S16/31*13</f>
        <v>0.14885761988518162</v>
      </c>
    </row>
    <row r="18" spans="2:21" ht="22.15" customHeight="1">
      <c r="B18" s="547" t="s">
        <v>129</v>
      </c>
      <c r="C18" s="548" t="s">
        <v>130</v>
      </c>
      <c r="D18" s="655"/>
      <c r="E18" s="655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55"/>
      <c r="Q18" s="669"/>
      <c r="S18" s="41">
        <f>+L17/31*13</f>
        <v>7.2648030813673588</v>
      </c>
      <c r="T18" s="41">
        <v>12.446666666666665</v>
      </c>
      <c r="U18" s="163">
        <f>+T18/S18</f>
        <v>1.7132834196964899</v>
      </c>
    </row>
    <row r="19" spans="2:21">
      <c r="E19" s="69"/>
      <c r="F19" s="69"/>
      <c r="G19" s="69">
        <f>+SUM(E4:G4)</f>
        <v>2710000</v>
      </c>
      <c r="H19" s="69"/>
      <c r="I19" s="69"/>
      <c r="J19" s="69">
        <f>+SUM(H4:J4)</f>
        <v>3025000</v>
      </c>
      <c r="K19" s="69"/>
      <c r="L19" s="69"/>
      <c r="M19" s="69">
        <f>+SUM(K4:M4)</f>
        <v>3270000</v>
      </c>
      <c r="N19" s="69"/>
      <c r="O19" s="69"/>
      <c r="P19" s="69">
        <f>+SUM(N4:P4)</f>
        <v>2845000</v>
      </c>
      <c r="S19" s="41">
        <f>+L16/31*13</f>
        <v>21.367067886374581</v>
      </c>
      <c r="T19" s="41">
        <v>15.566666666666658</v>
      </c>
      <c r="U19" s="163">
        <f>+T19/S19</f>
        <v>0.72853546164812155</v>
      </c>
    </row>
    <row r="20" spans="2:21">
      <c r="B20" s="2" t="s">
        <v>131</v>
      </c>
      <c r="E20" s="383">
        <f>SUMPRODUCT(E4:O4,E13:O13)/SUM(E4:O4)</f>
        <v>1.3401282051282051</v>
      </c>
      <c r="F20" s="159"/>
      <c r="G20" s="159">
        <f>+SUM(E5:G5)</f>
        <v>765000</v>
      </c>
      <c r="H20" s="159"/>
      <c r="I20" s="159"/>
      <c r="J20" s="159">
        <f>+SUM(H5:J5)</f>
        <v>821200</v>
      </c>
      <c r="K20" s="159"/>
      <c r="L20" s="159"/>
      <c r="M20" s="159">
        <f>+SUM(K5:M5)</f>
        <v>483800</v>
      </c>
      <c r="N20" s="159"/>
      <c r="O20" s="159"/>
      <c r="P20" s="159">
        <f>+SUM(N5:P5)</f>
        <v>930000</v>
      </c>
    </row>
    <row r="21" spans="2:21">
      <c r="B21" s="2"/>
      <c r="E21" s="383"/>
      <c r="F21" s="159"/>
      <c r="G21" s="383">
        <f>SUMPRODUCT(E4:G4,E13:G13)/SUM(E4:G4)</f>
        <v>1.1833025830258304</v>
      </c>
      <c r="H21" s="159"/>
      <c r="I21" s="159"/>
      <c r="J21" s="65">
        <f>SUMPRODUCT(H4:J4,H13:J13)/SUM(H4:J4)</f>
        <v>1.394495867768595</v>
      </c>
      <c r="K21" s="159"/>
      <c r="L21" s="159"/>
      <c r="M21" s="383">
        <f>SUMPRODUCT(K4:M4,K13:M13)/SUM(K4:M4)</f>
        <v>1.3861162079510703</v>
      </c>
      <c r="N21" s="159"/>
      <c r="O21" s="159"/>
      <c r="P21" s="383">
        <f>SUMPRODUCT(N4:P4,N13:P13)/SUM(N4:P4)</f>
        <v>1.4670650263620386</v>
      </c>
    </row>
    <row r="22" spans="2:21">
      <c r="B22" s="2"/>
      <c r="E22" s="383"/>
      <c r="F22" s="159"/>
      <c r="G22" s="383">
        <f>SUMPRODUCT(E5:G5,E14:G14)/SUM(E5:G5)</f>
        <v>14.75</v>
      </c>
      <c r="H22" s="159"/>
      <c r="I22" s="159"/>
      <c r="J22" s="65">
        <f>SUMPRODUCT(H5:J5,H14:J14)/SUM(H5:J5)</f>
        <v>14.582196785192401</v>
      </c>
      <c r="K22" s="159"/>
      <c r="L22" s="159"/>
      <c r="M22" s="383">
        <f>SUMPRODUCT(K5:M5,K14:M14)/SUM(K5:M5)</f>
        <v>14.415357585779248</v>
      </c>
      <c r="N22" s="159"/>
      <c r="O22" s="159"/>
      <c r="P22" s="383">
        <f>SUMPRODUCT(N5:P5,N14:P14)/SUM(N5:P5)</f>
        <v>14.265833333333333</v>
      </c>
    </row>
    <row r="23" spans="2:21">
      <c r="B23" s="2"/>
      <c r="E23" s="383"/>
      <c r="F23" s="159"/>
      <c r="G23" s="159">
        <f>SUM(E15:G15)</f>
        <v>1283.0675000000001</v>
      </c>
      <c r="H23" s="159"/>
      <c r="I23" s="159"/>
      <c r="J23" s="159">
        <f>SUM(H15:J15)</f>
        <v>1246.4375</v>
      </c>
      <c r="K23" s="159"/>
      <c r="L23" s="159"/>
      <c r="M23" s="159">
        <f>SUM(K15:M15)</f>
        <v>809.67346701388897</v>
      </c>
      <c r="N23" s="159"/>
      <c r="O23" s="159"/>
      <c r="P23" s="159">
        <f>SUM(N15:P15)</f>
        <v>1351.5943750277179</v>
      </c>
      <c r="R23" s="65">
        <f>P17/P16</f>
        <v>0.34000000000000014</v>
      </c>
    </row>
    <row r="24" spans="2:21">
      <c r="B24" s="2"/>
      <c r="E24" s="383"/>
      <c r="F24" s="159"/>
      <c r="G24" s="159">
        <f>SUM(E16:G16)</f>
        <v>259.84477611940292</v>
      </c>
      <c r="H24" s="159"/>
      <c r="I24" s="159"/>
      <c r="J24" s="159">
        <f>SUM(H16:J16)</f>
        <v>248.91119402985072</v>
      </c>
      <c r="K24" s="159"/>
      <c r="L24" s="159"/>
      <c r="M24" s="159">
        <f>SUM(K16:M16)</f>
        <v>172.58955223880596</v>
      </c>
      <c r="N24" s="159"/>
      <c r="O24" s="159"/>
      <c r="P24" s="159">
        <f>SUM(N16:P16)</f>
        <v>409.40298507462688</v>
      </c>
    </row>
    <row r="25" spans="2:21">
      <c r="E25" s="69"/>
      <c r="F25" s="69"/>
      <c r="G25" s="69">
        <f>SUM(E17:G17)</f>
        <v>88.347223880597028</v>
      </c>
      <c r="H25" s="69"/>
      <c r="I25" s="69"/>
      <c r="J25" s="159">
        <f>SUM(H17:J17)</f>
        <v>84.629805970149263</v>
      </c>
      <c r="K25" s="69"/>
      <c r="L25" s="69"/>
      <c r="M25" s="69">
        <f>SUM(K17:M17)</f>
        <v>58.680447761194046</v>
      </c>
      <c r="N25" s="69"/>
      <c r="O25" s="69"/>
      <c r="P25" s="69">
        <f>SUM(N17:P17)</f>
        <v>139.19701492537314</v>
      </c>
    </row>
    <row r="26" spans="2:21">
      <c r="E26" s="69"/>
      <c r="F26" s="69"/>
      <c r="G26" s="69">
        <f>+SUM(E9:G9)</f>
        <v>770000</v>
      </c>
      <c r="H26" s="69"/>
      <c r="I26" s="69"/>
      <c r="J26" s="159">
        <f>+SUM(H9:J9)</f>
        <v>770000</v>
      </c>
      <c r="K26" s="69"/>
      <c r="L26" s="69"/>
      <c r="M26" s="69">
        <f>+SUM(K9:M9)</f>
        <v>475000</v>
      </c>
      <c r="N26" s="69"/>
      <c r="O26" s="69"/>
      <c r="P26" s="69">
        <f>+SUM(N9:P9)</f>
        <v>1035000</v>
      </c>
    </row>
    <row r="27" spans="2:21">
      <c r="E27" s="69"/>
      <c r="F27" s="69"/>
      <c r="G27" s="69">
        <f>+SUM(E11:G11)</f>
        <v>802500</v>
      </c>
      <c r="H27" s="69"/>
      <c r="I27" s="69"/>
      <c r="J27" s="159">
        <f>+SUM(H11:J11)</f>
        <v>785000</v>
      </c>
      <c r="K27" s="69"/>
      <c r="L27" s="69"/>
      <c r="M27" s="69">
        <f>+SUM(K11:M11)</f>
        <v>410000</v>
      </c>
      <c r="N27" s="69"/>
      <c r="O27" s="69"/>
      <c r="P27" s="69">
        <f>+SUM(N11:P11)</f>
        <v>1042500</v>
      </c>
    </row>
    <row r="28" spans="2:21"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</row>
    <row r="29" spans="2:21" ht="15" thickBot="1">
      <c r="E29" s="1293" t="s">
        <v>132</v>
      </c>
      <c r="F29" s="1293"/>
      <c r="G29" s="1293"/>
      <c r="H29" s="1293"/>
      <c r="I29" s="1293"/>
      <c r="J29" s="1293"/>
      <c r="K29" s="1293"/>
      <c r="L29" s="1293"/>
      <c r="M29" s="1293"/>
      <c r="N29" s="1293"/>
      <c r="O29" s="1293"/>
      <c r="P29" s="1293"/>
      <c r="Q29" s="1293"/>
      <c r="R29" s="1294"/>
    </row>
    <row r="30" spans="2:21" ht="15" thickTop="1"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1291" t="s">
        <v>133</v>
      </c>
      <c r="R30" s="1292"/>
      <c r="S30" s="536" t="s">
        <v>134</v>
      </c>
    </row>
    <row r="31" spans="2:21">
      <c r="E31" s="670"/>
      <c r="F31" s="671" t="s">
        <v>135</v>
      </c>
      <c r="G31" s="671" t="s">
        <v>136</v>
      </c>
      <c r="H31" s="671" t="s">
        <v>137</v>
      </c>
      <c r="I31" s="671" t="s">
        <v>138</v>
      </c>
      <c r="J31" s="671" t="s">
        <v>139</v>
      </c>
      <c r="K31" s="671" t="s">
        <v>140</v>
      </c>
      <c r="L31" s="671" t="s">
        <v>141</v>
      </c>
      <c r="M31" s="671" t="s">
        <v>142</v>
      </c>
      <c r="N31" s="671" t="s">
        <v>143</v>
      </c>
      <c r="O31" s="671" t="s">
        <v>144</v>
      </c>
      <c r="P31" s="671" t="s">
        <v>145</v>
      </c>
      <c r="Q31" s="671" t="s">
        <v>146</v>
      </c>
      <c r="R31" s="671" t="s">
        <v>126</v>
      </c>
      <c r="S31" s="537"/>
    </row>
    <row r="32" spans="2:21">
      <c r="E32" s="672">
        <v>2013</v>
      </c>
      <c r="F32" s="385">
        <v>237</v>
      </c>
      <c r="G32" s="385">
        <v>522.4</v>
      </c>
      <c r="H32" s="385">
        <v>519</v>
      </c>
      <c r="I32" s="385">
        <v>443</v>
      </c>
      <c r="J32" s="385">
        <v>315.5</v>
      </c>
      <c r="K32" s="385">
        <v>63</v>
      </c>
      <c r="L32" s="385">
        <v>333.5</v>
      </c>
      <c r="M32" s="385">
        <v>59</v>
      </c>
      <c r="N32" s="385">
        <v>136.19999999999999</v>
      </c>
      <c r="O32" s="385">
        <v>155.30000000000001</v>
      </c>
      <c r="P32" s="385">
        <v>351</v>
      </c>
      <c r="Q32" s="385">
        <v>355</v>
      </c>
      <c r="R32" s="673">
        <f t="shared" ref="R32:R45" si="2">SUM(F32:Q32)</f>
        <v>3489.9</v>
      </c>
      <c r="S32" s="534" t="s">
        <v>147</v>
      </c>
    </row>
    <row r="33" spans="5:19">
      <c r="E33" s="672">
        <v>2014</v>
      </c>
      <c r="F33" s="385">
        <v>200</v>
      </c>
      <c r="G33" s="385">
        <v>155.4</v>
      </c>
      <c r="H33" s="385">
        <v>261.60000000000002</v>
      </c>
      <c r="I33" s="385">
        <v>609.90000000000009</v>
      </c>
      <c r="J33" s="385">
        <v>209.3</v>
      </c>
      <c r="K33" s="385">
        <v>120.5</v>
      </c>
      <c r="L33" s="385">
        <v>134</v>
      </c>
      <c r="M33" s="385">
        <v>118.35</v>
      </c>
      <c r="N33" s="385">
        <v>36.700000000000003</v>
      </c>
      <c r="O33" s="385">
        <v>78.5</v>
      </c>
      <c r="P33" s="385">
        <v>367.9</v>
      </c>
      <c r="Q33" s="385">
        <v>286.59999999999997</v>
      </c>
      <c r="R33" s="673">
        <f t="shared" si="2"/>
        <v>2578.75</v>
      </c>
      <c r="S33" s="534" t="s">
        <v>147</v>
      </c>
    </row>
    <row r="34" spans="5:19">
      <c r="E34" s="672">
        <v>2015</v>
      </c>
      <c r="F34" s="385">
        <v>313.89999999999998</v>
      </c>
      <c r="G34" s="385">
        <v>385</v>
      </c>
      <c r="H34" s="385">
        <v>204.4</v>
      </c>
      <c r="I34" s="385">
        <v>425.25</v>
      </c>
      <c r="J34" s="385">
        <v>110.7</v>
      </c>
      <c r="K34" s="385">
        <v>146</v>
      </c>
      <c r="L34" s="385">
        <v>47.75</v>
      </c>
      <c r="M34" s="385">
        <v>2.15</v>
      </c>
      <c r="N34" s="385">
        <v>9.9</v>
      </c>
      <c r="O34" s="385">
        <v>68.400000000000006</v>
      </c>
      <c r="P34" s="385">
        <v>342</v>
      </c>
      <c r="Q34" s="385">
        <v>217.7</v>
      </c>
      <c r="R34" s="673">
        <f t="shared" si="2"/>
        <v>2273.15</v>
      </c>
      <c r="S34" s="534" t="s">
        <v>147</v>
      </c>
    </row>
    <row r="35" spans="5:19">
      <c r="E35" s="672">
        <v>2016</v>
      </c>
      <c r="F35" s="385">
        <v>209.9</v>
      </c>
      <c r="G35" s="385">
        <v>534.5</v>
      </c>
      <c r="H35" s="385">
        <v>507.1</v>
      </c>
      <c r="I35" s="385">
        <v>196.6</v>
      </c>
      <c r="J35" s="385">
        <v>233.5</v>
      </c>
      <c r="K35" s="385">
        <v>198.4</v>
      </c>
      <c r="L35" s="385">
        <v>338.00000000000006</v>
      </c>
      <c r="M35" s="385">
        <v>163.5</v>
      </c>
      <c r="N35" s="385">
        <v>460.6</v>
      </c>
      <c r="O35" s="385">
        <v>482.3</v>
      </c>
      <c r="P35" s="385">
        <v>388.3</v>
      </c>
      <c r="Q35" s="385">
        <v>252.6</v>
      </c>
      <c r="R35" s="673">
        <f t="shared" si="2"/>
        <v>3965.3</v>
      </c>
      <c r="S35" s="534" t="s">
        <v>147</v>
      </c>
    </row>
    <row r="36" spans="5:19">
      <c r="E36" s="672">
        <v>2017</v>
      </c>
      <c r="F36" s="385">
        <v>500.1</v>
      </c>
      <c r="G36" s="385">
        <v>208.8</v>
      </c>
      <c r="H36" s="385">
        <v>465.8</v>
      </c>
      <c r="I36" s="385">
        <v>481.14</v>
      </c>
      <c r="J36" s="385">
        <v>493.7</v>
      </c>
      <c r="K36" s="385">
        <v>269</v>
      </c>
      <c r="L36" s="385">
        <v>210.8</v>
      </c>
      <c r="M36" s="385">
        <v>196.04999999999998</v>
      </c>
      <c r="N36" s="385">
        <v>177.75</v>
      </c>
      <c r="O36" s="385">
        <v>143.6</v>
      </c>
      <c r="P36" s="385">
        <v>704.55</v>
      </c>
      <c r="Q36" s="385">
        <v>201.1</v>
      </c>
      <c r="R36" s="673">
        <f t="shared" si="2"/>
        <v>4052.39</v>
      </c>
      <c r="S36" s="534" t="s">
        <v>147</v>
      </c>
    </row>
    <row r="37" spans="5:19">
      <c r="E37" s="672">
        <v>2018</v>
      </c>
      <c r="F37" s="385">
        <v>233.45</v>
      </c>
      <c r="G37" s="385">
        <v>417</v>
      </c>
      <c r="H37" s="385">
        <v>178</v>
      </c>
      <c r="I37" s="385">
        <v>300.39999999999998</v>
      </c>
      <c r="J37" s="385">
        <v>269.85000000000002</v>
      </c>
      <c r="K37" s="385">
        <v>123</v>
      </c>
      <c r="L37" s="385">
        <v>227.8</v>
      </c>
      <c r="M37" s="385">
        <v>113.95</v>
      </c>
      <c r="N37" s="385">
        <v>183.5</v>
      </c>
      <c r="O37" s="385">
        <v>229</v>
      </c>
      <c r="P37" s="385">
        <v>320.2</v>
      </c>
      <c r="Q37" s="385">
        <v>248.35</v>
      </c>
      <c r="R37" s="673">
        <f t="shared" si="2"/>
        <v>2844.4999999999995</v>
      </c>
      <c r="S37" s="534" t="s">
        <v>148</v>
      </c>
    </row>
    <row r="38" spans="5:19">
      <c r="E38" s="672">
        <v>2019</v>
      </c>
      <c r="F38" s="385">
        <v>245.9</v>
      </c>
      <c r="G38" s="385">
        <v>217.2</v>
      </c>
      <c r="H38" s="385">
        <v>468.75</v>
      </c>
      <c r="I38" s="385">
        <v>332.5</v>
      </c>
      <c r="J38" s="385">
        <v>183.9</v>
      </c>
      <c r="K38" s="385">
        <v>276.29999999999995</v>
      </c>
      <c r="L38" s="385">
        <v>39</v>
      </c>
      <c r="M38" s="385">
        <v>99</v>
      </c>
      <c r="N38" s="385">
        <v>3.5</v>
      </c>
      <c r="O38" s="385">
        <v>131</v>
      </c>
      <c r="P38" s="385">
        <v>138.5</v>
      </c>
      <c r="Q38" s="385">
        <v>373.5</v>
      </c>
      <c r="R38" s="673">
        <f t="shared" si="2"/>
        <v>2509.0500000000002</v>
      </c>
      <c r="S38" s="534" t="s">
        <v>149</v>
      </c>
    </row>
    <row r="39" spans="5:19">
      <c r="E39" s="672">
        <v>2020</v>
      </c>
      <c r="F39" s="385">
        <v>287.5</v>
      </c>
      <c r="G39" s="385">
        <v>360</v>
      </c>
      <c r="H39" s="385">
        <v>470.5</v>
      </c>
      <c r="I39" s="385">
        <v>341</v>
      </c>
      <c r="J39" s="385">
        <v>308</v>
      </c>
      <c r="K39" s="385">
        <v>88.5</v>
      </c>
      <c r="L39" s="385">
        <v>58</v>
      </c>
      <c r="M39" s="385">
        <v>66.5</v>
      </c>
      <c r="N39" s="385">
        <v>87.5</v>
      </c>
      <c r="O39" s="385">
        <v>351</v>
      </c>
      <c r="P39" s="385">
        <v>271.5</v>
      </c>
      <c r="Q39" s="385">
        <v>369.5</v>
      </c>
      <c r="R39" s="673">
        <f t="shared" si="2"/>
        <v>3059.5</v>
      </c>
      <c r="S39" s="534" t="s">
        <v>149</v>
      </c>
    </row>
    <row r="40" spans="5:19">
      <c r="E40" s="672">
        <v>2021</v>
      </c>
      <c r="F40" s="385">
        <v>354</v>
      </c>
      <c r="G40" s="385">
        <v>183.5</v>
      </c>
      <c r="H40" s="385">
        <v>374.5</v>
      </c>
      <c r="I40" s="385">
        <v>471.10606060606062</v>
      </c>
      <c r="J40" s="385">
        <v>301.25757575757575</v>
      </c>
      <c r="K40" s="385">
        <v>209.18181818181819</v>
      </c>
      <c r="L40" s="385">
        <v>48</v>
      </c>
      <c r="M40" s="385">
        <v>239</v>
      </c>
      <c r="N40" s="385">
        <v>353</v>
      </c>
      <c r="O40" s="385">
        <v>255.1933795529448</v>
      </c>
      <c r="P40" s="385">
        <v>433.99999999999994</v>
      </c>
      <c r="Q40" s="385">
        <v>368.45476548155568</v>
      </c>
      <c r="R40" s="673">
        <f>SUM(F40:Q40)</f>
        <v>3591.1935995799549</v>
      </c>
      <c r="S40" s="534" t="s">
        <v>149</v>
      </c>
    </row>
    <row r="41" spans="5:19">
      <c r="E41" s="672">
        <v>2022</v>
      </c>
      <c r="F41" s="385">
        <v>407.7</v>
      </c>
      <c r="G41" s="385">
        <v>365.5</v>
      </c>
      <c r="H41" s="385">
        <v>394.5</v>
      </c>
      <c r="I41" s="385">
        <v>359.5</v>
      </c>
      <c r="J41" s="385">
        <v>280</v>
      </c>
      <c r="K41" s="385">
        <v>303.5</v>
      </c>
      <c r="L41" s="385">
        <v>269</v>
      </c>
      <c r="M41" s="385">
        <v>41</v>
      </c>
      <c r="N41" s="385">
        <v>441.5</v>
      </c>
      <c r="O41" s="385">
        <v>0</v>
      </c>
      <c r="P41" s="385">
        <v>447</v>
      </c>
      <c r="Q41" s="385">
        <v>526</v>
      </c>
      <c r="R41" s="673">
        <f t="shared" si="2"/>
        <v>3835.2</v>
      </c>
      <c r="S41" s="534" t="s">
        <v>150</v>
      </c>
    </row>
    <row r="42" spans="5:19">
      <c r="E42" s="672">
        <v>2023</v>
      </c>
      <c r="F42" s="385">
        <v>146</v>
      </c>
      <c r="G42" s="385">
        <v>386</v>
      </c>
      <c r="H42" s="385">
        <v>488</v>
      </c>
      <c r="I42" s="385">
        <v>173</v>
      </c>
      <c r="J42" s="385">
        <v>377</v>
      </c>
      <c r="K42" s="385">
        <v>180</v>
      </c>
      <c r="L42" s="385">
        <v>116.5</v>
      </c>
      <c r="M42" s="385">
        <v>53.5</v>
      </c>
      <c r="N42" s="385">
        <v>191.8</v>
      </c>
      <c r="O42" s="385">
        <v>256.08000000000004</v>
      </c>
      <c r="P42" s="385">
        <v>360.25</v>
      </c>
      <c r="Q42" s="385">
        <v>414.81</v>
      </c>
      <c r="R42" s="673">
        <f>SUM(F42:Q42)</f>
        <v>3142.94</v>
      </c>
      <c r="S42" s="535" t="s">
        <v>151</v>
      </c>
    </row>
    <row r="43" spans="5:19">
      <c r="E43" s="674" t="s">
        <v>152</v>
      </c>
      <c r="F43" s="675">
        <f t="shared" ref="F43:Q43" si="3">AVERAGE(F32:F42)</f>
        <v>285.04090909090905</v>
      </c>
      <c r="G43" s="675">
        <f t="shared" si="3"/>
        <v>339.57272727272726</v>
      </c>
      <c r="H43" s="675">
        <f t="shared" si="3"/>
        <v>393.83181818181816</v>
      </c>
      <c r="I43" s="675">
        <f t="shared" si="3"/>
        <v>375.76327823691463</v>
      </c>
      <c r="J43" s="675">
        <f t="shared" si="3"/>
        <v>280.2461432506887</v>
      </c>
      <c r="K43" s="675">
        <f t="shared" si="3"/>
        <v>179.76198347107436</v>
      </c>
      <c r="L43" s="675">
        <f t="shared" si="3"/>
        <v>165.66818181818181</v>
      </c>
      <c r="M43" s="675">
        <f t="shared" si="3"/>
        <v>104.72727272727273</v>
      </c>
      <c r="N43" s="675">
        <f t="shared" si="3"/>
        <v>189.26818181818183</v>
      </c>
      <c r="O43" s="675">
        <f t="shared" si="3"/>
        <v>195.4884890502677</v>
      </c>
      <c r="P43" s="675">
        <f t="shared" si="3"/>
        <v>375.0181818181818</v>
      </c>
      <c r="Q43" s="675">
        <f t="shared" si="3"/>
        <v>328.51043322559593</v>
      </c>
      <c r="R43" s="676">
        <f t="shared" si="2"/>
        <v>3212.8975999618137</v>
      </c>
    </row>
    <row r="44" spans="5:19">
      <c r="E44" s="677" t="s">
        <v>153</v>
      </c>
      <c r="F44" s="678">
        <f t="shared" ref="F44:Q44" si="4">MAX(F32:F42)</f>
        <v>500.1</v>
      </c>
      <c r="G44" s="678">
        <f t="shared" si="4"/>
        <v>534.5</v>
      </c>
      <c r="H44" s="678">
        <f t="shared" si="4"/>
        <v>519</v>
      </c>
      <c r="I44" s="678">
        <f t="shared" si="4"/>
        <v>609.90000000000009</v>
      </c>
      <c r="J44" s="678">
        <f t="shared" si="4"/>
        <v>493.7</v>
      </c>
      <c r="K44" s="678">
        <f t="shared" si="4"/>
        <v>303.5</v>
      </c>
      <c r="L44" s="678">
        <f t="shared" si="4"/>
        <v>338.00000000000006</v>
      </c>
      <c r="M44" s="678">
        <f t="shared" si="4"/>
        <v>239</v>
      </c>
      <c r="N44" s="678">
        <f t="shared" si="4"/>
        <v>460.6</v>
      </c>
      <c r="O44" s="678">
        <f t="shared" si="4"/>
        <v>482.3</v>
      </c>
      <c r="P44" s="678">
        <f t="shared" si="4"/>
        <v>704.55</v>
      </c>
      <c r="Q44" s="678">
        <f t="shared" si="4"/>
        <v>526</v>
      </c>
      <c r="R44" s="676">
        <f t="shared" si="2"/>
        <v>5711.15</v>
      </c>
    </row>
    <row r="45" spans="5:19">
      <c r="E45" s="677" t="s">
        <v>154</v>
      </c>
      <c r="F45" s="678">
        <f t="shared" ref="F45:Q45" si="5">MIN(F32:F42)</f>
        <v>146</v>
      </c>
      <c r="G45" s="678">
        <f t="shared" si="5"/>
        <v>155.4</v>
      </c>
      <c r="H45" s="678">
        <f t="shared" si="5"/>
        <v>178</v>
      </c>
      <c r="I45" s="678">
        <f t="shared" si="5"/>
        <v>173</v>
      </c>
      <c r="J45" s="678">
        <f t="shared" si="5"/>
        <v>110.7</v>
      </c>
      <c r="K45" s="678">
        <f t="shared" si="5"/>
        <v>63</v>
      </c>
      <c r="L45" s="678">
        <f t="shared" si="5"/>
        <v>39</v>
      </c>
      <c r="M45" s="678">
        <f t="shared" si="5"/>
        <v>2.15</v>
      </c>
      <c r="N45" s="678">
        <f t="shared" si="5"/>
        <v>3.5</v>
      </c>
      <c r="O45" s="678">
        <f t="shared" si="5"/>
        <v>0</v>
      </c>
      <c r="P45" s="678">
        <f t="shared" si="5"/>
        <v>138.5</v>
      </c>
      <c r="Q45" s="678">
        <f t="shared" si="5"/>
        <v>201.1</v>
      </c>
      <c r="R45" s="676">
        <f t="shared" si="2"/>
        <v>1210.3499999999999</v>
      </c>
    </row>
    <row r="292" spans="19:19">
      <c r="S292" s="1">
        <v>4</v>
      </c>
    </row>
    <row r="293" spans="19:19">
      <c r="S293" s="1">
        <v>16</v>
      </c>
    </row>
    <row r="294" spans="19:19">
      <c r="S294" s="1">
        <v>0</v>
      </c>
    </row>
    <row r="295" spans="19:19">
      <c r="S295" s="1">
        <v>0</v>
      </c>
    </row>
    <row r="296" spans="19:19">
      <c r="S296" s="1">
        <v>2</v>
      </c>
    </row>
    <row r="297" spans="19:19">
      <c r="S297" s="1">
        <v>1</v>
      </c>
    </row>
    <row r="298" spans="19:19">
      <c r="S298" s="1">
        <v>0</v>
      </c>
    </row>
    <row r="299" spans="19:19">
      <c r="S299" s="1">
        <v>4</v>
      </c>
    </row>
    <row r="300" spans="19:19">
      <c r="S300" s="1">
        <v>16</v>
      </c>
    </row>
    <row r="301" spans="19:19">
      <c r="S301" s="1">
        <v>0</v>
      </c>
    </row>
    <row r="302" spans="19:19">
      <c r="S302" s="1">
        <v>0</v>
      </c>
    </row>
    <row r="303" spans="19:19">
      <c r="S303" s="1">
        <v>2</v>
      </c>
    </row>
    <row r="304" spans="19:19">
      <c r="S304" s="1">
        <v>1</v>
      </c>
    </row>
    <row r="305" spans="19:19">
      <c r="S305" s="1">
        <v>0</v>
      </c>
    </row>
    <row r="306" spans="19:19">
      <c r="S306" s="1">
        <v>4</v>
      </c>
    </row>
    <row r="307" spans="19:19">
      <c r="S307" s="1">
        <v>16</v>
      </c>
    </row>
    <row r="308" spans="19:19">
      <c r="S308" s="1">
        <v>1</v>
      </c>
    </row>
    <row r="309" spans="19:19">
      <c r="S309" s="1">
        <v>16</v>
      </c>
    </row>
    <row r="310" spans="19:19">
      <c r="S310" s="1">
        <v>3</v>
      </c>
    </row>
    <row r="311" spans="19:19">
      <c r="S311" s="1">
        <v>1</v>
      </c>
    </row>
    <row r="312" spans="19:19">
      <c r="S312" s="1">
        <v>1</v>
      </c>
    </row>
    <row r="313" spans="19:19">
      <c r="S313" s="1">
        <v>4</v>
      </c>
    </row>
    <row r="314" spans="19:19">
      <c r="S314" s="1">
        <v>16</v>
      </c>
    </row>
    <row r="315" spans="19:19">
      <c r="S315" s="1">
        <v>2</v>
      </c>
    </row>
    <row r="316" spans="19:19">
      <c r="S316" s="1">
        <v>16</v>
      </c>
    </row>
    <row r="317" spans="19:19">
      <c r="S317" s="1">
        <v>3</v>
      </c>
    </row>
    <row r="318" spans="19:19">
      <c r="S318" s="1">
        <v>1</v>
      </c>
    </row>
    <row r="319" spans="19:19">
      <c r="S319" s="1">
        <v>1</v>
      </c>
    </row>
    <row r="320" spans="19:19">
      <c r="S320" s="1">
        <v>2</v>
      </c>
    </row>
    <row r="321" spans="19:19">
      <c r="S321" s="1">
        <v>10</v>
      </c>
    </row>
    <row r="324" spans="19:19">
      <c r="S324" s="1">
        <v>2</v>
      </c>
    </row>
    <row r="325" spans="19:19">
      <c r="S325" s="1">
        <v>1</v>
      </c>
    </row>
    <row r="327" spans="19:19">
      <c r="S327" s="1">
        <v>2</v>
      </c>
    </row>
    <row r="328" spans="19:19">
      <c r="S328" s="1">
        <v>10</v>
      </c>
    </row>
    <row r="331" spans="19:19">
      <c r="S331" s="1">
        <v>2</v>
      </c>
    </row>
    <row r="332" spans="19:19">
      <c r="S332" s="1">
        <v>1</v>
      </c>
    </row>
  </sheetData>
  <mergeCells count="2">
    <mergeCell ref="Q30:R30"/>
    <mergeCell ref="E29:R29"/>
  </mergeCells>
  <phoneticPr fontId="22" type="noConversion"/>
  <pageMargins left="0.7" right="0.7" top="0.75" bottom="0.75" header="0.3" footer="0.3"/>
  <pageSetup scale="1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indexed="46"/>
    <pageSetUpPr fitToPage="1"/>
  </sheetPr>
  <dimension ref="A1:BY283"/>
  <sheetViews>
    <sheetView showGridLines="0" zoomScale="85" zoomScaleNormal="85" workbookViewId="0">
      <pane xSplit="5" ySplit="3" topLeftCell="F204" activePane="bottomRight" state="frozen"/>
      <selection pane="bottomRight" activeCell="L225" sqref="L225"/>
      <selection pane="bottomLeft" activeCell="A12" sqref="A12"/>
      <selection pane="topRight" activeCell="F1" sqref="F1"/>
    </sheetView>
  </sheetViews>
  <sheetFormatPr defaultColWidth="9.28515625" defaultRowHeight="14.45" outlineLevelRow="1"/>
  <cols>
    <col min="1" max="1" width="10.28515625" style="1" customWidth="1"/>
    <col min="2" max="2" width="12.28515625" style="1" customWidth="1"/>
    <col min="3" max="3" width="17.5703125" style="1" customWidth="1"/>
    <col min="4" max="4" width="9.28515625" style="1" customWidth="1"/>
    <col min="5" max="5" width="17.28515625" style="1" customWidth="1"/>
    <col min="6" max="6" width="13.7109375" style="1" bestFit="1" customWidth="1"/>
    <col min="7" max="7" width="14" style="1" bestFit="1" customWidth="1"/>
    <col min="8" max="8" width="13.7109375" style="1" bestFit="1" customWidth="1"/>
    <col min="9" max="9" width="14" style="1" bestFit="1" customWidth="1"/>
    <col min="10" max="11" width="13.7109375" style="1" bestFit="1" customWidth="1"/>
    <col min="12" max="35" width="11.28515625" style="1" customWidth="1"/>
    <col min="36" max="36" width="17.28515625" style="1" customWidth="1"/>
    <col min="37" max="37" width="19.7109375" style="1" customWidth="1"/>
    <col min="38" max="38" width="21.28515625" style="1" customWidth="1"/>
    <col min="39" max="39" width="12.7109375" style="1" bestFit="1" customWidth="1"/>
    <col min="40" max="40" width="10.7109375" style="1" bestFit="1" customWidth="1"/>
    <col min="41" max="41" width="10.28515625" style="1" bestFit="1" customWidth="1"/>
    <col min="42" max="42" width="10.7109375" style="1" bestFit="1" customWidth="1"/>
    <col min="43" max="43" width="15.28515625" style="1" bestFit="1" customWidth="1"/>
    <col min="44" max="44" width="9.28515625" style="1"/>
    <col min="45" max="45" width="11.140625" style="1" bestFit="1" customWidth="1"/>
    <col min="46" max="47" width="9.28515625" style="1"/>
    <col min="48" max="48" width="10.85546875" style="1" bestFit="1" customWidth="1"/>
    <col min="49" max="49" width="11.28515625" style="1" customWidth="1"/>
    <col min="50" max="51" width="10.85546875" style="1" bestFit="1" customWidth="1"/>
    <col min="52" max="52" width="10.140625" style="1" bestFit="1" customWidth="1"/>
    <col min="53" max="16384" width="9.28515625" style="1"/>
  </cols>
  <sheetData>
    <row r="1" spans="1:39"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284"/>
      <c r="U1" s="65"/>
      <c r="V1" s="1243"/>
      <c r="W1" s="65"/>
    </row>
    <row r="2" spans="1:39" ht="17.45">
      <c r="C2" s="167" t="s">
        <v>155</v>
      </c>
      <c r="D2" s="167"/>
      <c r="H2" s="41"/>
      <c r="AA2" s="65"/>
    </row>
    <row r="3" spans="1:39">
      <c r="C3" s="296" t="s">
        <v>156</v>
      </c>
      <c r="D3" s="1062">
        <v>30</v>
      </c>
      <c r="E3" s="603">
        <v>30</v>
      </c>
      <c r="F3" s="519" t="s">
        <v>157</v>
      </c>
      <c r="G3" s="519" t="s">
        <v>158</v>
      </c>
      <c r="H3" s="519" t="s">
        <v>159</v>
      </c>
      <c r="I3" s="519" t="s">
        <v>160</v>
      </c>
      <c r="J3" s="519" t="s">
        <v>161</v>
      </c>
      <c r="K3" s="519" t="s">
        <v>162</v>
      </c>
      <c r="L3" s="519" t="s">
        <v>163</v>
      </c>
      <c r="M3" s="519" t="s">
        <v>164</v>
      </c>
      <c r="N3" s="519" t="s">
        <v>165</v>
      </c>
      <c r="O3" s="519" t="s">
        <v>166</v>
      </c>
      <c r="P3" s="519" t="s">
        <v>167</v>
      </c>
      <c r="Q3" s="519" t="s">
        <v>168</v>
      </c>
      <c r="R3" s="519" t="s">
        <v>169</v>
      </c>
      <c r="S3" s="519" t="s">
        <v>170</v>
      </c>
      <c r="T3" s="519" t="s">
        <v>171</v>
      </c>
      <c r="U3" s="519" t="s">
        <v>172</v>
      </c>
      <c r="V3" s="519" t="s">
        <v>173</v>
      </c>
      <c r="W3" s="519" t="s">
        <v>174</v>
      </c>
      <c r="X3" s="519" t="s">
        <v>175</v>
      </c>
      <c r="Y3" s="519" t="s">
        <v>176</v>
      </c>
      <c r="Z3" s="519" t="s">
        <v>177</v>
      </c>
      <c r="AA3" s="519" t="s">
        <v>178</v>
      </c>
      <c r="AB3" s="604" t="s">
        <v>179</v>
      </c>
      <c r="AC3" s="519" t="s">
        <v>180</v>
      </c>
      <c r="AD3" s="519" t="s">
        <v>181</v>
      </c>
      <c r="AE3" s="519" t="s">
        <v>182</v>
      </c>
      <c r="AF3" s="519" t="s">
        <v>183</v>
      </c>
      <c r="AG3" s="519" t="s">
        <v>184</v>
      </c>
      <c r="AH3" s="519" t="s">
        <v>185</v>
      </c>
      <c r="AI3" s="519" t="s">
        <v>186</v>
      </c>
      <c r="AJ3" s="519" t="s">
        <v>187</v>
      </c>
      <c r="AK3" s="605" t="s">
        <v>188</v>
      </c>
      <c r="AL3" s="606" t="s">
        <v>189</v>
      </c>
    </row>
    <row r="4" spans="1:39" ht="14.25" customHeight="1">
      <c r="A4" s="448"/>
      <c r="B4" s="403" t="s">
        <v>190</v>
      </c>
      <c r="C4" s="1300" t="s">
        <v>191</v>
      </c>
      <c r="D4" s="1301"/>
      <c r="E4" s="32" t="s">
        <v>192</v>
      </c>
      <c r="F4" s="607">
        <f>+SUMIF($E$16:$E$27,$E4,F$16:F$27)</f>
        <v>4489.5</v>
      </c>
      <c r="G4" s="607">
        <f t="shared" ref="G4:AJ8" si="0">+SUMIF($E$16:$E$27,$E4,G$16:G$27)</f>
        <v>4386</v>
      </c>
      <c r="H4" s="607">
        <f t="shared" si="0"/>
        <v>3888</v>
      </c>
      <c r="I4" s="607">
        <f t="shared" si="0"/>
        <v>16129.5</v>
      </c>
      <c r="J4" s="607">
        <f t="shared" si="0"/>
        <v>11241</v>
      </c>
      <c r="K4" s="607">
        <f t="shared" si="0"/>
        <v>8989.5</v>
      </c>
      <c r="L4" s="607">
        <f t="shared" si="0"/>
        <v>19191</v>
      </c>
      <c r="M4" s="607">
        <f t="shared" si="0"/>
        <v>0</v>
      </c>
      <c r="N4" s="607">
        <f t="shared" si="0"/>
        <v>0</v>
      </c>
      <c r="O4" s="607">
        <f t="shared" si="0"/>
        <v>0</v>
      </c>
      <c r="P4" s="607">
        <f t="shared" si="0"/>
        <v>0</v>
      </c>
      <c r="Q4" s="607">
        <f t="shared" si="0"/>
        <v>0</v>
      </c>
      <c r="R4" s="607">
        <f t="shared" si="0"/>
        <v>0</v>
      </c>
      <c r="S4" s="607">
        <f t="shared" si="0"/>
        <v>0</v>
      </c>
      <c r="T4" s="607">
        <f t="shared" si="0"/>
        <v>0</v>
      </c>
      <c r="U4" s="607">
        <f t="shared" si="0"/>
        <v>0</v>
      </c>
      <c r="V4" s="607">
        <f t="shared" si="0"/>
        <v>0</v>
      </c>
      <c r="W4" s="607">
        <f t="shared" si="0"/>
        <v>0</v>
      </c>
      <c r="X4" s="607">
        <f t="shared" si="0"/>
        <v>0</v>
      </c>
      <c r="Y4" s="607">
        <f t="shared" si="0"/>
        <v>0</v>
      </c>
      <c r="Z4" s="607">
        <f t="shared" si="0"/>
        <v>0</v>
      </c>
      <c r="AA4" s="607">
        <f t="shared" si="0"/>
        <v>0</v>
      </c>
      <c r="AB4" s="607">
        <f t="shared" si="0"/>
        <v>0</v>
      </c>
      <c r="AC4" s="607">
        <f t="shared" si="0"/>
        <v>0</v>
      </c>
      <c r="AD4" s="607">
        <f t="shared" si="0"/>
        <v>0</v>
      </c>
      <c r="AE4" s="607">
        <f t="shared" si="0"/>
        <v>0</v>
      </c>
      <c r="AF4" s="607">
        <f t="shared" si="0"/>
        <v>0</v>
      </c>
      <c r="AG4" s="607">
        <f t="shared" si="0"/>
        <v>0</v>
      </c>
      <c r="AH4" s="607">
        <f t="shared" si="0"/>
        <v>0</v>
      </c>
      <c r="AI4" s="607">
        <f t="shared" si="0"/>
        <v>0</v>
      </c>
      <c r="AJ4" s="607">
        <f t="shared" si="0"/>
        <v>0</v>
      </c>
      <c r="AK4" s="103">
        <f>SUM(F4:AJ4)</f>
        <v>68314.5</v>
      </c>
      <c r="AL4" s="608">
        <f>HLOOKUP(LEFT(Summary!$D$3,2),Actual!F3:AJ9,2,FALSE)</f>
        <v>19191</v>
      </c>
      <c r="AM4" s="41"/>
    </row>
    <row r="5" spans="1:39" ht="14.25" customHeight="1">
      <c r="A5" s="448"/>
      <c r="B5" s="403"/>
      <c r="C5" s="1302"/>
      <c r="D5" s="1303"/>
      <c r="E5" s="30" t="s">
        <v>193</v>
      </c>
      <c r="F5" s="607">
        <f>+SUMIF($E$16:$E$27,$E5,F$16:F$27)</f>
        <v>21678</v>
      </c>
      <c r="G5" s="607">
        <f t="shared" ref="G5:U5" si="1">+SUMIF($E$16:$E$27,$E5,G$16:G$27)</f>
        <v>26761.5</v>
      </c>
      <c r="H5" s="607">
        <f t="shared" si="1"/>
        <v>25450.5</v>
      </c>
      <c r="I5" s="607">
        <f t="shared" si="1"/>
        <v>10998</v>
      </c>
      <c r="J5" s="607">
        <f t="shared" si="1"/>
        <v>16753.5</v>
      </c>
      <c r="K5" s="607">
        <f t="shared" si="1"/>
        <v>20683.5</v>
      </c>
      <c r="L5" s="607">
        <f t="shared" si="1"/>
        <v>15792</v>
      </c>
      <c r="M5" s="607">
        <f t="shared" si="1"/>
        <v>0</v>
      </c>
      <c r="N5" s="607">
        <f t="shared" si="1"/>
        <v>0</v>
      </c>
      <c r="O5" s="607">
        <f t="shared" si="1"/>
        <v>0</v>
      </c>
      <c r="P5" s="607">
        <f t="shared" si="1"/>
        <v>0</v>
      </c>
      <c r="Q5" s="607">
        <f t="shared" si="1"/>
        <v>0</v>
      </c>
      <c r="R5" s="607">
        <f t="shared" si="1"/>
        <v>0</v>
      </c>
      <c r="S5" s="607">
        <f t="shared" si="1"/>
        <v>0</v>
      </c>
      <c r="T5" s="607">
        <f t="shared" si="1"/>
        <v>0</v>
      </c>
      <c r="U5" s="607">
        <f t="shared" si="1"/>
        <v>0</v>
      </c>
      <c r="V5" s="607">
        <f t="shared" si="0"/>
        <v>0</v>
      </c>
      <c r="W5" s="607">
        <f t="shared" si="0"/>
        <v>0</v>
      </c>
      <c r="X5" s="607">
        <f t="shared" si="0"/>
        <v>0</v>
      </c>
      <c r="Y5" s="607">
        <f t="shared" si="0"/>
        <v>0</v>
      </c>
      <c r="Z5" s="607">
        <f t="shared" si="0"/>
        <v>0</v>
      </c>
      <c r="AA5" s="860">
        <f t="shared" si="0"/>
        <v>0</v>
      </c>
      <c r="AB5" s="607">
        <f t="shared" si="0"/>
        <v>0</v>
      </c>
      <c r="AC5" s="607">
        <f t="shared" si="0"/>
        <v>0</v>
      </c>
      <c r="AD5" s="607">
        <f t="shared" si="0"/>
        <v>0</v>
      </c>
      <c r="AE5" s="607">
        <f t="shared" si="0"/>
        <v>0</v>
      </c>
      <c r="AF5" s="607">
        <f t="shared" si="0"/>
        <v>0</v>
      </c>
      <c r="AG5" s="607">
        <f t="shared" si="0"/>
        <v>0</v>
      </c>
      <c r="AH5" s="607">
        <f t="shared" si="0"/>
        <v>0</v>
      </c>
      <c r="AI5" s="607">
        <f t="shared" si="0"/>
        <v>0</v>
      </c>
      <c r="AJ5" s="607">
        <f t="shared" si="0"/>
        <v>0</v>
      </c>
      <c r="AK5" s="39">
        <f>SUM(F5:AJ5)</f>
        <v>138117</v>
      </c>
      <c r="AL5" s="609">
        <f>HLOOKUP(LEFT(Summary!D3,2),Actual!F3:AJ9,3,FALSE)</f>
        <v>15792</v>
      </c>
      <c r="AM5" s="41"/>
    </row>
    <row r="6" spans="1:39" ht="14.25" customHeight="1">
      <c r="A6" s="448"/>
      <c r="B6" s="403"/>
      <c r="C6" s="1302"/>
      <c r="D6" s="1303"/>
      <c r="E6" s="30" t="s">
        <v>194</v>
      </c>
      <c r="F6" s="607">
        <f>+SUMIF($E$16:$E$27,$E6,F$16:F$27)</f>
        <v>1318.5</v>
      </c>
      <c r="G6" s="607">
        <f t="shared" si="0"/>
        <v>0</v>
      </c>
      <c r="H6" s="607">
        <f t="shared" si="0"/>
        <v>1956.75</v>
      </c>
      <c r="I6" s="607">
        <f t="shared" si="0"/>
        <v>1575.75</v>
      </c>
      <c r="J6" s="607">
        <f t="shared" si="0"/>
        <v>2706</v>
      </c>
      <c r="K6" s="607">
        <f t="shared" si="0"/>
        <v>1297.5</v>
      </c>
      <c r="L6" s="607">
        <f t="shared" si="0"/>
        <v>317.25</v>
      </c>
      <c r="M6" s="607">
        <f t="shared" si="0"/>
        <v>0</v>
      </c>
      <c r="N6" s="607">
        <f t="shared" si="0"/>
        <v>0</v>
      </c>
      <c r="O6" s="607">
        <f t="shared" si="0"/>
        <v>0</v>
      </c>
      <c r="P6" s="607">
        <f t="shared" si="0"/>
        <v>0</v>
      </c>
      <c r="Q6" s="607">
        <f t="shared" si="0"/>
        <v>0</v>
      </c>
      <c r="R6" s="607">
        <f t="shared" si="0"/>
        <v>0</v>
      </c>
      <c r="S6" s="607">
        <f t="shared" si="0"/>
        <v>0</v>
      </c>
      <c r="T6" s="607">
        <f t="shared" si="0"/>
        <v>0</v>
      </c>
      <c r="U6" s="607">
        <f t="shared" si="0"/>
        <v>0</v>
      </c>
      <c r="V6" s="607">
        <f t="shared" si="0"/>
        <v>0</v>
      </c>
      <c r="W6" s="607">
        <f t="shared" si="0"/>
        <v>0</v>
      </c>
      <c r="X6" s="607">
        <f t="shared" si="0"/>
        <v>0</v>
      </c>
      <c r="Y6" s="607">
        <f t="shared" si="0"/>
        <v>0</v>
      </c>
      <c r="Z6" s="607">
        <f t="shared" si="0"/>
        <v>0</v>
      </c>
      <c r="AA6" s="607">
        <f t="shared" si="0"/>
        <v>0</v>
      </c>
      <c r="AB6" s="607">
        <f t="shared" si="0"/>
        <v>0</v>
      </c>
      <c r="AC6" s="607">
        <f t="shared" si="0"/>
        <v>0</v>
      </c>
      <c r="AD6" s="607">
        <f t="shared" si="0"/>
        <v>0</v>
      </c>
      <c r="AE6" s="607">
        <f t="shared" si="0"/>
        <v>0</v>
      </c>
      <c r="AF6" s="607">
        <f t="shared" si="0"/>
        <v>0</v>
      </c>
      <c r="AG6" s="607">
        <f t="shared" si="0"/>
        <v>0</v>
      </c>
      <c r="AH6" s="607">
        <f t="shared" si="0"/>
        <v>0</v>
      </c>
      <c r="AI6" s="607">
        <f t="shared" si="0"/>
        <v>0</v>
      </c>
      <c r="AJ6" s="607">
        <f t="shared" si="0"/>
        <v>0</v>
      </c>
      <c r="AK6" s="59">
        <f>SUM(F6:AJ6)</f>
        <v>9171.75</v>
      </c>
      <c r="AL6" s="609">
        <f>HLOOKUP(LEFT(Summary!$D$3,2),Actual!$F$3:$AJ$9,4,FALSE)</f>
        <v>317.25</v>
      </c>
      <c r="AM6" s="41"/>
    </row>
    <row r="7" spans="1:39" ht="14.25" customHeight="1">
      <c r="A7" s="448"/>
      <c r="B7" s="403"/>
      <c r="C7" s="1302"/>
      <c r="D7" s="1303"/>
      <c r="E7" s="30" t="s">
        <v>195</v>
      </c>
      <c r="F7" s="607">
        <f>+SUMIF($E$16:$E$27,$E7,F$16:F$27)</f>
        <v>0</v>
      </c>
      <c r="G7" s="607">
        <f t="shared" si="0"/>
        <v>0</v>
      </c>
      <c r="H7" s="607">
        <f t="shared" si="0"/>
        <v>0</v>
      </c>
      <c r="I7" s="607">
        <f t="shared" si="0"/>
        <v>0</v>
      </c>
      <c r="J7" s="607">
        <f t="shared" si="0"/>
        <v>0</v>
      </c>
      <c r="K7" s="607">
        <f t="shared" si="0"/>
        <v>0</v>
      </c>
      <c r="L7" s="607">
        <f t="shared" si="0"/>
        <v>0</v>
      </c>
      <c r="M7" s="607">
        <f t="shared" si="0"/>
        <v>0</v>
      </c>
      <c r="N7" s="607">
        <f t="shared" si="0"/>
        <v>0</v>
      </c>
      <c r="O7" s="607">
        <f t="shared" si="0"/>
        <v>0</v>
      </c>
      <c r="P7" s="607">
        <f t="shared" si="0"/>
        <v>0</v>
      </c>
      <c r="Q7" s="607">
        <f t="shared" si="0"/>
        <v>0</v>
      </c>
      <c r="R7" s="607">
        <f t="shared" si="0"/>
        <v>0</v>
      </c>
      <c r="S7" s="607">
        <f t="shared" si="0"/>
        <v>0</v>
      </c>
      <c r="T7" s="607">
        <f t="shared" si="0"/>
        <v>0</v>
      </c>
      <c r="U7" s="607">
        <f t="shared" si="0"/>
        <v>0</v>
      </c>
      <c r="V7" s="607">
        <f t="shared" si="0"/>
        <v>0</v>
      </c>
      <c r="W7" s="607">
        <f t="shared" si="0"/>
        <v>0</v>
      </c>
      <c r="X7" s="607">
        <f t="shared" si="0"/>
        <v>0</v>
      </c>
      <c r="Y7" s="607">
        <f t="shared" si="0"/>
        <v>0</v>
      </c>
      <c r="Z7" s="607">
        <f t="shared" si="0"/>
        <v>0</v>
      </c>
      <c r="AA7" s="607">
        <f t="shared" si="0"/>
        <v>0</v>
      </c>
      <c r="AB7" s="607">
        <f t="shared" si="0"/>
        <v>0</v>
      </c>
      <c r="AC7" s="607">
        <f t="shared" si="0"/>
        <v>0</v>
      </c>
      <c r="AD7" s="607">
        <f t="shared" si="0"/>
        <v>0</v>
      </c>
      <c r="AE7" s="607">
        <f t="shared" si="0"/>
        <v>0</v>
      </c>
      <c r="AF7" s="607">
        <f t="shared" si="0"/>
        <v>0</v>
      </c>
      <c r="AG7" s="607">
        <f t="shared" si="0"/>
        <v>0</v>
      </c>
      <c r="AH7" s="607">
        <f t="shared" si="0"/>
        <v>0</v>
      </c>
      <c r="AI7" s="607">
        <f t="shared" si="0"/>
        <v>0</v>
      </c>
      <c r="AJ7" s="607">
        <f t="shared" si="0"/>
        <v>0</v>
      </c>
      <c r="AK7" s="59">
        <f>SUM(F7:AJ7)</f>
        <v>0</v>
      </c>
      <c r="AL7" s="609">
        <f>HLOOKUP(LEFT(Summary!$D$3,2),Actual!$F$3:$AJ$9,5,FALSE)</f>
        <v>0</v>
      </c>
      <c r="AM7" s="41"/>
    </row>
    <row r="8" spans="1:39" ht="14.25" customHeight="1">
      <c r="A8" s="448"/>
      <c r="B8" s="403"/>
      <c r="C8" s="1302"/>
      <c r="D8" s="1303"/>
      <c r="E8" s="30" t="s">
        <v>196</v>
      </c>
      <c r="F8" s="607">
        <f>+SUMIF($E$16:$E$27,$E8,F$16:F$27)</f>
        <v>7501.5</v>
      </c>
      <c r="G8" s="607">
        <f t="shared" si="0"/>
        <v>5446.5</v>
      </c>
      <c r="H8" s="607">
        <f t="shared" si="0"/>
        <v>1414.5</v>
      </c>
      <c r="I8" s="607">
        <f t="shared" si="0"/>
        <v>3966</v>
      </c>
      <c r="J8" s="607">
        <f t="shared" si="0"/>
        <v>849</v>
      </c>
      <c r="K8" s="607">
        <f t="shared" si="0"/>
        <v>2391</v>
      </c>
      <c r="L8" s="607">
        <f t="shared" si="0"/>
        <v>1270.5</v>
      </c>
      <c r="M8" s="607">
        <f t="shared" si="0"/>
        <v>0</v>
      </c>
      <c r="N8" s="607">
        <f t="shared" si="0"/>
        <v>0</v>
      </c>
      <c r="O8" s="607">
        <f t="shared" si="0"/>
        <v>0</v>
      </c>
      <c r="P8" s="607">
        <f t="shared" si="0"/>
        <v>0</v>
      </c>
      <c r="Q8" s="607">
        <f t="shared" si="0"/>
        <v>0</v>
      </c>
      <c r="R8" s="607">
        <f t="shared" si="0"/>
        <v>0</v>
      </c>
      <c r="S8" s="607">
        <f t="shared" si="0"/>
        <v>0</v>
      </c>
      <c r="T8" s="607">
        <f t="shared" si="0"/>
        <v>0</v>
      </c>
      <c r="U8" s="607">
        <f t="shared" si="0"/>
        <v>0</v>
      </c>
      <c r="V8" s="607">
        <f t="shared" si="0"/>
        <v>0</v>
      </c>
      <c r="W8" s="607">
        <f t="shared" si="0"/>
        <v>0</v>
      </c>
      <c r="X8" s="607">
        <f t="shared" si="0"/>
        <v>0</v>
      </c>
      <c r="Y8" s="607">
        <f t="shared" si="0"/>
        <v>0</v>
      </c>
      <c r="Z8" s="607">
        <f t="shared" si="0"/>
        <v>0</v>
      </c>
      <c r="AA8" s="607">
        <f t="shared" si="0"/>
        <v>0</v>
      </c>
      <c r="AB8" s="607">
        <f t="shared" si="0"/>
        <v>0</v>
      </c>
      <c r="AC8" s="607">
        <f t="shared" si="0"/>
        <v>0</v>
      </c>
      <c r="AD8" s="607">
        <f t="shared" si="0"/>
        <v>0</v>
      </c>
      <c r="AE8" s="607">
        <f t="shared" si="0"/>
        <v>0</v>
      </c>
      <c r="AF8" s="607">
        <f t="shared" si="0"/>
        <v>0</v>
      </c>
      <c r="AG8" s="607">
        <f t="shared" si="0"/>
        <v>0</v>
      </c>
      <c r="AH8" s="607">
        <f t="shared" si="0"/>
        <v>0</v>
      </c>
      <c r="AI8" s="607">
        <f t="shared" si="0"/>
        <v>0</v>
      </c>
      <c r="AJ8" s="607">
        <f t="shared" si="0"/>
        <v>0</v>
      </c>
      <c r="AK8" s="59">
        <f>SUM(F8:AJ8)</f>
        <v>22839</v>
      </c>
      <c r="AL8" s="609">
        <f>HLOOKUP(LEFT(Summary!D3,2),Actual!F3:AJ9,6,FALSE)</f>
        <v>1270.5</v>
      </c>
      <c r="AM8" s="41"/>
    </row>
    <row r="9" spans="1:39" ht="14.25" customHeight="1">
      <c r="A9" s="448"/>
      <c r="B9" s="403"/>
      <c r="C9" s="1304"/>
      <c r="D9" s="1305"/>
      <c r="E9" s="1025" t="s">
        <v>197</v>
      </c>
      <c r="F9" s="87">
        <f t="shared" ref="F9:AJ9" si="2">SUM(F4:F8)</f>
        <v>34987.5</v>
      </c>
      <c r="G9" s="87">
        <f t="shared" si="2"/>
        <v>36594</v>
      </c>
      <c r="H9" s="87">
        <f t="shared" si="2"/>
        <v>32709.75</v>
      </c>
      <c r="I9" s="87">
        <f t="shared" si="2"/>
        <v>32669.25</v>
      </c>
      <c r="J9" s="87">
        <f t="shared" si="2"/>
        <v>31549.5</v>
      </c>
      <c r="K9" s="87">
        <f t="shared" si="2"/>
        <v>33361.5</v>
      </c>
      <c r="L9" s="87">
        <f t="shared" si="2"/>
        <v>36570.75</v>
      </c>
      <c r="M9" s="87">
        <f t="shared" si="2"/>
        <v>0</v>
      </c>
      <c r="N9" s="87">
        <f t="shared" si="2"/>
        <v>0</v>
      </c>
      <c r="O9" s="87">
        <f t="shared" si="2"/>
        <v>0</v>
      </c>
      <c r="P9" s="87">
        <f t="shared" si="2"/>
        <v>0</v>
      </c>
      <c r="Q9" s="87">
        <f t="shared" si="2"/>
        <v>0</v>
      </c>
      <c r="R9" s="87">
        <f t="shared" si="2"/>
        <v>0</v>
      </c>
      <c r="S9" s="87">
        <f t="shared" si="2"/>
        <v>0</v>
      </c>
      <c r="T9" s="87">
        <f t="shared" si="2"/>
        <v>0</v>
      </c>
      <c r="U9" s="87">
        <f t="shared" si="2"/>
        <v>0</v>
      </c>
      <c r="V9" s="87">
        <f t="shared" si="2"/>
        <v>0</v>
      </c>
      <c r="W9" s="87">
        <f t="shared" si="2"/>
        <v>0</v>
      </c>
      <c r="X9" s="87">
        <f>SUM(X4:X8)</f>
        <v>0</v>
      </c>
      <c r="Y9" s="87">
        <f t="shared" si="2"/>
        <v>0</v>
      </c>
      <c r="Z9" s="87">
        <f t="shared" si="2"/>
        <v>0</v>
      </c>
      <c r="AA9" s="87">
        <f>SUM(AA4:AA8)</f>
        <v>0</v>
      </c>
      <c r="AB9" s="84">
        <f t="shared" si="2"/>
        <v>0</v>
      </c>
      <c r="AC9" s="620">
        <f t="shared" si="2"/>
        <v>0</v>
      </c>
      <c r="AD9" s="620">
        <f t="shared" si="2"/>
        <v>0</v>
      </c>
      <c r="AE9" s="87">
        <f t="shared" si="2"/>
        <v>0</v>
      </c>
      <c r="AF9" s="87">
        <f t="shared" si="2"/>
        <v>0</v>
      </c>
      <c r="AG9" s="87">
        <f t="shared" si="2"/>
        <v>0</v>
      </c>
      <c r="AH9" s="87">
        <f t="shared" si="2"/>
        <v>0</v>
      </c>
      <c r="AI9" s="87">
        <f t="shared" si="2"/>
        <v>0</v>
      </c>
      <c r="AJ9" s="87">
        <f t="shared" si="2"/>
        <v>0</v>
      </c>
      <c r="AK9" s="821">
        <f>SUM(AK4:AK8)</f>
        <v>238442.25</v>
      </c>
      <c r="AL9" s="609" t="s">
        <v>189</v>
      </c>
      <c r="AM9" s="41"/>
    </row>
    <row r="10" spans="1:39" ht="14.25" customHeight="1">
      <c r="A10" s="448"/>
      <c r="B10" s="1024" t="s">
        <v>190</v>
      </c>
      <c r="C10" s="1300" t="s">
        <v>198</v>
      </c>
      <c r="D10" s="1301"/>
      <c r="E10" s="32" t="s">
        <v>192</v>
      </c>
      <c r="F10" s="607"/>
      <c r="G10" s="607"/>
      <c r="H10" s="607"/>
      <c r="I10" s="607"/>
      <c r="J10" s="607"/>
      <c r="K10" s="607"/>
      <c r="L10" s="607"/>
      <c r="M10" s="607"/>
      <c r="N10" s="607"/>
      <c r="O10" s="607"/>
      <c r="P10" s="607"/>
      <c r="Q10" s="607"/>
      <c r="R10" s="607"/>
      <c r="S10" s="607"/>
      <c r="T10" s="607"/>
      <c r="U10" s="607"/>
      <c r="V10" s="607"/>
      <c r="W10" s="607"/>
      <c r="X10" s="607"/>
      <c r="Y10" s="607"/>
      <c r="Z10" s="607"/>
      <c r="AA10" s="607"/>
      <c r="AB10" s="607"/>
      <c r="AC10" s="607"/>
      <c r="AD10" s="607"/>
      <c r="AE10" s="607"/>
      <c r="AF10" s="607"/>
      <c r="AG10" s="607"/>
      <c r="AH10" s="607"/>
      <c r="AI10" s="607"/>
      <c r="AJ10" s="607"/>
      <c r="AK10" s="103">
        <f>SUM(F10:AJ10)</f>
        <v>0</v>
      </c>
      <c r="AL10" s="608">
        <f>HLOOKUP(LEFT(Summary!$D$3,2),Actual!$F$3:$AJ$15,8,FALSE)</f>
        <v>0</v>
      </c>
      <c r="AM10" s="41"/>
    </row>
    <row r="11" spans="1:39" ht="14.25" customHeight="1">
      <c r="A11" s="448"/>
      <c r="B11" s="403"/>
      <c r="C11" s="1302"/>
      <c r="D11" s="1303"/>
      <c r="E11" s="30" t="s">
        <v>193</v>
      </c>
      <c r="F11" s="607"/>
      <c r="G11" s="607"/>
      <c r="H11" s="607"/>
      <c r="I11" s="607"/>
      <c r="J11" s="607"/>
      <c r="K11" s="607"/>
      <c r="L11" s="607"/>
      <c r="M11" s="607"/>
      <c r="N11" s="607"/>
      <c r="O11" s="607"/>
      <c r="P11" s="607"/>
      <c r="Q11" s="607"/>
      <c r="R11" s="607"/>
      <c r="S11" s="607"/>
      <c r="T11" s="607"/>
      <c r="U11" s="607"/>
      <c r="V11" s="607"/>
      <c r="W11" s="607"/>
      <c r="X11" s="607"/>
      <c r="Y11" s="607"/>
      <c r="Z11" s="607"/>
      <c r="AA11" s="607"/>
      <c r="AB11" s="607"/>
      <c r="AC11" s="607"/>
      <c r="AD11" s="607"/>
      <c r="AE11" s="607"/>
      <c r="AF11" s="607"/>
      <c r="AG11" s="607"/>
      <c r="AH11" s="607"/>
      <c r="AI11" s="607"/>
      <c r="AJ11" s="607"/>
      <c r="AK11" s="39">
        <f>SUM(F11:AJ11)</f>
        <v>0</v>
      </c>
      <c r="AL11" s="608">
        <f>HLOOKUP(LEFT(Summary!$D$3,2),Actual!$F$3:$AJ$15,9,FALSE)</f>
        <v>0</v>
      </c>
      <c r="AM11" s="41"/>
    </row>
    <row r="12" spans="1:39" ht="14.25" customHeight="1">
      <c r="A12" s="448"/>
      <c r="B12" s="403"/>
      <c r="C12" s="1302"/>
      <c r="D12" s="1303"/>
      <c r="E12" s="30" t="s">
        <v>194</v>
      </c>
      <c r="F12" s="607"/>
      <c r="G12" s="607"/>
      <c r="H12" s="607"/>
      <c r="I12" s="607"/>
      <c r="J12" s="607"/>
      <c r="K12" s="607"/>
      <c r="L12" s="607"/>
      <c r="M12" s="607"/>
      <c r="N12" s="607"/>
      <c r="O12" s="607"/>
      <c r="P12" s="607"/>
      <c r="Q12" s="607"/>
      <c r="R12" s="607"/>
      <c r="S12" s="607"/>
      <c r="T12" s="607"/>
      <c r="U12" s="607"/>
      <c r="V12" s="607"/>
      <c r="W12" s="607"/>
      <c r="X12" s="607"/>
      <c r="Y12" s="607"/>
      <c r="Z12" s="607"/>
      <c r="AA12" s="607"/>
      <c r="AB12" s="607"/>
      <c r="AC12" s="607"/>
      <c r="AD12" s="607"/>
      <c r="AE12" s="607"/>
      <c r="AF12" s="607"/>
      <c r="AG12" s="607"/>
      <c r="AH12" s="607"/>
      <c r="AI12" s="607"/>
      <c r="AJ12" s="607"/>
      <c r="AK12" s="59">
        <f>SUM(F12:AJ12)</f>
        <v>0</v>
      </c>
      <c r="AL12" s="608">
        <f>HLOOKUP(LEFT(Summary!$D$3,2),Actual!$F$3:$AJ$15,10,FALSE)</f>
        <v>0</v>
      </c>
      <c r="AM12" s="41"/>
    </row>
    <row r="13" spans="1:39" ht="14.25" customHeight="1">
      <c r="A13" s="448"/>
      <c r="B13" s="403"/>
      <c r="C13" s="1302"/>
      <c r="D13" s="1303"/>
      <c r="E13" s="30" t="s">
        <v>195</v>
      </c>
      <c r="F13" s="607"/>
      <c r="G13" s="607"/>
      <c r="H13" s="607"/>
      <c r="I13" s="607"/>
      <c r="J13" s="607"/>
      <c r="K13" s="607"/>
      <c r="L13" s="607"/>
      <c r="M13" s="607"/>
      <c r="N13" s="607"/>
      <c r="O13" s="607"/>
      <c r="P13" s="607"/>
      <c r="Q13" s="607"/>
      <c r="R13" s="607"/>
      <c r="S13" s="607"/>
      <c r="T13" s="607"/>
      <c r="U13" s="607"/>
      <c r="V13" s="607"/>
      <c r="W13" s="607"/>
      <c r="X13" s="607"/>
      <c r="Y13" s="607"/>
      <c r="Z13" s="607"/>
      <c r="AA13" s="607"/>
      <c r="AB13" s="607"/>
      <c r="AC13" s="607"/>
      <c r="AD13" s="607"/>
      <c r="AE13" s="607"/>
      <c r="AF13" s="607"/>
      <c r="AG13" s="607"/>
      <c r="AH13" s="607"/>
      <c r="AI13" s="607"/>
      <c r="AJ13" s="607"/>
      <c r="AK13" s="59">
        <f>SUM(F13:AJ13)</f>
        <v>0</v>
      </c>
      <c r="AL13" s="608">
        <f>HLOOKUP(LEFT(Summary!$D$3,2),Actual!$F$3:$AJ$15,11,FALSE)</f>
        <v>0</v>
      </c>
      <c r="AM13" s="41"/>
    </row>
    <row r="14" spans="1:39" ht="14.25" customHeight="1">
      <c r="A14" s="448"/>
      <c r="B14" s="403"/>
      <c r="C14" s="1302"/>
      <c r="D14" s="1303"/>
      <c r="E14" s="30" t="s">
        <v>196</v>
      </c>
      <c r="F14" s="607"/>
      <c r="G14" s="607"/>
      <c r="H14" s="607"/>
      <c r="I14" s="607">
        <v>709.5</v>
      </c>
      <c r="J14" s="607">
        <v>594</v>
      </c>
      <c r="K14" s="607">
        <v>2004</v>
      </c>
      <c r="L14" s="607"/>
      <c r="M14" s="607"/>
      <c r="N14" s="607"/>
      <c r="O14" s="607"/>
      <c r="P14" s="607"/>
      <c r="Q14" s="607"/>
      <c r="R14" s="607"/>
      <c r="S14" s="607"/>
      <c r="T14" s="607"/>
      <c r="U14" s="607"/>
      <c r="V14" s="607"/>
      <c r="W14" s="607"/>
      <c r="X14" s="607"/>
      <c r="Y14" s="607"/>
      <c r="Z14" s="607"/>
      <c r="AA14" s="607"/>
      <c r="AB14" s="607"/>
      <c r="AC14" s="607"/>
      <c r="AD14" s="607"/>
      <c r="AE14" s="607"/>
      <c r="AF14" s="607"/>
      <c r="AG14" s="607"/>
      <c r="AH14" s="607"/>
      <c r="AI14" s="607"/>
      <c r="AJ14" s="607"/>
      <c r="AK14" s="59">
        <f>SUM(F14:AJ14)</f>
        <v>3307.5</v>
      </c>
      <c r="AL14" s="608">
        <f>HLOOKUP(LEFT(Summary!$D$3,2),Actual!$F$3:$AJ$15,12,FALSE)</f>
        <v>0</v>
      </c>
      <c r="AM14" s="41"/>
    </row>
    <row r="15" spans="1:39" ht="14.25" customHeight="1">
      <c r="A15" s="448"/>
      <c r="B15" s="1027"/>
      <c r="C15" s="1304"/>
      <c r="D15" s="1305"/>
      <c r="E15" s="1025" t="s">
        <v>197</v>
      </c>
      <c r="F15" s="87">
        <f t="shared" ref="F15:W15" si="3">SUM(F10:F14)</f>
        <v>0</v>
      </c>
      <c r="G15" s="87">
        <f t="shared" si="3"/>
        <v>0</v>
      </c>
      <c r="H15" s="87">
        <f t="shared" si="3"/>
        <v>0</v>
      </c>
      <c r="I15" s="87">
        <f t="shared" si="3"/>
        <v>709.5</v>
      </c>
      <c r="J15" s="87">
        <f t="shared" si="3"/>
        <v>594</v>
      </c>
      <c r="K15" s="87">
        <f t="shared" si="3"/>
        <v>2004</v>
      </c>
      <c r="L15" s="87">
        <f t="shared" si="3"/>
        <v>0</v>
      </c>
      <c r="M15" s="87">
        <f t="shared" si="3"/>
        <v>0</v>
      </c>
      <c r="N15" s="87">
        <f t="shared" si="3"/>
        <v>0</v>
      </c>
      <c r="O15" s="87">
        <f t="shared" si="3"/>
        <v>0</v>
      </c>
      <c r="P15" s="87">
        <f t="shared" si="3"/>
        <v>0</v>
      </c>
      <c r="Q15" s="87">
        <f t="shared" si="3"/>
        <v>0</v>
      </c>
      <c r="R15" s="87">
        <f t="shared" si="3"/>
        <v>0</v>
      </c>
      <c r="S15" s="87">
        <f t="shared" si="3"/>
        <v>0</v>
      </c>
      <c r="T15" s="87">
        <f t="shared" si="3"/>
        <v>0</v>
      </c>
      <c r="U15" s="87">
        <f t="shared" si="3"/>
        <v>0</v>
      </c>
      <c r="V15" s="87">
        <f t="shared" si="3"/>
        <v>0</v>
      </c>
      <c r="W15" s="87">
        <f t="shared" si="3"/>
        <v>0</v>
      </c>
      <c r="X15" s="87">
        <f>SUM(X10:X14)</f>
        <v>0</v>
      </c>
      <c r="Y15" s="87">
        <f>SUM(Y10:Y14)</f>
        <v>0</v>
      </c>
      <c r="Z15" s="87">
        <f>SUM(Z10:Z14)</f>
        <v>0</v>
      </c>
      <c r="AA15" s="87">
        <f>SUM(AA10:AA14)</f>
        <v>0</v>
      </c>
      <c r="AB15" s="84">
        <f t="shared" ref="AB15:AK15" si="4">SUM(AB10:AB14)</f>
        <v>0</v>
      </c>
      <c r="AC15" s="87">
        <f t="shared" si="4"/>
        <v>0</v>
      </c>
      <c r="AD15" s="87">
        <f t="shared" si="4"/>
        <v>0</v>
      </c>
      <c r="AE15" s="87">
        <f t="shared" si="4"/>
        <v>0</v>
      </c>
      <c r="AF15" s="87">
        <f t="shared" si="4"/>
        <v>0</v>
      </c>
      <c r="AG15" s="87">
        <f t="shared" si="4"/>
        <v>0</v>
      </c>
      <c r="AH15" s="87">
        <f t="shared" si="4"/>
        <v>0</v>
      </c>
      <c r="AI15" s="87">
        <f t="shared" si="4"/>
        <v>0</v>
      </c>
      <c r="AJ15" s="87">
        <f t="shared" si="4"/>
        <v>0</v>
      </c>
      <c r="AK15" s="70">
        <f t="shared" si="4"/>
        <v>3307.5</v>
      </c>
      <c r="AL15" s="609" t="s">
        <v>189</v>
      </c>
      <c r="AM15" s="41"/>
    </row>
    <row r="16" spans="1:39" ht="14.25" customHeight="1">
      <c r="A16" s="448"/>
      <c r="B16" s="1024" t="s">
        <v>190</v>
      </c>
      <c r="C16" s="1300" t="s">
        <v>199</v>
      </c>
      <c r="D16" s="1301"/>
      <c r="E16" s="32" t="s">
        <v>192</v>
      </c>
      <c r="F16" s="607"/>
      <c r="G16" s="607"/>
      <c r="H16" s="607"/>
      <c r="I16" s="607"/>
      <c r="J16" s="607"/>
      <c r="K16" s="607"/>
      <c r="L16" s="607"/>
      <c r="M16" s="607"/>
      <c r="N16" s="607"/>
      <c r="O16" s="607"/>
      <c r="P16" s="607"/>
      <c r="Q16" s="607"/>
      <c r="R16" s="607"/>
      <c r="S16" s="607"/>
      <c r="T16" s="607"/>
      <c r="U16" s="607"/>
      <c r="V16" s="607"/>
      <c r="W16" s="607"/>
      <c r="X16" s="607"/>
      <c r="Y16" s="607"/>
      <c r="Z16" s="607"/>
      <c r="AA16" s="607"/>
      <c r="AB16" s="607"/>
      <c r="AC16" s="607"/>
      <c r="AD16" s="607"/>
      <c r="AE16" s="607"/>
      <c r="AF16" s="607"/>
      <c r="AG16" s="607"/>
      <c r="AH16" s="607"/>
      <c r="AI16" s="607"/>
      <c r="AJ16" s="607"/>
      <c r="AK16" s="103">
        <f>SUM(F16:AJ16)</f>
        <v>0</v>
      </c>
      <c r="AL16" s="1026"/>
      <c r="AM16" s="41"/>
    </row>
    <row r="17" spans="1:77" ht="14.25" customHeight="1">
      <c r="A17" s="448"/>
      <c r="B17" s="403"/>
      <c r="C17" s="1302"/>
      <c r="D17" s="1303"/>
      <c r="E17" s="30" t="s">
        <v>193</v>
      </c>
      <c r="F17" s="607"/>
      <c r="G17" s="607"/>
      <c r="H17" s="607"/>
      <c r="I17" s="607"/>
      <c r="J17" s="607"/>
      <c r="K17" s="607"/>
      <c r="L17" s="607"/>
      <c r="M17" s="607"/>
      <c r="N17" s="607"/>
      <c r="O17" s="607"/>
      <c r="P17" s="607"/>
      <c r="Q17" s="607"/>
      <c r="R17" s="607"/>
      <c r="S17" s="607"/>
      <c r="T17" s="607"/>
      <c r="U17" s="607"/>
      <c r="V17" s="607"/>
      <c r="W17" s="607"/>
      <c r="X17" s="607"/>
      <c r="Y17" s="607"/>
      <c r="Z17" s="607"/>
      <c r="AA17" s="607"/>
      <c r="AB17" s="607"/>
      <c r="AC17" s="607"/>
      <c r="AD17" s="607"/>
      <c r="AE17" s="607"/>
      <c r="AF17" s="607"/>
      <c r="AG17" s="607"/>
      <c r="AH17" s="607"/>
      <c r="AI17" s="607"/>
      <c r="AJ17" s="607"/>
      <c r="AK17" s="39">
        <f>SUM(F17:AJ17)</f>
        <v>0</v>
      </c>
      <c r="AL17" s="1026"/>
      <c r="AM17" s="41"/>
    </row>
    <row r="18" spans="1:77" ht="14.25" customHeight="1">
      <c r="A18" s="448"/>
      <c r="B18" s="403"/>
      <c r="C18" s="1302"/>
      <c r="D18" s="1303"/>
      <c r="E18" s="30" t="s">
        <v>194</v>
      </c>
      <c r="F18" s="607"/>
      <c r="G18" s="607"/>
      <c r="H18" s="607"/>
      <c r="I18" s="607"/>
      <c r="J18" s="607"/>
      <c r="K18" s="607"/>
      <c r="L18" s="607"/>
      <c r="M18" s="607"/>
      <c r="N18" s="607"/>
      <c r="O18" s="607"/>
      <c r="P18" s="607"/>
      <c r="Q18" s="607"/>
      <c r="R18" s="607"/>
      <c r="S18" s="607"/>
      <c r="T18" s="607"/>
      <c r="U18" s="607"/>
      <c r="V18" s="607"/>
      <c r="W18" s="607"/>
      <c r="X18" s="607"/>
      <c r="Y18" s="607"/>
      <c r="Z18" s="607"/>
      <c r="AA18" s="607"/>
      <c r="AB18" s="607"/>
      <c r="AC18" s="607"/>
      <c r="AD18" s="607"/>
      <c r="AE18" s="607"/>
      <c r="AF18" s="607"/>
      <c r="AG18" s="607"/>
      <c r="AH18" s="607"/>
      <c r="AI18" s="607"/>
      <c r="AJ18" s="607"/>
      <c r="AK18" s="59">
        <f>SUM(F18:AJ18)</f>
        <v>0</v>
      </c>
      <c r="AL18" s="1026"/>
      <c r="AM18" s="41"/>
    </row>
    <row r="19" spans="1:77" ht="14.25" customHeight="1">
      <c r="A19" s="448"/>
      <c r="B19" s="403"/>
      <c r="C19" s="1302"/>
      <c r="D19" s="1303"/>
      <c r="E19" s="30" t="s">
        <v>195</v>
      </c>
      <c r="F19" s="607"/>
      <c r="G19" s="607"/>
      <c r="H19" s="607"/>
      <c r="I19" s="607"/>
      <c r="J19" s="607"/>
      <c r="K19" s="607"/>
      <c r="L19" s="607"/>
      <c r="M19" s="607"/>
      <c r="N19" s="607"/>
      <c r="O19" s="607"/>
      <c r="P19" s="607"/>
      <c r="Q19" s="607"/>
      <c r="R19" s="607"/>
      <c r="S19" s="607"/>
      <c r="T19" s="607"/>
      <c r="U19" s="607"/>
      <c r="V19" s="607"/>
      <c r="W19" s="607"/>
      <c r="X19" s="607"/>
      <c r="Y19" s="607"/>
      <c r="Z19" s="607"/>
      <c r="AA19" s="607"/>
      <c r="AB19" s="607"/>
      <c r="AC19" s="607"/>
      <c r="AD19" s="607"/>
      <c r="AE19" s="607"/>
      <c r="AF19" s="607"/>
      <c r="AG19" s="607"/>
      <c r="AH19" s="607"/>
      <c r="AI19" s="607"/>
      <c r="AJ19" s="607"/>
      <c r="AK19" s="59">
        <f>SUM(F19:AJ19)</f>
        <v>0</v>
      </c>
      <c r="AL19" s="1026"/>
      <c r="AM19" s="41"/>
    </row>
    <row r="20" spans="1:77" ht="14.25" customHeight="1">
      <c r="A20" s="448"/>
      <c r="B20" s="403"/>
      <c r="C20" s="1302"/>
      <c r="D20" s="1303"/>
      <c r="E20" s="30" t="s">
        <v>196</v>
      </c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607"/>
      <c r="AB20" s="607"/>
      <c r="AC20" s="607"/>
      <c r="AD20" s="607"/>
      <c r="AE20" s="607"/>
      <c r="AF20" s="607"/>
      <c r="AG20" s="607"/>
      <c r="AH20" s="607"/>
      <c r="AI20" s="607"/>
      <c r="AJ20" s="607"/>
      <c r="AK20" s="59">
        <f>SUM(F20:AJ20)</f>
        <v>0</v>
      </c>
      <c r="AL20" s="1026"/>
      <c r="AM20" s="41"/>
    </row>
    <row r="21" spans="1:77" ht="14.25" customHeight="1">
      <c r="A21" s="448"/>
      <c r="B21" s="1027"/>
      <c r="C21" s="1304"/>
      <c r="D21" s="1305"/>
      <c r="E21" s="1025" t="s">
        <v>197</v>
      </c>
      <c r="F21" s="87">
        <f>SUM(F16:F20)</f>
        <v>0</v>
      </c>
      <c r="G21" s="87">
        <f t="shared" ref="G21:W21" si="5">SUM(G16:G20)</f>
        <v>0</v>
      </c>
      <c r="H21" s="87">
        <f t="shared" si="5"/>
        <v>0</v>
      </c>
      <c r="I21" s="87">
        <f t="shared" si="5"/>
        <v>0</v>
      </c>
      <c r="J21" s="87">
        <f t="shared" si="5"/>
        <v>0</v>
      </c>
      <c r="K21" s="87">
        <f t="shared" si="5"/>
        <v>0</v>
      </c>
      <c r="L21" s="87">
        <f t="shared" si="5"/>
        <v>0</v>
      </c>
      <c r="M21" s="87">
        <f t="shared" si="5"/>
        <v>0</v>
      </c>
      <c r="N21" s="87">
        <f t="shared" si="5"/>
        <v>0</v>
      </c>
      <c r="O21" s="87">
        <f t="shared" si="5"/>
        <v>0</v>
      </c>
      <c r="P21" s="87">
        <f t="shared" si="5"/>
        <v>0</v>
      </c>
      <c r="Q21" s="87">
        <f t="shared" si="5"/>
        <v>0</v>
      </c>
      <c r="R21" s="87">
        <f t="shared" si="5"/>
        <v>0</v>
      </c>
      <c r="S21" s="87">
        <f t="shared" si="5"/>
        <v>0</v>
      </c>
      <c r="T21" s="87">
        <f t="shared" si="5"/>
        <v>0</v>
      </c>
      <c r="U21" s="87">
        <f t="shared" si="5"/>
        <v>0</v>
      </c>
      <c r="V21" s="87">
        <f t="shared" si="5"/>
        <v>0</v>
      </c>
      <c r="W21" s="87">
        <f t="shared" si="5"/>
        <v>0</v>
      </c>
      <c r="X21" s="87">
        <f>SUM(X16:X20)</f>
        <v>0</v>
      </c>
      <c r="Y21" s="87">
        <f>SUM(Y16:Y20)</f>
        <v>0</v>
      </c>
      <c r="Z21" s="87">
        <f>SUM(Z16:Z20)</f>
        <v>0</v>
      </c>
      <c r="AA21" s="87">
        <f>SUM(AA16:AA20)</f>
        <v>0</v>
      </c>
      <c r="AB21" s="84">
        <f t="shared" ref="AB21:AK21" si="6">SUM(AB16:AB20)</f>
        <v>0</v>
      </c>
      <c r="AC21" s="87">
        <f t="shared" si="6"/>
        <v>0</v>
      </c>
      <c r="AD21" s="87">
        <f t="shared" si="6"/>
        <v>0</v>
      </c>
      <c r="AE21" s="87">
        <f t="shared" si="6"/>
        <v>0</v>
      </c>
      <c r="AF21" s="87">
        <f t="shared" si="6"/>
        <v>0</v>
      </c>
      <c r="AG21" s="87">
        <f t="shared" si="6"/>
        <v>0</v>
      </c>
      <c r="AH21" s="87">
        <f t="shared" si="6"/>
        <v>0</v>
      </c>
      <c r="AI21" s="87">
        <f t="shared" si="6"/>
        <v>0</v>
      </c>
      <c r="AJ21" s="87">
        <f t="shared" si="6"/>
        <v>0</v>
      </c>
      <c r="AK21" s="70">
        <f t="shared" si="6"/>
        <v>0</v>
      </c>
      <c r="AL21" s="1026"/>
      <c r="AM21" s="41"/>
    </row>
    <row r="22" spans="1:77" ht="14.25" customHeight="1">
      <c r="A22" s="448"/>
      <c r="B22" s="1024" t="s">
        <v>190</v>
      </c>
      <c r="C22" s="1300" t="s">
        <v>200</v>
      </c>
      <c r="D22" s="1301"/>
      <c r="E22" s="32" t="s">
        <v>192</v>
      </c>
      <c r="F22" s="607">
        <v>4489.5</v>
      </c>
      <c r="G22" s="607">
        <v>4386</v>
      </c>
      <c r="H22" s="607">
        <v>3888</v>
      </c>
      <c r="I22" s="607">
        <v>16129.5</v>
      </c>
      <c r="J22" s="607">
        <v>11241</v>
      </c>
      <c r="K22" s="607">
        <v>8989.5</v>
      </c>
      <c r="L22" s="607">
        <v>19191</v>
      </c>
      <c r="M22" s="607"/>
      <c r="N22" s="607"/>
      <c r="O22" s="607"/>
      <c r="P22" s="607"/>
      <c r="Q22" s="607"/>
      <c r="R22" s="607"/>
      <c r="S22" s="607"/>
      <c r="T22" s="607"/>
      <c r="U22" s="607"/>
      <c r="V22" s="607"/>
      <c r="W22" s="607"/>
      <c r="X22" s="607"/>
      <c r="Y22" s="607"/>
      <c r="Z22" s="607"/>
      <c r="AA22" s="607"/>
      <c r="AB22" s="607"/>
      <c r="AC22" s="607"/>
      <c r="AD22" s="607"/>
      <c r="AE22" s="607"/>
      <c r="AF22" s="607"/>
      <c r="AG22" s="607"/>
      <c r="AH22" s="607"/>
      <c r="AI22" s="607"/>
      <c r="AJ22" s="607"/>
      <c r="AK22" s="103">
        <f>SUM(F22:AJ22)</f>
        <v>68314.5</v>
      </c>
      <c r="AL22" s="1026"/>
      <c r="AM22" s="41"/>
    </row>
    <row r="23" spans="1:77" ht="14.25" customHeight="1">
      <c r="A23" s="448"/>
      <c r="B23" s="403"/>
      <c r="C23" s="1302"/>
      <c r="D23" s="1303"/>
      <c r="E23" s="30" t="s">
        <v>193</v>
      </c>
      <c r="F23" s="607">
        <v>21678</v>
      </c>
      <c r="G23" s="607">
        <v>26761.5</v>
      </c>
      <c r="H23" s="607">
        <v>25450.5</v>
      </c>
      <c r="I23" s="607">
        <v>10998</v>
      </c>
      <c r="J23" s="607">
        <v>16753.5</v>
      </c>
      <c r="K23" s="607">
        <v>20683.5</v>
      </c>
      <c r="L23" s="607">
        <v>15792</v>
      </c>
      <c r="M23" s="607"/>
      <c r="N23" s="607"/>
      <c r="O23" s="607"/>
      <c r="P23" s="607"/>
      <c r="Q23" s="607"/>
      <c r="R23" s="607"/>
      <c r="S23" s="607"/>
      <c r="T23" s="607"/>
      <c r="U23" s="607"/>
      <c r="V23" s="607"/>
      <c r="W23" s="607"/>
      <c r="X23" s="607"/>
      <c r="Y23" s="607"/>
      <c r="Z23" s="607"/>
      <c r="AA23" s="607"/>
      <c r="AB23" s="607"/>
      <c r="AC23" s="607"/>
      <c r="AD23" s="607"/>
      <c r="AE23" s="607"/>
      <c r="AF23" s="607"/>
      <c r="AG23" s="607"/>
      <c r="AH23" s="607"/>
      <c r="AI23" s="607"/>
      <c r="AJ23" s="607"/>
      <c r="AK23" s="39">
        <f>SUM(F23:AJ23)</f>
        <v>138117</v>
      </c>
      <c r="AL23" s="1026"/>
      <c r="AM23" s="41"/>
    </row>
    <row r="24" spans="1:77" ht="14.25" customHeight="1">
      <c r="A24" s="448"/>
      <c r="B24" s="403"/>
      <c r="C24" s="1302"/>
      <c r="D24" s="1303"/>
      <c r="E24" s="30" t="s">
        <v>194</v>
      </c>
      <c r="F24" s="607">
        <v>1318.5</v>
      </c>
      <c r="G24" s="607"/>
      <c r="H24" s="607">
        <v>1956.75</v>
      </c>
      <c r="I24" s="607">
        <v>1575.75</v>
      </c>
      <c r="J24" s="607">
        <v>2706</v>
      </c>
      <c r="K24" s="607">
        <v>1297.5</v>
      </c>
      <c r="L24" s="607">
        <v>317.25</v>
      </c>
      <c r="M24" s="607"/>
      <c r="N24" s="607"/>
      <c r="O24" s="607"/>
      <c r="P24" s="607"/>
      <c r="Q24" s="607"/>
      <c r="R24" s="607"/>
      <c r="S24" s="607"/>
      <c r="T24" s="607"/>
      <c r="U24" s="607"/>
      <c r="V24" s="607"/>
      <c r="W24" s="607"/>
      <c r="X24" s="607"/>
      <c r="Y24" s="607"/>
      <c r="Z24" s="607"/>
      <c r="AA24" s="607"/>
      <c r="AB24" s="607"/>
      <c r="AC24" s="607"/>
      <c r="AD24" s="607"/>
      <c r="AE24" s="607"/>
      <c r="AF24" s="607"/>
      <c r="AG24" s="607"/>
      <c r="AH24" s="607"/>
      <c r="AI24" s="607"/>
      <c r="AJ24" s="607"/>
      <c r="AK24" s="59">
        <f>SUM(F24:AJ24)</f>
        <v>9171.75</v>
      </c>
      <c r="AL24" s="1026"/>
      <c r="AM24" s="41"/>
    </row>
    <row r="25" spans="1:77" ht="14.25" customHeight="1">
      <c r="A25" s="448"/>
      <c r="B25" s="403"/>
      <c r="C25" s="1302"/>
      <c r="D25" s="1303"/>
      <c r="E25" s="30" t="s">
        <v>195</v>
      </c>
      <c r="F25" s="607"/>
      <c r="G25" s="607"/>
      <c r="H25" s="607"/>
      <c r="I25" s="607"/>
      <c r="J25" s="607"/>
      <c r="K25" s="607"/>
      <c r="L25" s="607"/>
      <c r="M25" s="607"/>
      <c r="N25" s="607"/>
      <c r="O25" s="607"/>
      <c r="P25" s="607"/>
      <c r="Q25" s="607"/>
      <c r="R25" s="607"/>
      <c r="S25" s="607"/>
      <c r="T25" s="607"/>
      <c r="U25" s="607"/>
      <c r="V25" s="607"/>
      <c r="W25" s="607"/>
      <c r="X25" s="607"/>
      <c r="Y25" s="607"/>
      <c r="Z25" s="607"/>
      <c r="AA25" s="607"/>
      <c r="AB25" s="607"/>
      <c r="AC25" s="607"/>
      <c r="AD25" s="607"/>
      <c r="AE25" s="607"/>
      <c r="AF25" s="607"/>
      <c r="AG25" s="607"/>
      <c r="AH25" s="607"/>
      <c r="AI25" s="607"/>
      <c r="AJ25" s="607"/>
      <c r="AK25" s="59">
        <f>SUM(F25:AJ25)</f>
        <v>0</v>
      </c>
      <c r="AL25" s="1026"/>
      <c r="AM25" s="41"/>
    </row>
    <row r="26" spans="1:77" ht="14.25" customHeight="1">
      <c r="A26" s="448"/>
      <c r="B26" s="403"/>
      <c r="C26" s="1302"/>
      <c r="D26" s="1303"/>
      <c r="E26" s="30" t="s">
        <v>196</v>
      </c>
      <c r="F26" s="607">
        <v>7501.5</v>
      </c>
      <c r="G26" s="607">
        <v>5446.5</v>
      </c>
      <c r="H26" s="607">
        <v>1414.5</v>
      </c>
      <c r="I26" s="607">
        <v>3966</v>
      </c>
      <c r="J26" s="607">
        <v>849</v>
      </c>
      <c r="K26" s="607">
        <v>2391</v>
      </c>
      <c r="L26" s="607">
        <v>1270.5</v>
      </c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607"/>
      <c r="AB26" s="607"/>
      <c r="AC26" s="607"/>
      <c r="AD26" s="607"/>
      <c r="AE26" s="607"/>
      <c r="AF26" s="607"/>
      <c r="AG26" s="607"/>
      <c r="AH26" s="607"/>
      <c r="AI26" s="607"/>
      <c r="AJ26" s="607"/>
      <c r="AK26" s="59">
        <f>SUM(F26:AJ26)</f>
        <v>22839</v>
      </c>
      <c r="AL26" s="1026"/>
      <c r="AM26" s="41"/>
    </row>
    <row r="27" spans="1:77" ht="14.25" customHeight="1">
      <c r="A27" s="448"/>
      <c r="B27" s="1027"/>
      <c r="C27" s="1304"/>
      <c r="D27" s="1305"/>
      <c r="E27" s="1025" t="s">
        <v>197</v>
      </c>
      <c r="F27" s="87">
        <f>SUM(F22:F26)</f>
        <v>34987.5</v>
      </c>
      <c r="G27" s="87">
        <f t="shared" ref="G27:W27" si="7">SUM(G22:G26)</f>
        <v>36594</v>
      </c>
      <c r="H27" s="87">
        <f t="shared" si="7"/>
        <v>32709.75</v>
      </c>
      <c r="I27" s="87">
        <f t="shared" si="7"/>
        <v>32669.25</v>
      </c>
      <c r="J27" s="87">
        <f t="shared" si="7"/>
        <v>31549.5</v>
      </c>
      <c r="K27" s="87">
        <f t="shared" si="7"/>
        <v>33361.5</v>
      </c>
      <c r="L27" s="87">
        <f t="shared" si="7"/>
        <v>36570.75</v>
      </c>
      <c r="M27" s="87">
        <f t="shared" si="7"/>
        <v>0</v>
      </c>
      <c r="N27" s="87">
        <f t="shared" si="7"/>
        <v>0</v>
      </c>
      <c r="O27" s="87">
        <f t="shared" si="7"/>
        <v>0</v>
      </c>
      <c r="P27" s="87">
        <f t="shared" si="7"/>
        <v>0</v>
      </c>
      <c r="Q27" s="87">
        <f t="shared" si="7"/>
        <v>0</v>
      </c>
      <c r="R27" s="87">
        <f t="shared" si="7"/>
        <v>0</v>
      </c>
      <c r="S27" s="87">
        <f t="shared" si="7"/>
        <v>0</v>
      </c>
      <c r="T27" s="87">
        <f t="shared" si="7"/>
        <v>0</v>
      </c>
      <c r="U27" s="87">
        <f t="shared" si="7"/>
        <v>0</v>
      </c>
      <c r="V27" s="87">
        <f t="shared" si="7"/>
        <v>0</v>
      </c>
      <c r="W27" s="87">
        <f t="shared" si="7"/>
        <v>0</v>
      </c>
      <c r="X27" s="87">
        <f>SUM(X22:X26)</f>
        <v>0</v>
      </c>
      <c r="Y27" s="87">
        <f>SUM(Y22:Y26)</f>
        <v>0</v>
      </c>
      <c r="Z27" s="87">
        <f>SUM(Z22:Z26)</f>
        <v>0</v>
      </c>
      <c r="AA27" s="87">
        <f>SUM(AA22:AA26)</f>
        <v>0</v>
      </c>
      <c r="AB27" s="84">
        <f t="shared" ref="AB27:AK27" si="8">SUM(AB22:AB26)</f>
        <v>0</v>
      </c>
      <c r="AC27" s="87">
        <f t="shared" si="8"/>
        <v>0</v>
      </c>
      <c r="AD27" s="87">
        <f t="shared" si="8"/>
        <v>0</v>
      </c>
      <c r="AE27" s="87">
        <f t="shared" si="8"/>
        <v>0</v>
      </c>
      <c r="AF27" s="87">
        <f t="shared" si="8"/>
        <v>0</v>
      </c>
      <c r="AG27" s="87">
        <f t="shared" si="8"/>
        <v>0</v>
      </c>
      <c r="AH27" s="87">
        <f t="shared" si="8"/>
        <v>0</v>
      </c>
      <c r="AI27" s="87">
        <f t="shared" si="8"/>
        <v>0</v>
      </c>
      <c r="AJ27" s="87">
        <f t="shared" si="8"/>
        <v>0</v>
      </c>
      <c r="AK27" s="70">
        <f t="shared" si="8"/>
        <v>238442.25</v>
      </c>
      <c r="AL27" s="1026"/>
      <c r="AM27" s="41"/>
    </row>
    <row r="28" spans="1:77">
      <c r="A28" s="448"/>
      <c r="B28" s="1300" t="s">
        <v>72</v>
      </c>
      <c r="C28" s="1337"/>
      <c r="D28" s="1301"/>
      <c r="E28" s="77" t="s">
        <v>192</v>
      </c>
      <c r="F28" s="62">
        <f>F4</f>
        <v>4489.5</v>
      </c>
      <c r="G28" s="62">
        <f t="shared" ref="G28:AJ28" si="9">G4</f>
        <v>4386</v>
      </c>
      <c r="H28" s="62">
        <f t="shared" ref="H28" si="10">H4</f>
        <v>3888</v>
      </c>
      <c r="I28" s="62">
        <f t="shared" si="9"/>
        <v>16129.5</v>
      </c>
      <c r="J28" s="62">
        <f t="shared" si="9"/>
        <v>11241</v>
      </c>
      <c r="K28" s="62">
        <f t="shared" si="9"/>
        <v>8989.5</v>
      </c>
      <c r="L28" s="62">
        <f t="shared" si="9"/>
        <v>19191</v>
      </c>
      <c r="M28" s="62">
        <f t="shared" si="9"/>
        <v>0</v>
      </c>
      <c r="N28" s="62">
        <f t="shared" si="9"/>
        <v>0</v>
      </c>
      <c r="O28" s="62">
        <f t="shared" si="9"/>
        <v>0</v>
      </c>
      <c r="P28" s="62">
        <f t="shared" si="9"/>
        <v>0</v>
      </c>
      <c r="Q28" s="62">
        <f t="shared" si="9"/>
        <v>0</v>
      </c>
      <c r="R28" s="62">
        <f t="shared" si="9"/>
        <v>0</v>
      </c>
      <c r="S28" s="62">
        <f t="shared" si="9"/>
        <v>0</v>
      </c>
      <c r="T28" s="62">
        <f t="shared" si="9"/>
        <v>0</v>
      </c>
      <c r="U28" s="62">
        <f t="shared" si="9"/>
        <v>0</v>
      </c>
      <c r="V28" s="62">
        <f t="shared" si="9"/>
        <v>0</v>
      </c>
      <c r="W28" s="62">
        <f t="shared" si="9"/>
        <v>0</v>
      </c>
      <c r="X28" s="62">
        <f t="shared" si="9"/>
        <v>0</v>
      </c>
      <c r="Y28" s="62">
        <f t="shared" si="9"/>
        <v>0</v>
      </c>
      <c r="Z28" s="62">
        <f t="shared" si="9"/>
        <v>0</v>
      </c>
      <c r="AA28" s="62">
        <f t="shared" si="9"/>
        <v>0</v>
      </c>
      <c r="AB28" s="62">
        <f t="shared" si="9"/>
        <v>0</v>
      </c>
      <c r="AC28" s="62">
        <f t="shared" si="9"/>
        <v>0</v>
      </c>
      <c r="AD28" s="62">
        <f t="shared" si="9"/>
        <v>0</v>
      </c>
      <c r="AE28" s="62">
        <f t="shared" si="9"/>
        <v>0</v>
      </c>
      <c r="AF28" s="62">
        <f t="shared" si="9"/>
        <v>0</v>
      </c>
      <c r="AG28" s="62">
        <f t="shared" si="9"/>
        <v>0</v>
      </c>
      <c r="AH28" s="62">
        <f t="shared" si="9"/>
        <v>0</v>
      </c>
      <c r="AI28" s="62">
        <f t="shared" si="9"/>
        <v>0</v>
      </c>
      <c r="AJ28" s="62">
        <f t="shared" si="9"/>
        <v>0</v>
      </c>
      <c r="AK28" s="828">
        <f t="shared" ref="AK28:AK33" si="11">SUM(F28:AJ28)</f>
        <v>68314.5</v>
      </c>
      <c r="AL28" s="40">
        <f>AL4</f>
        <v>19191</v>
      </c>
    </row>
    <row r="29" spans="1:77">
      <c r="A29" s="448"/>
      <c r="B29" s="1302"/>
      <c r="C29" s="1338"/>
      <c r="D29" s="1303"/>
      <c r="E29" s="78" t="s">
        <v>193</v>
      </c>
      <c r="F29" s="62">
        <f>F5</f>
        <v>21678</v>
      </c>
      <c r="G29" s="62">
        <f t="shared" ref="G29:AJ29" si="12">G5</f>
        <v>26761.5</v>
      </c>
      <c r="H29" s="62">
        <f t="shared" ref="H29" si="13">H5</f>
        <v>25450.5</v>
      </c>
      <c r="I29" s="62">
        <f t="shared" si="12"/>
        <v>10998</v>
      </c>
      <c r="J29" s="62">
        <f t="shared" si="12"/>
        <v>16753.5</v>
      </c>
      <c r="K29" s="62">
        <f t="shared" si="12"/>
        <v>20683.5</v>
      </c>
      <c r="L29" s="62">
        <f t="shared" si="12"/>
        <v>15792</v>
      </c>
      <c r="M29" s="62">
        <f t="shared" si="12"/>
        <v>0</v>
      </c>
      <c r="N29" s="62">
        <f t="shared" si="12"/>
        <v>0</v>
      </c>
      <c r="O29" s="62">
        <f t="shared" si="12"/>
        <v>0</v>
      </c>
      <c r="P29" s="62">
        <f t="shared" si="12"/>
        <v>0</v>
      </c>
      <c r="Q29" s="62">
        <f t="shared" si="12"/>
        <v>0</v>
      </c>
      <c r="R29" s="62">
        <f t="shared" si="12"/>
        <v>0</v>
      </c>
      <c r="S29" s="62">
        <f t="shared" si="12"/>
        <v>0</v>
      </c>
      <c r="T29" s="62">
        <f t="shared" si="12"/>
        <v>0</v>
      </c>
      <c r="U29" s="62">
        <f t="shared" si="12"/>
        <v>0</v>
      </c>
      <c r="V29" s="62">
        <f t="shared" si="12"/>
        <v>0</v>
      </c>
      <c r="W29" s="62">
        <f t="shared" si="12"/>
        <v>0</v>
      </c>
      <c r="X29" s="62">
        <f t="shared" si="12"/>
        <v>0</v>
      </c>
      <c r="Y29" s="62">
        <f t="shared" si="12"/>
        <v>0</v>
      </c>
      <c r="Z29" s="62">
        <f t="shared" si="12"/>
        <v>0</v>
      </c>
      <c r="AA29" s="62">
        <f t="shared" si="12"/>
        <v>0</v>
      </c>
      <c r="AB29" s="62">
        <f t="shared" si="12"/>
        <v>0</v>
      </c>
      <c r="AC29" s="62">
        <f t="shared" si="12"/>
        <v>0</v>
      </c>
      <c r="AD29" s="62">
        <f t="shared" si="12"/>
        <v>0</v>
      </c>
      <c r="AE29" s="62">
        <f t="shared" si="12"/>
        <v>0</v>
      </c>
      <c r="AF29" s="62">
        <f t="shared" si="12"/>
        <v>0</v>
      </c>
      <c r="AG29" s="62">
        <f t="shared" si="12"/>
        <v>0</v>
      </c>
      <c r="AH29" s="62">
        <f t="shared" si="12"/>
        <v>0</v>
      </c>
      <c r="AI29" s="62">
        <f t="shared" ref="G29:AJ30" si="14">AI5</f>
        <v>0</v>
      </c>
      <c r="AJ29" s="62">
        <f t="shared" si="12"/>
        <v>0</v>
      </c>
      <c r="AK29" s="828">
        <f t="shared" si="11"/>
        <v>138117</v>
      </c>
      <c r="AL29" s="40">
        <f>AL5</f>
        <v>15792</v>
      </c>
    </row>
    <row r="30" spans="1:77">
      <c r="A30" s="448"/>
      <c r="B30" s="1302"/>
      <c r="C30" s="1338"/>
      <c r="D30" s="1303"/>
      <c r="E30" s="78" t="s">
        <v>194</v>
      </c>
      <c r="F30" s="62">
        <f>F6</f>
        <v>1318.5</v>
      </c>
      <c r="G30" s="62">
        <f t="shared" si="14"/>
        <v>0</v>
      </c>
      <c r="H30" s="62">
        <f t="shared" ref="H30" si="15">H6</f>
        <v>1956.75</v>
      </c>
      <c r="I30" s="62">
        <f t="shared" si="14"/>
        <v>1575.75</v>
      </c>
      <c r="J30" s="62">
        <f t="shared" si="14"/>
        <v>2706</v>
      </c>
      <c r="K30" s="62">
        <f t="shared" si="14"/>
        <v>1297.5</v>
      </c>
      <c r="L30" s="62">
        <f t="shared" si="14"/>
        <v>317.25</v>
      </c>
      <c r="M30" s="62">
        <f t="shared" si="14"/>
        <v>0</v>
      </c>
      <c r="N30" s="62">
        <f t="shared" si="14"/>
        <v>0</v>
      </c>
      <c r="O30" s="62">
        <f t="shared" si="14"/>
        <v>0</v>
      </c>
      <c r="P30" s="62">
        <f t="shared" si="14"/>
        <v>0</v>
      </c>
      <c r="Q30" s="62">
        <f t="shared" si="14"/>
        <v>0</v>
      </c>
      <c r="R30" s="62">
        <f t="shared" si="14"/>
        <v>0</v>
      </c>
      <c r="S30" s="62">
        <f t="shared" si="14"/>
        <v>0</v>
      </c>
      <c r="T30" s="62">
        <f t="shared" si="14"/>
        <v>0</v>
      </c>
      <c r="U30" s="62">
        <f t="shared" si="14"/>
        <v>0</v>
      </c>
      <c r="V30" s="62">
        <f t="shared" si="14"/>
        <v>0</v>
      </c>
      <c r="W30" s="62">
        <f t="shared" si="14"/>
        <v>0</v>
      </c>
      <c r="X30" s="62">
        <f t="shared" si="14"/>
        <v>0</v>
      </c>
      <c r="Y30" s="62">
        <f t="shared" si="14"/>
        <v>0</v>
      </c>
      <c r="Z30" s="62">
        <f t="shared" si="14"/>
        <v>0</v>
      </c>
      <c r="AA30" s="62">
        <f t="shared" si="14"/>
        <v>0</v>
      </c>
      <c r="AB30" s="62">
        <f t="shared" si="14"/>
        <v>0</v>
      </c>
      <c r="AC30" s="62">
        <f t="shared" si="14"/>
        <v>0</v>
      </c>
      <c r="AD30" s="62">
        <f t="shared" si="14"/>
        <v>0</v>
      </c>
      <c r="AE30" s="62">
        <f t="shared" si="14"/>
        <v>0</v>
      </c>
      <c r="AF30" s="62">
        <f t="shared" si="14"/>
        <v>0</v>
      </c>
      <c r="AG30" s="62">
        <f t="shared" si="14"/>
        <v>0</v>
      </c>
      <c r="AH30" s="62">
        <f t="shared" si="14"/>
        <v>0</v>
      </c>
      <c r="AI30" s="62">
        <f t="shared" si="14"/>
        <v>0</v>
      </c>
      <c r="AJ30" s="62">
        <f t="shared" si="14"/>
        <v>0</v>
      </c>
      <c r="AK30" s="828">
        <f t="shared" si="11"/>
        <v>9171.75</v>
      </c>
      <c r="AL30" s="40">
        <f>AL6</f>
        <v>317.25</v>
      </c>
    </row>
    <row r="31" spans="1:77">
      <c r="A31" s="448"/>
      <c r="B31" s="1302"/>
      <c r="C31" s="1338"/>
      <c r="D31" s="1303"/>
      <c r="E31" s="78" t="s">
        <v>195</v>
      </c>
      <c r="F31" s="62">
        <f>F7</f>
        <v>0</v>
      </c>
      <c r="G31" s="62">
        <f t="shared" ref="G31:AJ31" si="16">G7</f>
        <v>0</v>
      </c>
      <c r="H31" s="62">
        <f t="shared" ref="H31" si="17">H7</f>
        <v>0</v>
      </c>
      <c r="I31" s="62">
        <f t="shared" si="16"/>
        <v>0</v>
      </c>
      <c r="J31" s="62">
        <f t="shared" si="16"/>
        <v>0</v>
      </c>
      <c r="K31" s="62">
        <f t="shared" si="16"/>
        <v>0</v>
      </c>
      <c r="L31" s="62">
        <f t="shared" si="16"/>
        <v>0</v>
      </c>
      <c r="M31" s="62">
        <f t="shared" si="16"/>
        <v>0</v>
      </c>
      <c r="N31" s="62">
        <f t="shared" si="16"/>
        <v>0</v>
      </c>
      <c r="O31" s="62">
        <f t="shared" si="16"/>
        <v>0</v>
      </c>
      <c r="P31" s="62">
        <f t="shared" si="16"/>
        <v>0</v>
      </c>
      <c r="Q31" s="62">
        <f t="shared" si="16"/>
        <v>0</v>
      </c>
      <c r="R31" s="62">
        <f t="shared" si="16"/>
        <v>0</v>
      </c>
      <c r="S31" s="62">
        <f t="shared" si="16"/>
        <v>0</v>
      </c>
      <c r="T31" s="62">
        <f t="shared" si="16"/>
        <v>0</v>
      </c>
      <c r="U31" s="62">
        <f t="shared" si="16"/>
        <v>0</v>
      </c>
      <c r="V31" s="62">
        <f t="shared" si="16"/>
        <v>0</v>
      </c>
      <c r="W31" s="62">
        <f t="shared" si="16"/>
        <v>0</v>
      </c>
      <c r="X31" s="62">
        <f t="shared" si="16"/>
        <v>0</v>
      </c>
      <c r="Y31" s="62">
        <f t="shared" si="16"/>
        <v>0</v>
      </c>
      <c r="Z31" s="62">
        <f t="shared" si="16"/>
        <v>0</v>
      </c>
      <c r="AA31" s="62">
        <f t="shared" si="16"/>
        <v>0</v>
      </c>
      <c r="AB31" s="62">
        <f t="shared" si="16"/>
        <v>0</v>
      </c>
      <c r="AC31" s="62">
        <f t="shared" si="16"/>
        <v>0</v>
      </c>
      <c r="AD31" s="62">
        <f t="shared" si="16"/>
        <v>0</v>
      </c>
      <c r="AE31" s="62">
        <f t="shared" si="16"/>
        <v>0</v>
      </c>
      <c r="AF31" s="62">
        <f t="shared" si="16"/>
        <v>0</v>
      </c>
      <c r="AG31" s="62">
        <f t="shared" si="16"/>
        <v>0</v>
      </c>
      <c r="AH31" s="62">
        <f t="shared" si="16"/>
        <v>0</v>
      </c>
      <c r="AI31" s="62">
        <f t="shared" si="16"/>
        <v>0</v>
      </c>
      <c r="AJ31" s="62">
        <f t="shared" si="16"/>
        <v>0</v>
      </c>
      <c r="AK31" s="828">
        <f t="shared" si="11"/>
        <v>0</v>
      </c>
      <c r="AL31" s="40">
        <f>AL7</f>
        <v>0</v>
      </c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</row>
    <row r="32" spans="1:77">
      <c r="A32" s="448"/>
      <c r="B32" s="1302"/>
      <c r="C32" s="1338"/>
      <c r="D32" s="1303"/>
      <c r="E32" s="79" t="s">
        <v>196</v>
      </c>
      <c r="F32" s="62">
        <f>F8</f>
        <v>7501.5</v>
      </c>
      <c r="G32" s="62">
        <f t="shared" ref="G32:AJ32" si="18">G8</f>
        <v>5446.5</v>
      </c>
      <c r="H32" s="62">
        <f t="shared" ref="H32" si="19">H8</f>
        <v>1414.5</v>
      </c>
      <c r="I32" s="62">
        <f t="shared" si="18"/>
        <v>3966</v>
      </c>
      <c r="J32" s="62">
        <f t="shared" si="18"/>
        <v>849</v>
      </c>
      <c r="K32" s="62">
        <f t="shared" si="18"/>
        <v>2391</v>
      </c>
      <c r="L32" s="62">
        <f t="shared" si="18"/>
        <v>1270.5</v>
      </c>
      <c r="M32" s="62">
        <f t="shared" si="18"/>
        <v>0</v>
      </c>
      <c r="N32" s="62">
        <f t="shared" si="18"/>
        <v>0</v>
      </c>
      <c r="O32" s="62">
        <f t="shared" si="18"/>
        <v>0</v>
      </c>
      <c r="P32" s="62">
        <f t="shared" si="18"/>
        <v>0</v>
      </c>
      <c r="Q32" s="62">
        <f t="shared" si="18"/>
        <v>0</v>
      </c>
      <c r="R32" s="62">
        <f t="shared" si="18"/>
        <v>0</v>
      </c>
      <c r="S32" s="62">
        <f t="shared" si="18"/>
        <v>0</v>
      </c>
      <c r="T32" s="62">
        <f t="shared" si="18"/>
        <v>0</v>
      </c>
      <c r="U32" s="62">
        <f t="shared" si="18"/>
        <v>0</v>
      </c>
      <c r="V32" s="62">
        <f t="shared" si="18"/>
        <v>0</v>
      </c>
      <c r="W32" s="62">
        <f t="shared" si="18"/>
        <v>0</v>
      </c>
      <c r="X32" s="62">
        <f t="shared" si="18"/>
        <v>0</v>
      </c>
      <c r="Y32" s="62">
        <f t="shared" si="18"/>
        <v>0</v>
      </c>
      <c r="Z32" s="62">
        <f t="shared" si="18"/>
        <v>0</v>
      </c>
      <c r="AA32" s="62">
        <f t="shared" si="18"/>
        <v>0</v>
      </c>
      <c r="AB32" s="62">
        <f t="shared" si="18"/>
        <v>0</v>
      </c>
      <c r="AC32" s="62">
        <f t="shared" si="18"/>
        <v>0</v>
      </c>
      <c r="AD32" s="62">
        <f t="shared" si="18"/>
        <v>0</v>
      </c>
      <c r="AE32" s="62">
        <f t="shared" si="18"/>
        <v>0</v>
      </c>
      <c r="AF32" s="62">
        <f t="shared" si="18"/>
        <v>0</v>
      </c>
      <c r="AG32" s="62">
        <f t="shared" si="18"/>
        <v>0</v>
      </c>
      <c r="AH32" s="62">
        <f t="shared" si="18"/>
        <v>0</v>
      </c>
      <c r="AI32" s="62">
        <f t="shared" si="18"/>
        <v>0</v>
      </c>
      <c r="AJ32" s="62">
        <f t="shared" si="18"/>
        <v>0</v>
      </c>
      <c r="AK32" s="828">
        <f t="shared" si="11"/>
        <v>22839</v>
      </c>
      <c r="AL32" s="40">
        <f>AL8</f>
        <v>1270.5</v>
      </c>
    </row>
    <row r="33" spans="1:77">
      <c r="A33" s="448"/>
      <c r="B33" s="1302"/>
      <c r="C33" s="1338"/>
      <c r="D33" s="1303"/>
      <c r="E33" s="825" t="s">
        <v>201</v>
      </c>
      <c r="F33" s="826">
        <f>+F15</f>
        <v>0</v>
      </c>
      <c r="G33" s="826">
        <f t="shared" ref="G33:AJ33" si="20">+G15</f>
        <v>0</v>
      </c>
      <c r="H33" s="826">
        <f t="shared" ref="H33" si="21">+H15</f>
        <v>0</v>
      </c>
      <c r="I33" s="826">
        <f t="shared" si="20"/>
        <v>709.5</v>
      </c>
      <c r="J33" s="826">
        <f t="shared" si="20"/>
        <v>594</v>
      </c>
      <c r="K33" s="826">
        <f t="shared" si="20"/>
        <v>2004</v>
      </c>
      <c r="L33" s="826">
        <f t="shared" si="20"/>
        <v>0</v>
      </c>
      <c r="M33" s="826">
        <f t="shared" si="20"/>
        <v>0</v>
      </c>
      <c r="N33" s="826">
        <f t="shared" si="20"/>
        <v>0</v>
      </c>
      <c r="O33" s="826">
        <f t="shared" si="20"/>
        <v>0</v>
      </c>
      <c r="P33" s="826">
        <f t="shared" si="20"/>
        <v>0</v>
      </c>
      <c r="Q33" s="826">
        <f t="shared" si="20"/>
        <v>0</v>
      </c>
      <c r="R33" s="826">
        <f t="shared" si="20"/>
        <v>0</v>
      </c>
      <c r="S33" s="826">
        <f t="shared" si="20"/>
        <v>0</v>
      </c>
      <c r="T33" s="826">
        <f t="shared" si="20"/>
        <v>0</v>
      </c>
      <c r="U33" s="826">
        <f t="shared" si="20"/>
        <v>0</v>
      </c>
      <c r="V33" s="826">
        <f t="shared" si="20"/>
        <v>0</v>
      </c>
      <c r="W33" s="826">
        <f t="shared" si="20"/>
        <v>0</v>
      </c>
      <c r="X33" s="826">
        <f t="shared" si="20"/>
        <v>0</v>
      </c>
      <c r="Y33" s="826">
        <f t="shared" si="20"/>
        <v>0</v>
      </c>
      <c r="Z33" s="826">
        <f t="shared" si="20"/>
        <v>0</v>
      </c>
      <c r="AA33" s="826">
        <f t="shared" si="20"/>
        <v>0</v>
      </c>
      <c r="AB33" s="826">
        <f t="shared" si="20"/>
        <v>0</v>
      </c>
      <c r="AC33" s="826">
        <f t="shared" si="20"/>
        <v>0</v>
      </c>
      <c r="AD33" s="826">
        <f t="shared" si="20"/>
        <v>0</v>
      </c>
      <c r="AE33" s="826">
        <f t="shared" si="20"/>
        <v>0</v>
      </c>
      <c r="AF33" s="826">
        <f t="shared" si="20"/>
        <v>0</v>
      </c>
      <c r="AG33" s="826">
        <f t="shared" si="20"/>
        <v>0</v>
      </c>
      <c r="AH33" s="826">
        <f t="shared" si="20"/>
        <v>0</v>
      </c>
      <c r="AI33" s="826">
        <f t="shared" si="20"/>
        <v>0</v>
      </c>
      <c r="AJ33" s="826">
        <f t="shared" si="20"/>
        <v>0</v>
      </c>
      <c r="AK33" s="828">
        <f t="shared" si="11"/>
        <v>3307.5</v>
      </c>
      <c r="AL33" s="827"/>
      <c r="AT33" s="65">
        <f>F$125</f>
        <v>0</v>
      </c>
      <c r="AU33" s="65">
        <f t="shared" ref="AU33:BX33" si="22">G$125</f>
        <v>0</v>
      </c>
      <c r="AV33" s="65">
        <f t="shared" si="22"/>
        <v>0</v>
      </c>
      <c r="AW33" s="65">
        <f t="shared" si="22"/>
        <v>0</v>
      </c>
      <c r="AX33" s="65">
        <f t="shared" si="22"/>
        <v>0</v>
      </c>
      <c r="AY33" s="65">
        <f t="shared" si="22"/>
        <v>0</v>
      </c>
      <c r="AZ33" s="65">
        <f t="shared" si="22"/>
        <v>0</v>
      </c>
      <c r="BA33" s="65">
        <f t="shared" si="22"/>
        <v>0</v>
      </c>
      <c r="BB33" s="65">
        <f t="shared" si="22"/>
        <v>0</v>
      </c>
      <c r="BC33" s="65">
        <f t="shared" si="22"/>
        <v>0</v>
      </c>
      <c r="BD33" s="65">
        <f t="shared" si="22"/>
        <v>0</v>
      </c>
      <c r="BE33" s="65">
        <f t="shared" si="22"/>
        <v>0</v>
      </c>
      <c r="BF33" s="65">
        <f t="shared" si="22"/>
        <v>0</v>
      </c>
      <c r="BG33" s="65">
        <f t="shared" si="22"/>
        <v>0</v>
      </c>
      <c r="BH33" s="65">
        <f t="shared" si="22"/>
        <v>0</v>
      </c>
      <c r="BI33" s="65">
        <f t="shared" si="22"/>
        <v>0</v>
      </c>
      <c r="BJ33" s="65">
        <f t="shared" si="22"/>
        <v>0</v>
      </c>
      <c r="BK33" s="65">
        <f t="shared" si="22"/>
        <v>0</v>
      </c>
      <c r="BL33" s="65">
        <f t="shared" si="22"/>
        <v>0</v>
      </c>
      <c r="BM33" s="65">
        <f t="shared" si="22"/>
        <v>0</v>
      </c>
      <c r="BN33" s="65">
        <f t="shared" si="22"/>
        <v>0</v>
      </c>
      <c r="BO33" s="65">
        <f t="shared" si="22"/>
        <v>0</v>
      </c>
      <c r="BP33" s="65">
        <f t="shared" si="22"/>
        <v>0</v>
      </c>
      <c r="BQ33" s="65">
        <f t="shared" si="22"/>
        <v>0</v>
      </c>
      <c r="BR33" s="65">
        <f t="shared" si="22"/>
        <v>0</v>
      </c>
      <c r="BS33" s="65">
        <f t="shared" si="22"/>
        <v>0</v>
      </c>
      <c r="BT33" s="65">
        <f t="shared" si="22"/>
        <v>0</v>
      </c>
      <c r="BU33" s="65">
        <f t="shared" si="22"/>
        <v>0</v>
      </c>
      <c r="BV33" s="65">
        <f t="shared" si="22"/>
        <v>0</v>
      </c>
      <c r="BW33" s="65">
        <f t="shared" si="22"/>
        <v>0</v>
      </c>
      <c r="BX33" s="65">
        <f t="shared" si="22"/>
        <v>0</v>
      </c>
    </row>
    <row r="34" spans="1:77" s="301" customFormat="1">
      <c r="A34" s="448"/>
      <c r="B34" s="1304"/>
      <c r="C34" s="1339"/>
      <c r="D34" s="1305"/>
      <c r="E34" s="610" t="s">
        <v>197</v>
      </c>
      <c r="F34" s="611">
        <f>SUM(F28:F33)</f>
        <v>34987.5</v>
      </c>
      <c r="G34" s="611">
        <f t="shared" ref="G34:T34" si="23">SUM(G28:G33)</f>
        <v>36594</v>
      </c>
      <c r="H34" s="611">
        <f t="shared" si="23"/>
        <v>32709.75</v>
      </c>
      <c r="I34" s="611">
        <f t="shared" si="23"/>
        <v>33378.75</v>
      </c>
      <c r="J34" s="611">
        <f t="shared" si="23"/>
        <v>32143.5</v>
      </c>
      <c r="K34" s="611">
        <f t="shared" si="23"/>
        <v>35365.5</v>
      </c>
      <c r="L34" s="611">
        <f t="shared" si="23"/>
        <v>36570.75</v>
      </c>
      <c r="M34" s="611">
        <f t="shared" si="23"/>
        <v>0</v>
      </c>
      <c r="N34" s="611">
        <f t="shared" si="23"/>
        <v>0</v>
      </c>
      <c r="O34" s="611">
        <f t="shared" si="23"/>
        <v>0</v>
      </c>
      <c r="P34" s="611">
        <f t="shared" si="23"/>
        <v>0</v>
      </c>
      <c r="Q34" s="611">
        <f t="shared" si="23"/>
        <v>0</v>
      </c>
      <c r="R34" s="611">
        <f t="shared" si="23"/>
        <v>0</v>
      </c>
      <c r="S34" s="611">
        <f t="shared" si="23"/>
        <v>0</v>
      </c>
      <c r="T34" s="611">
        <f t="shared" si="23"/>
        <v>0</v>
      </c>
      <c r="U34" s="611">
        <f t="shared" ref="U34:AK34" si="24">SUM(U28:U33)</f>
        <v>0</v>
      </c>
      <c r="V34" s="611">
        <f t="shared" si="24"/>
        <v>0</v>
      </c>
      <c r="W34" s="611">
        <f t="shared" si="24"/>
        <v>0</v>
      </c>
      <c r="X34" s="611">
        <f t="shared" si="24"/>
        <v>0</v>
      </c>
      <c r="Y34" s="611">
        <f t="shared" si="24"/>
        <v>0</v>
      </c>
      <c r="Z34" s="611">
        <f t="shared" si="24"/>
        <v>0</v>
      </c>
      <c r="AA34" s="611">
        <f t="shared" si="24"/>
        <v>0</v>
      </c>
      <c r="AB34" s="611">
        <f t="shared" si="24"/>
        <v>0</v>
      </c>
      <c r="AC34" s="611">
        <f t="shared" si="24"/>
        <v>0</v>
      </c>
      <c r="AD34" s="611">
        <f t="shared" si="24"/>
        <v>0</v>
      </c>
      <c r="AE34" s="611">
        <f t="shared" si="24"/>
        <v>0</v>
      </c>
      <c r="AF34" s="611">
        <f t="shared" si="24"/>
        <v>0</v>
      </c>
      <c r="AG34" s="611">
        <f t="shared" si="24"/>
        <v>0</v>
      </c>
      <c r="AH34" s="611">
        <f t="shared" si="24"/>
        <v>0</v>
      </c>
      <c r="AI34" s="611">
        <f t="shared" si="24"/>
        <v>0</v>
      </c>
      <c r="AJ34" s="611">
        <f t="shared" si="24"/>
        <v>0</v>
      </c>
      <c r="AK34" s="611">
        <f t="shared" si="24"/>
        <v>241749.75</v>
      </c>
      <c r="AL34" s="612">
        <f>SUM(AL28:AL32)</f>
        <v>36570.75</v>
      </c>
      <c r="AM34" s="284">
        <f>HLOOKUP(LEFT(Summary!D3,2),Actual!F3:AJ34,6,FALSE)</f>
        <v>1270.5</v>
      </c>
      <c r="AQ34" s="310"/>
      <c r="AU34" s="1165"/>
      <c r="AV34" s="1165"/>
      <c r="AW34" s="1165"/>
      <c r="AX34" s="1165"/>
      <c r="AY34" s="1165"/>
      <c r="AZ34" s="1165"/>
      <c r="BA34" s="310"/>
      <c r="BB34" s="310"/>
      <c r="BC34" s="310"/>
      <c r="BD34" s="310"/>
      <c r="BE34" s="310"/>
      <c r="BF34" s="310"/>
      <c r="BG34" s="310"/>
      <c r="BH34" s="310"/>
      <c r="BI34" s="310"/>
      <c r="BJ34" s="310"/>
      <c r="BK34" s="310"/>
      <c r="BL34" s="310"/>
      <c r="BM34" s="310"/>
      <c r="BN34" s="310"/>
      <c r="BO34" s="310"/>
      <c r="BP34" s="310"/>
      <c r="BQ34" s="310"/>
      <c r="BR34" s="310"/>
      <c r="BS34" s="310"/>
      <c r="BT34" s="310"/>
      <c r="BU34" s="310"/>
      <c r="BV34" s="310"/>
      <c r="BW34" s="310"/>
      <c r="BX34" s="310"/>
      <c r="BY34" s="310"/>
    </row>
    <row r="35" spans="1:77" ht="8.25" hidden="1" customHeight="1">
      <c r="B35" s="50"/>
      <c r="AQ35" s="65"/>
    </row>
    <row r="36" spans="1:77" ht="15.75" hidden="1" customHeight="1">
      <c r="B36" s="50"/>
      <c r="C36" s="92" t="s">
        <v>202</v>
      </c>
      <c r="D36" s="92"/>
      <c r="AQ36" s="65"/>
    </row>
    <row r="37" spans="1:77" ht="15.75" hidden="1" customHeight="1">
      <c r="B37" s="50"/>
      <c r="C37" s="10" t="s">
        <v>156</v>
      </c>
      <c r="D37" s="10"/>
      <c r="E37" s="518">
        <f>E3</f>
        <v>30</v>
      </c>
      <c r="F37" s="519" t="s">
        <v>157</v>
      </c>
      <c r="G37" s="519" t="s">
        <v>158</v>
      </c>
      <c r="H37" s="519" t="s">
        <v>159</v>
      </c>
      <c r="I37" s="519" t="s">
        <v>160</v>
      </c>
      <c r="J37" s="519" t="s">
        <v>161</v>
      </c>
      <c r="K37" s="519" t="s">
        <v>162</v>
      </c>
      <c r="L37" s="519" t="s">
        <v>163</v>
      </c>
      <c r="M37" s="519" t="s">
        <v>164</v>
      </c>
      <c r="N37" s="519" t="s">
        <v>165</v>
      </c>
      <c r="O37" s="519" t="s">
        <v>166</v>
      </c>
      <c r="P37" s="519" t="s">
        <v>167</v>
      </c>
      <c r="Q37" s="519" t="s">
        <v>168</v>
      </c>
      <c r="R37" s="519" t="s">
        <v>169</v>
      </c>
      <c r="S37" s="519" t="s">
        <v>170</v>
      </c>
      <c r="T37" s="519" t="s">
        <v>171</v>
      </c>
      <c r="U37" s="519" t="s">
        <v>172</v>
      </c>
      <c r="V37" s="519" t="s">
        <v>173</v>
      </c>
      <c r="W37" s="519" t="s">
        <v>174</v>
      </c>
      <c r="X37" s="519" t="s">
        <v>175</v>
      </c>
      <c r="Y37" s="519" t="s">
        <v>176</v>
      </c>
      <c r="Z37" s="519" t="s">
        <v>177</v>
      </c>
      <c r="AA37" s="519" t="s">
        <v>178</v>
      </c>
      <c r="AB37" s="519" t="s">
        <v>179</v>
      </c>
      <c r="AC37" s="519" t="s">
        <v>180</v>
      </c>
      <c r="AD37" s="519" t="s">
        <v>181</v>
      </c>
      <c r="AE37" s="519" t="s">
        <v>182</v>
      </c>
      <c r="AF37" s="519" t="s">
        <v>183</v>
      </c>
      <c r="AG37" s="519" t="s">
        <v>184</v>
      </c>
      <c r="AH37" s="519" t="s">
        <v>185</v>
      </c>
      <c r="AI37" s="519" t="s">
        <v>186</v>
      </c>
      <c r="AJ37" s="519" t="s">
        <v>187</v>
      </c>
      <c r="AK37" s="613" t="s">
        <v>203</v>
      </c>
      <c r="AL37" s="606" t="s">
        <v>189</v>
      </c>
      <c r="AQ37" s="65"/>
    </row>
    <row r="38" spans="1:77" ht="15.75" hidden="1" customHeight="1">
      <c r="B38" s="50"/>
      <c r="C38" s="1332" t="s">
        <v>190</v>
      </c>
      <c r="D38" s="614"/>
      <c r="E38" s="5" t="s">
        <v>192</v>
      </c>
      <c r="F38" s="615"/>
      <c r="G38" s="615"/>
      <c r="H38" s="615"/>
      <c r="I38" s="615"/>
      <c r="J38" s="615"/>
      <c r="K38" s="615"/>
      <c r="L38" s="615"/>
      <c r="M38" s="615"/>
      <c r="N38" s="615"/>
      <c r="O38" s="615"/>
      <c r="P38" s="615"/>
      <c r="Q38" s="615"/>
      <c r="R38" s="615"/>
      <c r="S38" s="615"/>
      <c r="T38" s="615"/>
      <c r="U38" s="615"/>
      <c r="V38" s="615"/>
      <c r="W38" s="615"/>
      <c r="X38" s="615"/>
      <c r="Y38" s="615"/>
      <c r="Z38" s="615"/>
      <c r="AA38" s="615"/>
      <c r="AB38" s="615"/>
      <c r="AC38" s="615"/>
      <c r="AD38" s="615"/>
      <c r="AE38" s="615">
        <v>0</v>
      </c>
      <c r="AF38" s="615">
        <v>0</v>
      </c>
      <c r="AG38" s="615">
        <v>0</v>
      </c>
      <c r="AH38" s="615">
        <v>0</v>
      </c>
      <c r="AI38" s="615">
        <v>0</v>
      </c>
      <c r="AJ38" s="615">
        <v>0</v>
      </c>
      <c r="AK38" s="93">
        <f>SUM(F38:AJ38)</f>
        <v>0</v>
      </c>
      <c r="AL38" s="616" t="e">
        <f>HLOOKUP(LEFT(Summary!C88,2),Actual!F37:AJ41,2,FALSE)</f>
        <v>#N/A</v>
      </c>
      <c r="AQ38" s="65"/>
    </row>
    <row r="39" spans="1:77" ht="15.75" hidden="1" customHeight="1">
      <c r="B39" s="50"/>
      <c r="C39" s="1333"/>
      <c r="D39" s="293"/>
      <c r="E39" s="30" t="s">
        <v>193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0</v>
      </c>
      <c r="AK39" s="94">
        <f>SUM(F39:AJ39)</f>
        <v>0</v>
      </c>
      <c r="AL39" s="96"/>
      <c r="AQ39" s="65"/>
    </row>
    <row r="40" spans="1:77" ht="15.75" hidden="1" customHeight="1">
      <c r="B40" s="50"/>
      <c r="C40" s="1333"/>
      <c r="D40" s="293"/>
      <c r="E40" s="30" t="s">
        <v>196</v>
      </c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>
        <v>0</v>
      </c>
      <c r="W40" s="57">
        <v>0</v>
      </c>
      <c r="X40" s="57">
        <v>0</v>
      </c>
      <c r="Y40" s="57">
        <v>0</v>
      </c>
      <c r="Z40" s="57">
        <v>0</v>
      </c>
      <c r="AA40" s="57">
        <v>0</v>
      </c>
      <c r="AB40" s="57">
        <v>0</v>
      </c>
      <c r="AC40" s="57">
        <v>0</v>
      </c>
      <c r="AD40" s="57">
        <v>0</v>
      </c>
      <c r="AE40" s="57">
        <v>0</v>
      </c>
      <c r="AF40" s="57">
        <v>0</v>
      </c>
      <c r="AG40" s="57">
        <v>0</v>
      </c>
      <c r="AH40" s="57">
        <v>0</v>
      </c>
      <c r="AI40" s="57">
        <v>0</v>
      </c>
      <c r="AJ40" s="57">
        <v>0</v>
      </c>
      <c r="AK40" s="95">
        <f>SUM(F40:AJ40)</f>
        <v>0</v>
      </c>
      <c r="AL40" s="96"/>
      <c r="AQ40" s="65"/>
    </row>
    <row r="41" spans="1:77" ht="15.75" hidden="1" customHeight="1">
      <c r="B41" s="50"/>
      <c r="C41" s="1334"/>
      <c r="D41" s="294"/>
      <c r="E41" s="617" t="s">
        <v>197</v>
      </c>
      <c r="F41" s="618">
        <f t="shared" ref="F41:AK41" si="25">SUM(F38:F40)</f>
        <v>0</v>
      </c>
      <c r="G41" s="618">
        <f t="shared" si="25"/>
        <v>0</v>
      </c>
      <c r="H41" s="618">
        <f t="shared" si="25"/>
        <v>0</v>
      </c>
      <c r="I41" s="618">
        <f t="shared" si="25"/>
        <v>0</v>
      </c>
      <c r="J41" s="618">
        <f t="shared" si="25"/>
        <v>0</v>
      </c>
      <c r="K41" s="618">
        <f t="shared" si="25"/>
        <v>0</v>
      </c>
      <c r="L41" s="618">
        <f t="shared" si="25"/>
        <v>0</v>
      </c>
      <c r="M41" s="618">
        <f t="shared" si="25"/>
        <v>0</v>
      </c>
      <c r="N41" s="618">
        <f t="shared" si="25"/>
        <v>0</v>
      </c>
      <c r="O41" s="618">
        <f t="shared" si="25"/>
        <v>0</v>
      </c>
      <c r="P41" s="618">
        <f t="shared" si="25"/>
        <v>0</v>
      </c>
      <c r="Q41" s="618">
        <f t="shared" si="25"/>
        <v>0</v>
      </c>
      <c r="R41" s="618">
        <f t="shared" si="25"/>
        <v>0</v>
      </c>
      <c r="S41" s="618">
        <f t="shared" si="25"/>
        <v>0</v>
      </c>
      <c r="T41" s="618">
        <f t="shared" si="25"/>
        <v>0</v>
      </c>
      <c r="U41" s="618">
        <f t="shared" si="25"/>
        <v>0</v>
      </c>
      <c r="V41" s="618">
        <f t="shared" si="25"/>
        <v>0</v>
      </c>
      <c r="W41" s="618">
        <f t="shared" si="25"/>
        <v>0</v>
      </c>
      <c r="X41" s="618">
        <f t="shared" si="25"/>
        <v>0</v>
      </c>
      <c r="Y41" s="618">
        <f t="shared" si="25"/>
        <v>0</v>
      </c>
      <c r="Z41" s="618">
        <f t="shared" si="25"/>
        <v>0</v>
      </c>
      <c r="AA41" s="618">
        <f t="shared" si="25"/>
        <v>0</v>
      </c>
      <c r="AB41" s="618">
        <f t="shared" si="25"/>
        <v>0</v>
      </c>
      <c r="AC41" s="618">
        <f t="shared" si="25"/>
        <v>0</v>
      </c>
      <c r="AD41" s="618">
        <f t="shared" si="25"/>
        <v>0</v>
      </c>
      <c r="AE41" s="618">
        <f t="shared" si="25"/>
        <v>0</v>
      </c>
      <c r="AF41" s="618">
        <f t="shared" si="25"/>
        <v>0</v>
      </c>
      <c r="AG41" s="618">
        <f t="shared" si="25"/>
        <v>0</v>
      </c>
      <c r="AH41" s="618">
        <f t="shared" si="25"/>
        <v>0</v>
      </c>
      <c r="AI41" s="618">
        <f t="shared" si="25"/>
        <v>0</v>
      </c>
      <c r="AJ41" s="618">
        <f t="shared" si="25"/>
        <v>0</v>
      </c>
      <c r="AK41" s="619">
        <f t="shared" si="25"/>
        <v>0</v>
      </c>
      <c r="AL41" s="97"/>
      <c r="AQ41" s="65"/>
    </row>
    <row r="42" spans="1:77" ht="15.75" hidden="1" customHeight="1">
      <c r="B42" s="50"/>
      <c r="C42" s="1332"/>
      <c r="D42" s="614"/>
      <c r="E42" s="5" t="s">
        <v>192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>
        <f>SUM(F42:AJ42)</f>
        <v>0</v>
      </c>
      <c r="AL42" s="1329">
        <f>SUM(AK42:AK44)</f>
        <v>0</v>
      </c>
      <c r="AQ42" s="65"/>
    </row>
    <row r="43" spans="1:77" ht="15.75" hidden="1" customHeight="1">
      <c r="B43" s="50"/>
      <c r="C43" s="1333"/>
      <c r="D43" s="293"/>
      <c r="E43" s="30" t="s">
        <v>193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>
        <f>SUM(F43:AJ43)</f>
        <v>0</v>
      </c>
      <c r="AL43" s="1330"/>
      <c r="AQ43" s="65"/>
    </row>
    <row r="44" spans="1:77" ht="15.75" hidden="1" customHeight="1">
      <c r="B44" s="50"/>
      <c r="C44" s="1333"/>
      <c r="D44" s="293"/>
      <c r="E44" s="30" t="s">
        <v>196</v>
      </c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>
        <f>SUM(F44:AJ44)</f>
        <v>0</v>
      </c>
      <c r="AL44" s="1330"/>
      <c r="AQ44" s="65"/>
    </row>
    <row r="45" spans="1:77" ht="15.75" hidden="1" customHeight="1">
      <c r="B45" s="50"/>
      <c r="C45" s="1334"/>
      <c r="D45" s="293"/>
      <c r="E45" s="55" t="s">
        <v>197</v>
      </c>
      <c r="F45" s="620">
        <f t="shared" ref="F45:AK45" si="26">SUM(F42:F44)</f>
        <v>0</v>
      </c>
      <c r="G45" s="620">
        <f t="shared" si="26"/>
        <v>0</v>
      </c>
      <c r="H45" s="620">
        <f t="shared" si="26"/>
        <v>0</v>
      </c>
      <c r="I45" s="620">
        <f t="shared" si="26"/>
        <v>0</v>
      </c>
      <c r="J45" s="620">
        <f t="shared" si="26"/>
        <v>0</v>
      </c>
      <c r="K45" s="620">
        <f t="shared" si="26"/>
        <v>0</v>
      </c>
      <c r="L45" s="620">
        <f t="shared" si="26"/>
        <v>0</v>
      </c>
      <c r="M45" s="620">
        <f t="shared" si="26"/>
        <v>0</v>
      </c>
      <c r="N45" s="620">
        <f t="shared" si="26"/>
        <v>0</v>
      </c>
      <c r="O45" s="620">
        <f t="shared" si="26"/>
        <v>0</v>
      </c>
      <c r="P45" s="620">
        <f t="shared" si="26"/>
        <v>0</v>
      </c>
      <c r="Q45" s="620">
        <f t="shared" si="26"/>
        <v>0</v>
      </c>
      <c r="R45" s="620">
        <f t="shared" si="26"/>
        <v>0</v>
      </c>
      <c r="S45" s="620">
        <f t="shared" si="26"/>
        <v>0</v>
      </c>
      <c r="T45" s="620">
        <f t="shared" si="26"/>
        <v>0</v>
      </c>
      <c r="U45" s="620">
        <f t="shared" si="26"/>
        <v>0</v>
      </c>
      <c r="V45" s="620">
        <f t="shared" si="26"/>
        <v>0</v>
      </c>
      <c r="W45" s="620">
        <f t="shared" si="26"/>
        <v>0</v>
      </c>
      <c r="X45" s="620">
        <f t="shared" si="26"/>
        <v>0</v>
      </c>
      <c r="Y45" s="620">
        <f t="shared" si="26"/>
        <v>0</v>
      </c>
      <c r="Z45" s="620">
        <f t="shared" si="26"/>
        <v>0</v>
      </c>
      <c r="AA45" s="620">
        <f t="shared" si="26"/>
        <v>0</v>
      </c>
      <c r="AB45" s="620">
        <f t="shared" si="26"/>
        <v>0</v>
      </c>
      <c r="AC45" s="620">
        <f t="shared" si="26"/>
        <v>0</v>
      </c>
      <c r="AD45" s="620">
        <f t="shared" si="26"/>
        <v>0</v>
      </c>
      <c r="AE45" s="620">
        <f t="shared" si="26"/>
        <v>0</v>
      </c>
      <c r="AF45" s="620">
        <f t="shared" si="26"/>
        <v>0</v>
      </c>
      <c r="AG45" s="620">
        <f t="shared" si="26"/>
        <v>0</v>
      </c>
      <c r="AH45" s="620">
        <f t="shared" si="26"/>
        <v>0</v>
      </c>
      <c r="AI45" s="620">
        <f t="shared" si="26"/>
        <v>0</v>
      </c>
      <c r="AJ45" s="620">
        <f t="shared" si="26"/>
        <v>0</v>
      </c>
      <c r="AK45" s="56">
        <f t="shared" si="26"/>
        <v>0</v>
      </c>
      <c r="AL45" s="1331"/>
      <c r="AQ45" s="65"/>
    </row>
    <row r="46" spans="1:77" ht="15.75" hidden="1" customHeight="1">
      <c r="B46" s="50"/>
      <c r="AQ46" s="65"/>
    </row>
    <row r="47" spans="1:77" ht="17.45">
      <c r="B47" s="65"/>
      <c r="C47" s="164" t="str">
        <f>"2.ROM Actual "&amp;MID($C$2,13,20)</f>
        <v>2.ROM Actual Sep'26</v>
      </c>
      <c r="D47" s="164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Z47" s="65"/>
      <c r="AA47" s="65"/>
      <c r="AB47" s="65"/>
      <c r="AQ47" s="350"/>
      <c r="AU47" s="1164" t="s">
        <v>204</v>
      </c>
      <c r="AX47" s="1164" t="s">
        <v>205</v>
      </c>
    </row>
    <row r="48" spans="1:77" ht="15" thickBot="1">
      <c r="B48" s="65"/>
      <c r="C48" s="621" t="str">
        <f>C3</f>
        <v>Total day ---&gt;</v>
      </c>
      <c r="D48" s="622"/>
      <c r="E48" s="518">
        <f>E3</f>
        <v>30</v>
      </c>
      <c r="F48" s="519" t="s">
        <v>157</v>
      </c>
      <c r="G48" s="519" t="s">
        <v>158</v>
      </c>
      <c r="H48" s="519" t="s">
        <v>159</v>
      </c>
      <c r="I48" s="519" t="s">
        <v>160</v>
      </c>
      <c r="J48" s="519" t="s">
        <v>161</v>
      </c>
      <c r="K48" s="519" t="s">
        <v>162</v>
      </c>
      <c r="L48" s="519" t="s">
        <v>163</v>
      </c>
      <c r="M48" s="519" t="s">
        <v>164</v>
      </c>
      <c r="N48" s="519" t="s">
        <v>165</v>
      </c>
      <c r="O48" s="519" t="s">
        <v>166</v>
      </c>
      <c r="P48" s="519" t="s">
        <v>167</v>
      </c>
      <c r="Q48" s="519" t="s">
        <v>168</v>
      </c>
      <c r="R48" s="519" t="s">
        <v>169</v>
      </c>
      <c r="S48" s="519" t="s">
        <v>170</v>
      </c>
      <c r="T48" s="519" t="s">
        <v>171</v>
      </c>
      <c r="U48" s="519" t="s">
        <v>172</v>
      </c>
      <c r="V48" s="519" t="s">
        <v>173</v>
      </c>
      <c r="W48" s="519" t="s">
        <v>174</v>
      </c>
      <c r="X48" s="519" t="s">
        <v>175</v>
      </c>
      <c r="Y48" s="519" t="s">
        <v>176</v>
      </c>
      <c r="Z48" s="519" t="s">
        <v>177</v>
      </c>
      <c r="AA48" s="519" t="s">
        <v>178</v>
      </c>
      <c r="AB48" s="519" t="s">
        <v>179</v>
      </c>
      <c r="AC48" s="519" t="s">
        <v>180</v>
      </c>
      <c r="AD48" s="519" t="s">
        <v>181</v>
      </c>
      <c r="AE48" s="519" t="s">
        <v>182</v>
      </c>
      <c r="AF48" s="519" t="s">
        <v>183</v>
      </c>
      <c r="AG48" s="519" t="s">
        <v>184</v>
      </c>
      <c r="AH48" s="519" t="s">
        <v>185</v>
      </c>
      <c r="AI48" s="519" t="s">
        <v>186</v>
      </c>
      <c r="AJ48" s="519" t="s">
        <v>187</v>
      </c>
      <c r="AK48" s="623" t="s">
        <v>206</v>
      </c>
      <c r="AL48" s="624" t="s">
        <v>207</v>
      </c>
      <c r="AQ48" s="65"/>
      <c r="AU48" s="5" t="s">
        <v>208</v>
      </c>
      <c r="AV48" s="5" t="s">
        <v>209</v>
      </c>
      <c r="AW48" s="5" t="s">
        <v>210</v>
      </c>
      <c r="AX48" s="5" t="s">
        <v>208</v>
      </c>
      <c r="AY48" s="5" t="s">
        <v>209</v>
      </c>
      <c r="AZ48" s="5" t="s">
        <v>210</v>
      </c>
    </row>
    <row r="49" spans="2:52" ht="14.65" customHeight="1">
      <c r="B49" s="65"/>
      <c r="C49" s="530" t="s">
        <v>211</v>
      </c>
      <c r="D49" s="529" t="s">
        <v>190</v>
      </c>
      <c r="E49" s="5" t="s">
        <v>208</v>
      </c>
      <c r="F49" s="33">
        <f>SUM(F50:F52)</f>
        <v>0</v>
      </c>
      <c r="G49" s="33">
        <f t="shared" ref="G49:AJ49" si="27">SUM(G50:G52)</f>
        <v>0</v>
      </c>
      <c r="H49" s="33">
        <f t="shared" si="27"/>
        <v>0</v>
      </c>
      <c r="I49" s="33">
        <f t="shared" si="27"/>
        <v>0</v>
      </c>
      <c r="J49" s="33">
        <f t="shared" si="27"/>
        <v>0</v>
      </c>
      <c r="K49" s="33">
        <f t="shared" si="27"/>
        <v>0</v>
      </c>
      <c r="L49" s="33">
        <f t="shared" si="27"/>
        <v>0</v>
      </c>
      <c r="M49" s="33">
        <f t="shared" si="27"/>
        <v>0</v>
      </c>
      <c r="N49" s="33">
        <f t="shared" si="27"/>
        <v>0</v>
      </c>
      <c r="O49" s="33">
        <f t="shared" si="27"/>
        <v>0</v>
      </c>
      <c r="P49" s="33">
        <f t="shared" si="27"/>
        <v>0</v>
      </c>
      <c r="Q49" s="33">
        <f t="shared" si="27"/>
        <v>0</v>
      </c>
      <c r="R49" s="33">
        <f t="shared" si="27"/>
        <v>0</v>
      </c>
      <c r="S49" s="33">
        <f t="shared" si="27"/>
        <v>0</v>
      </c>
      <c r="T49" s="33">
        <f t="shared" si="27"/>
        <v>0</v>
      </c>
      <c r="U49" s="33">
        <f t="shared" si="27"/>
        <v>0</v>
      </c>
      <c r="V49" s="33">
        <f t="shared" si="27"/>
        <v>0</v>
      </c>
      <c r="W49" s="33">
        <f t="shared" si="27"/>
        <v>0</v>
      </c>
      <c r="X49" s="33">
        <f t="shared" si="27"/>
        <v>0</v>
      </c>
      <c r="Y49" s="33">
        <f t="shared" si="27"/>
        <v>0</v>
      </c>
      <c r="Z49" s="33">
        <f t="shared" si="27"/>
        <v>0</v>
      </c>
      <c r="AA49" s="33">
        <f t="shared" si="27"/>
        <v>0</v>
      </c>
      <c r="AB49" s="33">
        <f t="shared" si="27"/>
        <v>0</v>
      </c>
      <c r="AC49" s="33">
        <f t="shared" si="27"/>
        <v>0</v>
      </c>
      <c r="AD49" s="33">
        <f t="shared" si="27"/>
        <v>0</v>
      </c>
      <c r="AE49" s="33">
        <f t="shared" si="27"/>
        <v>0</v>
      </c>
      <c r="AF49" s="33">
        <f t="shared" si="27"/>
        <v>0</v>
      </c>
      <c r="AG49" s="33">
        <f t="shared" si="27"/>
        <v>0</v>
      </c>
      <c r="AH49" s="33">
        <f t="shared" si="27"/>
        <v>0</v>
      </c>
      <c r="AI49" s="33">
        <f t="shared" si="27"/>
        <v>0</v>
      </c>
      <c r="AJ49" s="33">
        <f t="shared" si="27"/>
        <v>0</v>
      </c>
      <c r="AK49" s="34">
        <f t="shared" ref="AK49:AK76" si="28">SUM(F49:AJ49)</f>
        <v>0</v>
      </c>
      <c r="AL49" s="360">
        <f>HLOOKUP(LEFT(Summary!D3,2),Actual!F48:AJ95,2,FALSE)</f>
        <v>0</v>
      </c>
      <c r="AM49" s="65">
        <f>AK49+AK53+AK57+AK61</f>
        <v>1312.8979999999999</v>
      </c>
      <c r="AN49" s="65">
        <f>+AK65+AK49</f>
        <v>0</v>
      </c>
      <c r="AO49" s="65">
        <f>AM49/1000</f>
        <v>1.3128979999999999</v>
      </c>
      <c r="AQ49" s="965" t="s">
        <v>212</v>
      </c>
      <c r="AS49" s="65">
        <f>AK49</f>
        <v>0</v>
      </c>
      <c r="AT49" s="519" t="s">
        <v>157</v>
      </c>
      <c r="AU49" s="65">
        <f>F$119</f>
        <v>0</v>
      </c>
      <c r="AV49" s="65">
        <f>F$120</f>
        <v>0</v>
      </c>
      <c r="AW49" s="65">
        <f>F$121</f>
        <v>0</v>
      </c>
      <c r="AX49" s="65">
        <f>F$123</f>
        <v>0</v>
      </c>
      <c r="AY49" s="65">
        <f>F$124</f>
        <v>0</v>
      </c>
      <c r="AZ49" s="65">
        <f>F$125</f>
        <v>0</v>
      </c>
    </row>
    <row r="50" spans="2:52" ht="14.65" customHeight="1">
      <c r="B50" s="65"/>
      <c r="C50" s="963" t="s">
        <v>208</v>
      </c>
      <c r="D50" s="955" t="s">
        <v>190</v>
      </c>
      <c r="E50" s="42" t="s">
        <v>212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28"/>
        <v>0</v>
      </c>
      <c r="AL50" s="357">
        <f>HLOOKUP(LEFT(Summary!D3,2),Actual!F48:AJ95,3,FALSE)</f>
        <v>0</v>
      </c>
      <c r="AM50" s="69"/>
      <c r="AN50" s="65">
        <f>+AK53+AK69</f>
        <v>1312.8979999999999</v>
      </c>
      <c r="AP50" s="5" t="s">
        <v>208</v>
      </c>
      <c r="AQ50" s="966">
        <f>AK50+AK66+AK82</f>
        <v>0</v>
      </c>
      <c r="AS50" s="65">
        <f>+AK53</f>
        <v>1312.8979999999999</v>
      </c>
      <c r="AT50" s="519" t="s">
        <v>158</v>
      </c>
      <c r="AU50" s="65">
        <f>G$119</f>
        <v>0</v>
      </c>
      <c r="AV50" s="65">
        <f>G$120</f>
        <v>0</v>
      </c>
      <c r="AW50" s="65">
        <f>G$121</f>
        <v>0</v>
      </c>
      <c r="AX50" s="65">
        <f>G$123</f>
        <v>0</v>
      </c>
      <c r="AY50" s="65">
        <f>G$124</f>
        <v>0</v>
      </c>
      <c r="AZ50" s="65">
        <f>G$125</f>
        <v>0</v>
      </c>
    </row>
    <row r="51" spans="2:52" ht="14.65" customHeight="1">
      <c r="B51" s="41"/>
      <c r="C51" s="963" t="s">
        <v>208</v>
      </c>
      <c r="D51" s="955" t="s">
        <v>190</v>
      </c>
      <c r="E51" s="42" t="s">
        <v>213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28"/>
        <v>0</v>
      </c>
      <c r="AL51" s="357">
        <f>HLOOKUP(LEFT(Summary!D3,2),Actual!F48:AJ95,4,FALSE)</f>
        <v>0</v>
      </c>
      <c r="AM51" s="69"/>
      <c r="AP51" s="5" t="s">
        <v>209</v>
      </c>
      <c r="AQ51" s="966">
        <f>+AK54+AK70+AK86</f>
        <v>0</v>
      </c>
      <c r="AS51" s="65">
        <f>+AK57</f>
        <v>0</v>
      </c>
      <c r="AT51" s="519" t="s">
        <v>159</v>
      </c>
      <c r="AU51" s="65">
        <f>H$119</f>
        <v>0</v>
      </c>
      <c r="AV51" s="65">
        <f>H$120</f>
        <v>0</v>
      </c>
      <c r="AW51" s="65">
        <f>H$121</f>
        <v>0</v>
      </c>
      <c r="AX51" s="65">
        <f>H$123</f>
        <v>0</v>
      </c>
      <c r="AY51" s="65">
        <f>H$124</f>
        <v>0</v>
      </c>
      <c r="AZ51" s="65">
        <f>H$125</f>
        <v>0</v>
      </c>
    </row>
    <row r="52" spans="2:52" ht="14.65" customHeight="1">
      <c r="B52" s="41"/>
      <c r="C52" s="963" t="s">
        <v>208</v>
      </c>
      <c r="D52" s="955" t="s">
        <v>190</v>
      </c>
      <c r="E52" s="952" t="s">
        <v>214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>
        <f t="shared" si="28"/>
        <v>0</v>
      </c>
      <c r="AL52" s="359">
        <f>HLOOKUP(LEFT(Summary!D3,2),Actual!F48:AJ95,5,FALSE)</f>
        <v>0</v>
      </c>
      <c r="AM52" s="69"/>
      <c r="AP52" s="5" t="s">
        <v>210</v>
      </c>
      <c r="AQ52" s="966">
        <f>+AK58+AK74+AK90</f>
        <v>0</v>
      </c>
      <c r="AS52" s="65"/>
      <c r="AT52" s="519" t="s">
        <v>160</v>
      </c>
      <c r="AU52" s="65">
        <f>I$119</f>
        <v>0</v>
      </c>
      <c r="AV52" s="65">
        <f>I$120</f>
        <v>0</v>
      </c>
      <c r="AW52" s="65">
        <f>I$121</f>
        <v>0</v>
      </c>
      <c r="AX52" s="65">
        <f>I$123</f>
        <v>0</v>
      </c>
      <c r="AY52" s="65">
        <f>I$124</f>
        <v>0</v>
      </c>
      <c r="AZ52" s="65">
        <f>I$125</f>
        <v>0</v>
      </c>
    </row>
    <row r="53" spans="2:52" ht="14.65" customHeight="1">
      <c r="B53" s="41"/>
      <c r="C53" s="531"/>
      <c r="D53" s="955" t="s">
        <v>190</v>
      </c>
      <c r="E53" s="5" t="s">
        <v>209</v>
      </c>
      <c r="F53" s="35">
        <f>SUM(F54:F56)</f>
        <v>0</v>
      </c>
      <c r="G53" s="35">
        <f t="shared" ref="G53:AJ53" si="29">SUM(G54:G56)</f>
        <v>0</v>
      </c>
      <c r="H53" s="35">
        <f t="shared" si="29"/>
        <v>0</v>
      </c>
      <c r="I53" s="35">
        <f t="shared" si="29"/>
        <v>0</v>
      </c>
      <c r="J53" s="35">
        <f t="shared" si="29"/>
        <v>1312.8979999999999</v>
      </c>
      <c r="K53" s="35">
        <f t="shared" si="29"/>
        <v>0</v>
      </c>
      <c r="L53" s="35">
        <f t="shared" si="29"/>
        <v>0</v>
      </c>
      <c r="M53" s="35">
        <f>SUM(M54:M56)</f>
        <v>0</v>
      </c>
      <c r="N53" s="35">
        <f t="shared" si="29"/>
        <v>0</v>
      </c>
      <c r="O53" s="35">
        <f t="shared" si="29"/>
        <v>0</v>
      </c>
      <c r="P53" s="35">
        <f t="shared" si="29"/>
        <v>0</v>
      </c>
      <c r="Q53" s="35">
        <f t="shared" si="29"/>
        <v>0</v>
      </c>
      <c r="R53" s="35">
        <f t="shared" si="29"/>
        <v>0</v>
      </c>
      <c r="S53" s="35">
        <f t="shared" si="29"/>
        <v>0</v>
      </c>
      <c r="T53" s="35">
        <f t="shared" si="29"/>
        <v>0</v>
      </c>
      <c r="U53" s="35">
        <f t="shared" si="29"/>
        <v>0</v>
      </c>
      <c r="V53" s="35">
        <f t="shared" si="29"/>
        <v>0</v>
      </c>
      <c r="W53" s="35">
        <f t="shared" si="29"/>
        <v>0</v>
      </c>
      <c r="X53" s="35">
        <f t="shared" si="29"/>
        <v>0</v>
      </c>
      <c r="Y53" s="35">
        <f t="shared" si="29"/>
        <v>0</v>
      </c>
      <c r="Z53" s="35">
        <f t="shared" si="29"/>
        <v>0</v>
      </c>
      <c r="AA53" s="35">
        <f t="shared" si="29"/>
        <v>0</v>
      </c>
      <c r="AB53" s="35">
        <f t="shared" si="29"/>
        <v>0</v>
      </c>
      <c r="AC53" s="35">
        <f t="shared" si="29"/>
        <v>0</v>
      </c>
      <c r="AD53" s="35">
        <f t="shared" si="29"/>
        <v>0</v>
      </c>
      <c r="AE53" s="35">
        <f t="shared" si="29"/>
        <v>0</v>
      </c>
      <c r="AF53" s="35">
        <f t="shared" si="29"/>
        <v>0</v>
      </c>
      <c r="AG53" s="35">
        <f t="shared" si="29"/>
        <v>0</v>
      </c>
      <c r="AH53" s="35">
        <f t="shared" si="29"/>
        <v>0</v>
      </c>
      <c r="AI53" s="35">
        <f t="shared" si="29"/>
        <v>0</v>
      </c>
      <c r="AJ53" s="35">
        <f t="shared" si="29"/>
        <v>0</v>
      </c>
      <c r="AK53" s="36">
        <f>SUM(F53:AJ53)</f>
        <v>1312.8979999999999</v>
      </c>
      <c r="AL53" s="376">
        <f>HLOOKUP(LEFT(Summary!$D$3,2),Actual!F48:AJ95,6,FALSE)</f>
        <v>0</v>
      </c>
      <c r="AM53" s="69"/>
      <c r="AT53" s="519" t="s">
        <v>161</v>
      </c>
      <c r="AU53" s="65">
        <f>J$119</f>
        <v>0</v>
      </c>
      <c r="AV53" s="65">
        <f>J$120</f>
        <v>1312.8979999999999</v>
      </c>
      <c r="AW53" s="65">
        <f>J$121</f>
        <v>0</v>
      </c>
      <c r="AX53" s="65">
        <f>J$123</f>
        <v>0</v>
      </c>
      <c r="AY53" s="65">
        <f>J$124</f>
        <v>0</v>
      </c>
      <c r="AZ53" s="65">
        <f>J$125</f>
        <v>0</v>
      </c>
    </row>
    <row r="54" spans="2:52" ht="14.65" customHeight="1">
      <c r="B54" s="41"/>
      <c r="C54" s="964" t="s">
        <v>209</v>
      </c>
      <c r="D54" s="955" t="s">
        <v>190</v>
      </c>
      <c r="E54" s="42" t="s">
        <v>212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>
        <f t="shared" si="28"/>
        <v>0</v>
      </c>
      <c r="AL54" s="377">
        <f>HLOOKUP(LEFT(Summary!D3,2),Actual!F48:AJ95,7,FALSE)</f>
        <v>0</v>
      </c>
      <c r="AM54" s="69"/>
      <c r="AQ54" s="65"/>
      <c r="AT54" s="519" t="s">
        <v>162</v>
      </c>
      <c r="AU54" s="65">
        <f>K$119</f>
        <v>0</v>
      </c>
      <c r="AV54" s="65">
        <f>K$120</f>
        <v>0</v>
      </c>
      <c r="AW54" s="65">
        <f>K$121</f>
        <v>0</v>
      </c>
      <c r="AX54" s="65">
        <f>K$123</f>
        <v>0</v>
      </c>
      <c r="AY54" s="65">
        <f>K$124</f>
        <v>0</v>
      </c>
      <c r="AZ54" s="65">
        <f>K$125</f>
        <v>0</v>
      </c>
    </row>
    <row r="55" spans="2:52" ht="14.65" customHeight="1">
      <c r="C55" s="964" t="s">
        <v>209</v>
      </c>
      <c r="D55" s="955" t="s">
        <v>190</v>
      </c>
      <c r="E55" s="42" t="s">
        <v>213</v>
      </c>
      <c r="F55" s="43"/>
      <c r="G55" s="43"/>
      <c r="H55" s="43"/>
      <c r="I55" s="43"/>
      <c r="J55" s="43">
        <v>1312.8979999999999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9">
        <f>SUM(F55:AJ55)</f>
        <v>1312.8979999999999</v>
      </c>
      <c r="AL55" s="378">
        <f>HLOOKUP(LEFT(Summary!D3,2),Actual!F48:AJ95,8,FALSE)</f>
        <v>0</v>
      </c>
      <c r="AM55" s="69"/>
      <c r="AN55" s="65"/>
      <c r="AQ55" s="65"/>
      <c r="AT55" s="519" t="s">
        <v>163</v>
      </c>
      <c r="AU55" s="65">
        <f>L$119</f>
        <v>0</v>
      </c>
      <c r="AV55" s="65">
        <f>L$120</f>
        <v>0</v>
      </c>
      <c r="AW55" s="65">
        <f>L$121</f>
        <v>0</v>
      </c>
      <c r="AX55" s="65">
        <f>L$123</f>
        <v>0</v>
      </c>
      <c r="AY55" s="65">
        <f>L$124</f>
        <v>0</v>
      </c>
      <c r="AZ55" s="65">
        <f>L$125</f>
        <v>0</v>
      </c>
    </row>
    <row r="56" spans="2:52" ht="14.65" customHeight="1">
      <c r="B56" s="41"/>
      <c r="C56" s="964" t="s">
        <v>209</v>
      </c>
      <c r="D56" s="955" t="s">
        <v>190</v>
      </c>
      <c r="E56" s="952" t="s">
        <v>214</v>
      </c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>
        <f>SUM(F56:AJ56)</f>
        <v>0</v>
      </c>
      <c r="AL56" s="359">
        <f>HLOOKUP(LEFT(Summary!$D$3,2),Actual!F48:AJ95,9,FALSE)</f>
        <v>0</v>
      </c>
      <c r="AM56" s="69"/>
      <c r="AN56" s="65">
        <f t="shared" ref="AN56:AO60" si="30">AE55+AE71+AE87</f>
        <v>0</v>
      </c>
      <c r="AO56" s="65">
        <f t="shared" si="30"/>
        <v>0</v>
      </c>
      <c r="AP56" s="5"/>
      <c r="AQ56" s="65"/>
      <c r="AS56" s="65"/>
      <c r="AT56" s="519" t="s">
        <v>164</v>
      </c>
      <c r="AU56" s="65">
        <f>M$119</f>
        <v>0</v>
      </c>
      <c r="AV56" s="65">
        <f>M$120</f>
        <v>0</v>
      </c>
      <c r="AW56" s="65">
        <f>M$121</f>
        <v>0</v>
      </c>
      <c r="AX56" s="65">
        <f>M$123</f>
        <v>0</v>
      </c>
      <c r="AY56" s="65">
        <f>M$124</f>
        <v>0</v>
      </c>
      <c r="AZ56" s="65">
        <f>M$125</f>
        <v>0</v>
      </c>
    </row>
    <row r="57" spans="2:52" ht="15" customHeight="1">
      <c r="C57" s="531"/>
      <c r="D57" s="955" t="s">
        <v>190</v>
      </c>
      <c r="E57" s="5" t="s">
        <v>210</v>
      </c>
      <c r="F57" s="33">
        <f>SUM(F58:F60)</f>
        <v>0</v>
      </c>
      <c r="G57" s="33">
        <f t="shared" ref="G57:AJ57" si="31">SUM(G58:G60)</f>
        <v>0</v>
      </c>
      <c r="H57" s="33">
        <f t="shared" si="31"/>
        <v>0</v>
      </c>
      <c r="I57" s="33">
        <f t="shared" si="31"/>
        <v>0</v>
      </c>
      <c r="J57" s="33">
        <f t="shared" si="31"/>
        <v>0</v>
      </c>
      <c r="K57" s="33">
        <f t="shared" si="31"/>
        <v>0</v>
      </c>
      <c r="L57" s="33">
        <f t="shared" si="31"/>
        <v>0</v>
      </c>
      <c r="M57" s="33">
        <f t="shared" si="31"/>
        <v>0</v>
      </c>
      <c r="N57" s="33">
        <f t="shared" si="31"/>
        <v>0</v>
      </c>
      <c r="O57" s="33">
        <f t="shared" si="31"/>
        <v>0</v>
      </c>
      <c r="P57" s="33">
        <f t="shared" si="31"/>
        <v>0</v>
      </c>
      <c r="Q57" s="33">
        <f t="shared" si="31"/>
        <v>0</v>
      </c>
      <c r="R57" s="33">
        <f t="shared" si="31"/>
        <v>0</v>
      </c>
      <c r="S57" s="33">
        <f t="shared" si="31"/>
        <v>0</v>
      </c>
      <c r="T57" s="33">
        <f t="shared" si="31"/>
        <v>0</v>
      </c>
      <c r="U57" s="33">
        <f t="shared" si="31"/>
        <v>0</v>
      </c>
      <c r="V57" s="33">
        <f t="shared" si="31"/>
        <v>0</v>
      </c>
      <c r="W57" s="33">
        <f t="shared" si="31"/>
        <v>0</v>
      </c>
      <c r="X57" s="33">
        <f t="shared" si="31"/>
        <v>0</v>
      </c>
      <c r="Y57" s="33">
        <f t="shared" si="31"/>
        <v>0</v>
      </c>
      <c r="Z57" s="33">
        <f t="shared" si="31"/>
        <v>0</v>
      </c>
      <c r="AA57" s="33">
        <f t="shared" si="31"/>
        <v>0</v>
      </c>
      <c r="AB57" s="33">
        <f t="shared" si="31"/>
        <v>0</v>
      </c>
      <c r="AC57" s="33">
        <f t="shared" si="31"/>
        <v>0</v>
      </c>
      <c r="AD57" s="33">
        <f t="shared" si="31"/>
        <v>0</v>
      </c>
      <c r="AE57" s="33">
        <f t="shared" si="31"/>
        <v>0</v>
      </c>
      <c r="AF57" s="33">
        <f t="shared" si="31"/>
        <v>0</v>
      </c>
      <c r="AG57" s="33">
        <f t="shared" si="31"/>
        <v>0</v>
      </c>
      <c r="AH57" s="33">
        <f t="shared" si="31"/>
        <v>0</v>
      </c>
      <c r="AI57" s="33">
        <f t="shared" si="31"/>
        <v>0</v>
      </c>
      <c r="AJ57" s="33">
        <f t="shared" si="31"/>
        <v>0</v>
      </c>
      <c r="AK57" s="34">
        <f t="shared" si="28"/>
        <v>0</v>
      </c>
      <c r="AL57" s="360">
        <f>HLOOKUP(LEFT(Summary!D3,2),Actual!F48:AJ95,10,FALSE)</f>
        <v>0</v>
      </c>
      <c r="AM57" s="69"/>
      <c r="AN57" s="65">
        <f t="shared" si="30"/>
        <v>0</v>
      </c>
      <c r="AO57" s="65">
        <f t="shared" si="30"/>
        <v>0</v>
      </c>
      <c r="AQ57" s="65"/>
      <c r="AT57" s="519" t="s">
        <v>165</v>
      </c>
      <c r="AU57" s="65">
        <f>N$119</f>
        <v>0</v>
      </c>
      <c r="AV57" s="65">
        <f>N$120</f>
        <v>0</v>
      </c>
      <c r="AW57" s="65">
        <f>N$121</f>
        <v>0</v>
      </c>
      <c r="AX57" s="65">
        <f>N$123</f>
        <v>0</v>
      </c>
      <c r="AY57" s="65">
        <f>N$124</f>
        <v>0</v>
      </c>
      <c r="AZ57" s="65">
        <f>N$125</f>
        <v>0</v>
      </c>
    </row>
    <row r="58" spans="2:52" ht="15" customHeight="1">
      <c r="B58" s="41"/>
      <c r="C58" s="964" t="s">
        <v>210</v>
      </c>
      <c r="D58" s="955" t="s">
        <v>190</v>
      </c>
      <c r="E58" s="42" t="s">
        <v>212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28"/>
        <v>0</v>
      </c>
      <c r="AL58" s="357">
        <f>HLOOKUP(LEFT(Summary!D3,2),Actual!F48:AJ95,11,FALSE)</f>
        <v>0</v>
      </c>
      <c r="AM58" s="69"/>
      <c r="AN58" s="65">
        <f t="shared" si="30"/>
        <v>0</v>
      </c>
      <c r="AO58" s="65">
        <f t="shared" si="30"/>
        <v>0</v>
      </c>
      <c r="AQ58" s="65"/>
      <c r="AT58" s="519" t="s">
        <v>166</v>
      </c>
      <c r="AU58" s="65">
        <f>O$119</f>
        <v>0</v>
      </c>
      <c r="AV58" s="65">
        <f>O$120</f>
        <v>0</v>
      </c>
      <c r="AW58" s="65">
        <f>O$121</f>
        <v>0</v>
      </c>
      <c r="AX58" s="65">
        <f>O$123</f>
        <v>0</v>
      </c>
      <c r="AY58" s="65">
        <f>O$124</f>
        <v>0</v>
      </c>
      <c r="AZ58" s="65">
        <f>O$125</f>
        <v>0</v>
      </c>
    </row>
    <row r="59" spans="2:52" ht="15" customHeight="1">
      <c r="C59" s="964" t="s">
        <v>210</v>
      </c>
      <c r="D59" s="955" t="s">
        <v>190</v>
      </c>
      <c r="E59" s="42" t="s">
        <v>213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9">
        <f t="shared" si="28"/>
        <v>0</v>
      </c>
      <c r="AL59" s="358">
        <f>HLOOKUP(LEFT(Summary!D3,2),Actual!F48:AJ95,12,FALSE)</f>
        <v>0</v>
      </c>
      <c r="AM59" s="69"/>
      <c r="AN59" s="65">
        <f t="shared" si="30"/>
        <v>0</v>
      </c>
      <c r="AO59" s="65">
        <f t="shared" si="30"/>
        <v>0</v>
      </c>
      <c r="AQ59" s="65"/>
      <c r="AT59" s="519" t="s">
        <v>167</v>
      </c>
      <c r="AU59" s="65">
        <f>P$119</f>
        <v>0</v>
      </c>
      <c r="AV59" s="65">
        <f>P$120</f>
        <v>0</v>
      </c>
      <c r="AW59" s="65">
        <f>P$121</f>
        <v>0</v>
      </c>
      <c r="AX59" s="65">
        <f>P$123</f>
        <v>0</v>
      </c>
      <c r="AY59" s="65">
        <f>P$124</f>
        <v>0</v>
      </c>
      <c r="AZ59" s="65">
        <f>P$125</f>
        <v>0</v>
      </c>
    </row>
    <row r="60" spans="2:52" ht="14.65" customHeight="1">
      <c r="B60" s="41"/>
      <c r="C60" s="964" t="s">
        <v>210</v>
      </c>
      <c r="D60" s="955" t="s">
        <v>190</v>
      </c>
      <c r="E60" s="952" t="s">
        <v>214</v>
      </c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>
        <f t="shared" si="28"/>
        <v>0</v>
      </c>
      <c r="AL60" s="358">
        <f>HLOOKUP(LEFT(Summary!D3,2),Actual!F48:AJ95,13,FALSE)</f>
        <v>0</v>
      </c>
      <c r="AM60" s="69"/>
      <c r="AN60" s="65">
        <f t="shared" si="30"/>
        <v>0</v>
      </c>
      <c r="AO60" s="65">
        <f t="shared" si="30"/>
        <v>0</v>
      </c>
      <c r="AP60" s="5"/>
      <c r="AQ60" s="65"/>
      <c r="AS60" s="65"/>
      <c r="AT60" s="519" t="s">
        <v>168</v>
      </c>
      <c r="AU60" s="65">
        <f>Q$119</f>
        <v>0</v>
      </c>
      <c r="AV60" s="65">
        <f>Q$120</f>
        <v>0</v>
      </c>
      <c r="AW60" s="65">
        <f>Q$121</f>
        <v>0</v>
      </c>
      <c r="AX60" s="65">
        <f>Q$123</f>
        <v>0</v>
      </c>
      <c r="AY60" s="65">
        <f>Q$124</f>
        <v>0</v>
      </c>
      <c r="AZ60" s="65">
        <f>Q$125</f>
        <v>0</v>
      </c>
    </row>
    <row r="61" spans="2:52" ht="15" customHeight="1">
      <c r="C61" s="531"/>
      <c r="D61" s="955" t="s">
        <v>190</v>
      </c>
      <c r="E61" s="5" t="s">
        <v>215</v>
      </c>
      <c r="F61" s="33">
        <f>SUM(F62:F64)</f>
        <v>0</v>
      </c>
      <c r="G61" s="33">
        <f t="shared" ref="G61:AJ61" si="32">SUM(G62:G64)</f>
        <v>0</v>
      </c>
      <c r="H61" s="33">
        <f t="shared" si="32"/>
        <v>0</v>
      </c>
      <c r="I61" s="33">
        <f t="shared" si="32"/>
        <v>0</v>
      </c>
      <c r="J61" s="33">
        <f t="shared" si="32"/>
        <v>0</v>
      </c>
      <c r="K61" s="33">
        <f t="shared" si="32"/>
        <v>0</v>
      </c>
      <c r="L61" s="33">
        <f t="shared" si="32"/>
        <v>0</v>
      </c>
      <c r="M61" s="33">
        <f t="shared" si="32"/>
        <v>0</v>
      </c>
      <c r="N61" s="33">
        <f t="shared" si="32"/>
        <v>0</v>
      </c>
      <c r="O61" s="33">
        <f t="shared" si="32"/>
        <v>0</v>
      </c>
      <c r="P61" s="33">
        <f t="shared" si="32"/>
        <v>0</v>
      </c>
      <c r="Q61" s="33">
        <f t="shared" si="32"/>
        <v>0</v>
      </c>
      <c r="R61" s="33">
        <f t="shared" si="32"/>
        <v>0</v>
      </c>
      <c r="S61" s="33">
        <f t="shared" si="32"/>
        <v>0</v>
      </c>
      <c r="T61" s="33">
        <f t="shared" si="32"/>
        <v>0</v>
      </c>
      <c r="U61" s="33">
        <f t="shared" si="32"/>
        <v>0</v>
      </c>
      <c r="V61" s="33">
        <f t="shared" si="32"/>
        <v>0</v>
      </c>
      <c r="W61" s="33">
        <f t="shared" si="32"/>
        <v>0</v>
      </c>
      <c r="X61" s="33">
        <f t="shared" si="32"/>
        <v>0</v>
      </c>
      <c r="Y61" s="33">
        <f t="shared" si="32"/>
        <v>0</v>
      </c>
      <c r="Z61" s="33">
        <f t="shared" si="32"/>
        <v>0</v>
      </c>
      <c r="AA61" s="33">
        <f t="shared" si="32"/>
        <v>0</v>
      </c>
      <c r="AB61" s="33">
        <f t="shared" si="32"/>
        <v>0</v>
      </c>
      <c r="AC61" s="33">
        <f t="shared" si="32"/>
        <v>0</v>
      </c>
      <c r="AD61" s="33">
        <f t="shared" si="32"/>
        <v>0</v>
      </c>
      <c r="AE61" s="33">
        <f t="shared" si="32"/>
        <v>0</v>
      </c>
      <c r="AF61" s="33">
        <f t="shared" si="32"/>
        <v>0</v>
      </c>
      <c r="AG61" s="33">
        <f t="shared" si="32"/>
        <v>0</v>
      </c>
      <c r="AH61" s="33">
        <f t="shared" si="32"/>
        <v>0</v>
      </c>
      <c r="AI61" s="33">
        <f t="shared" si="32"/>
        <v>0</v>
      </c>
      <c r="AJ61" s="33">
        <f t="shared" si="32"/>
        <v>0</v>
      </c>
      <c r="AK61" s="34">
        <f t="shared" si="28"/>
        <v>0</v>
      </c>
      <c r="AL61" s="360">
        <f>HLOOKUP(LEFT(Summary!D3,2),Actual!F48:AJ95,14,FALSE)</f>
        <v>0</v>
      </c>
      <c r="AM61" s="69"/>
      <c r="AQ61" s="65"/>
      <c r="AT61" s="519" t="s">
        <v>169</v>
      </c>
      <c r="AU61" s="65">
        <f>R$119</f>
        <v>0</v>
      </c>
      <c r="AV61" s="65">
        <f>R$120</f>
        <v>0</v>
      </c>
      <c r="AW61" s="65">
        <f>R$121</f>
        <v>0</v>
      </c>
      <c r="AX61" s="65">
        <f>R$123</f>
        <v>0</v>
      </c>
      <c r="AY61" s="65">
        <f>R$124</f>
        <v>0</v>
      </c>
      <c r="AZ61" s="65">
        <f>R$125</f>
        <v>0</v>
      </c>
    </row>
    <row r="62" spans="2:52" ht="15" customHeight="1">
      <c r="C62" s="531"/>
      <c r="D62" s="955" t="s">
        <v>190</v>
      </c>
      <c r="E62" s="42" t="s">
        <v>212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0</v>
      </c>
      <c r="Y62" s="43">
        <v>0</v>
      </c>
      <c r="Z62" s="43">
        <v>0</v>
      </c>
      <c r="AA62" s="43">
        <v>0</v>
      </c>
      <c r="AB62" s="43">
        <v>0</v>
      </c>
      <c r="AC62" s="43">
        <v>0</v>
      </c>
      <c r="AD62" s="43">
        <v>0</v>
      </c>
      <c r="AE62" s="43">
        <v>0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f t="shared" si="28"/>
        <v>0</v>
      </c>
      <c r="AL62" s="357">
        <f>HLOOKUP(LEFT(Summary!D3,2),Actual!F48:AJ95,15,FALSE)</f>
        <v>0</v>
      </c>
      <c r="AM62" s="69"/>
      <c r="AQ62" s="65"/>
      <c r="AT62" s="519" t="s">
        <v>170</v>
      </c>
      <c r="AU62" s="65">
        <f>S$119</f>
        <v>0</v>
      </c>
      <c r="AV62" s="65">
        <f>S$120</f>
        <v>0</v>
      </c>
      <c r="AW62" s="65">
        <f>S$121</f>
        <v>0</v>
      </c>
      <c r="AX62" s="65">
        <f>S$123</f>
        <v>0</v>
      </c>
      <c r="AY62" s="65">
        <f>S$124</f>
        <v>0</v>
      </c>
      <c r="AZ62" s="65">
        <f>S$125</f>
        <v>0</v>
      </c>
    </row>
    <row r="63" spans="2:52" ht="15" customHeight="1">
      <c r="C63" s="531"/>
      <c r="D63" s="955" t="s">
        <v>190</v>
      </c>
      <c r="E63" s="42" t="s">
        <v>213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0</v>
      </c>
      <c r="Z63" s="43">
        <v>0</v>
      </c>
      <c r="AA63" s="43">
        <v>0</v>
      </c>
      <c r="AB63" s="43">
        <v>0</v>
      </c>
      <c r="AC63" s="43">
        <v>0</v>
      </c>
      <c r="AD63" s="43">
        <v>0</v>
      </c>
      <c r="AE63" s="43">
        <v>0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9">
        <f t="shared" si="28"/>
        <v>0</v>
      </c>
      <c r="AL63" s="358">
        <f>HLOOKUP(LEFT(Summary!D3,2),Actual!F48:AJ95,16,FALSE)</f>
        <v>0</v>
      </c>
      <c r="AM63" s="69"/>
      <c r="AQ63" s="65"/>
      <c r="AT63" s="519" t="s">
        <v>171</v>
      </c>
      <c r="AU63" s="65">
        <f>T$119</f>
        <v>0</v>
      </c>
      <c r="AV63" s="65">
        <f>T$120</f>
        <v>0</v>
      </c>
      <c r="AW63" s="65">
        <f>T$121</f>
        <v>0</v>
      </c>
      <c r="AX63" s="65">
        <f>T$123</f>
        <v>0</v>
      </c>
      <c r="AY63" s="65">
        <f>T$124</f>
        <v>0</v>
      </c>
      <c r="AZ63" s="65">
        <f>T$125</f>
        <v>0</v>
      </c>
    </row>
    <row r="64" spans="2:52" ht="14.65" customHeight="1" thickBot="1">
      <c r="B64" s="41"/>
      <c r="C64" s="531"/>
      <c r="D64" s="956" t="s">
        <v>190</v>
      </c>
      <c r="E64" s="810" t="s">
        <v>214</v>
      </c>
      <c r="F64" s="811"/>
      <c r="G64" s="811"/>
      <c r="H64" s="811"/>
      <c r="I64" s="811"/>
      <c r="J64" s="811"/>
      <c r="K64" s="811"/>
      <c r="L64" s="811"/>
      <c r="M64" s="811"/>
      <c r="N64" s="811"/>
      <c r="O64" s="811"/>
      <c r="P64" s="811"/>
      <c r="Q64" s="811"/>
      <c r="R64" s="811"/>
      <c r="S64" s="811"/>
      <c r="T64" s="811"/>
      <c r="U64" s="811"/>
      <c r="V64" s="811"/>
      <c r="W64" s="811"/>
      <c r="X64" s="811"/>
      <c r="Y64" s="811"/>
      <c r="Z64" s="811"/>
      <c r="AA64" s="811"/>
      <c r="AB64" s="811"/>
      <c r="AC64" s="811"/>
      <c r="AD64" s="811"/>
      <c r="AE64" s="811"/>
      <c r="AF64" s="811"/>
      <c r="AG64" s="811"/>
      <c r="AH64" s="811"/>
      <c r="AI64" s="811"/>
      <c r="AJ64" s="811"/>
      <c r="AK64" s="811"/>
      <c r="AL64" s="812">
        <f>HLOOKUP(LEFT(Summary!$D$3,2),Actual!F48:AJ96,17,FALSE)</f>
        <v>0</v>
      </c>
      <c r="AM64" s="69"/>
      <c r="AP64" s="5"/>
      <c r="AQ64" s="65"/>
      <c r="AS64" s="65"/>
      <c r="AT64" s="519" t="s">
        <v>172</v>
      </c>
      <c r="AU64" s="65">
        <f>U$119</f>
        <v>0</v>
      </c>
      <c r="AV64" s="65">
        <f>U$120</f>
        <v>0</v>
      </c>
      <c r="AW64" s="65">
        <f>U$121</f>
        <v>0</v>
      </c>
      <c r="AX64" s="65">
        <f>U$123</f>
        <v>0</v>
      </c>
      <c r="AY64" s="65">
        <f>U$124</f>
        <v>0</v>
      </c>
      <c r="AZ64" s="65">
        <f>U$125</f>
        <v>0</v>
      </c>
    </row>
    <row r="65" spans="2:52" ht="15" hidden="1" customHeight="1" outlineLevel="1">
      <c r="C65" s="530" t="s">
        <v>211</v>
      </c>
      <c r="D65" s="529" t="s">
        <v>216</v>
      </c>
      <c r="E65" s="5" t="s">
        <v>208</v>
      </c>
      <c r="F65" s="33">
        <f>SUM(F66:F68)</f>
        <v>0</v>
      </c>
      <c r="G65" s="33">
        <f t="shared" ref="G65:AJ65" si="33">SUM(G66:G68)</f>
        <v>0</v>
      </c>
      <c r="H65" s="33">
        <f t="shared" si="33"/>
        <v>0</v>
      </c>
      <c r="I65" s="33">
        <f t="shared" si="33"/>
        <v>0</v>
      </c>
      <c r="J65" s="33">
        <f t="shared" si="33"/>
        <v>0</v>
      </c>
      <c r="K65" s="33">
        <f t="shared" si="33"/>
        <v>0</v>
      </c>
      <c r="L65" s="33">
        <f t="shared" si="33"/>
        <v>0</v>
      </c>
      <c r="M65" s="33">
        <f t="shared" si="33"/>
        <v>0</v>
      </c>
      <c r="N65" s="33">
        <f t="shared" si="33"/>
        <v>0</v>
      </c>
      <c r="O65" s="33">
        <f t="shared" si="33"/>
        <v>0</v>
      </c>
      <c r="P65" s="33">
        <f t="shared" si="33"/>
        <v>0</v>
      </c>
      <c r="Q65" s="33">
        <f t="shared" si="33"/>
        <v>0</v>
      </c>
      <c r="R65" s="33">
        <f t="shared" si="33"/>
        <v>0</v>
      </c>
      <c r="S65" s="33">
        <f t="shared" si="33"/>
        <v>0</v>
      </c>
      <c r="T65" s="33">
        <f t="shared" si="33"/>
        <v>0</v>
      </c>
      <c r="U65" s="33">
        <f t="shared" si="33"/>
        <v>0</v>
      </c>
      <c r="V65" s="33">
        <f t="shared" si="33"/>
        <v>0</v>
      </c>
      <c r="W65" s="33">
        <f t="shared" si="33"/>
        <v>0</v>
      </c>
      <c r="X65" s="33">
        <f t="shared" si="33"/>
        <v>0</v>
      </c>
      <c r="Y65" s="33">
        <f t="shared" si="33"/>
        <v>0</v>
      </c>
      <c r="Z65" s="33">
        <f t="shared" si="33"/>
        <v>0</v>
      </c>
      <c r="AA65" s="33">
        <f t="shared" si="33"/>
        <v>0</v>
      </c>
      <c r="AB65" s="33">
        <f t="shared" si="33"/>
        <v>0</v>
      </c>
      <c r="AC65" s="33">
        <f t="shared" si="33"/>
        <v>0</v>
      </c>
      <c r="AD65" s="33">
        <f t="shared" si="33"/>
        <v>0</v>
      </c>
      <c r="AE65" s="33">
        <f t="shared" si="33"/>
        <v>0</v>
      </c>
      <c r="AF65" s="33">
        <f t="shared" si="33"/>
        <v>0</v>
      </c>
      <c r="AG65" s="33">
        <f t="shared" si="33"/>
        <v>0</v>
      </c>
      <c r="AH65" s="33">
        <f t="shared" si="33"/>
        <v>0</v>
      </c>
      <c r="AI65" s="33">
        <f t="shared" si="33"/>
        <v>0</v>
      </c>
      <c r="AJ65" s="33">
        <f t="shared" si="33"/>
        <v>0</v>
      </c>
      <c r="AK65" s="34">
        <f>SUM(F65:AJ65)</f>
        <v>0</v>
      </c>
      <c r="AL65" s="360">
        <f>HLOOKUP(LEFT(Summary!$D$3,2),Actual!F48:AJ95,18,FALSE)</f>
        <v>0</v>
      </c>
      <c r="AM65" s="65">
        <f>+AK65+AK69+AK73+AK77</f>
        <v>0</v>
      </c>
      <c r="AN65" s="163">
        <f>AM65/30000</f>
        <v>0</v>
      </c>
      <c r="AO65" s="65">
        <f>AM65/1000</f>
        <v>0</v>
      </c>
      <c r="AQ65" s="65">
        <f>AM65/23</f>
        <v>0</v>
      </c>
      <c r="AS65" s="65">
        <f>AK65</f>
        <v>0</v>
      </c>
      <c r="AT65" s="519" t="s">
        <v>173</v>
      </c>
      <c r="AU65" s="65">
        <f>V$119</f>
        <v>0</v>
      </c>
      <c r="AV65" s="65">
        <f>V$120</f>
        <v>0</v>
      </c>
      <c r="AW65" s="65">
        <f>V$121</f>
        <v>0</v>
      </c>
      <c r="AX65" s="65">
        <f>V$123</f>
        <v>0</v>
      </c>
      <c r="AY65" s="65">
        <f>V$124</f>
        <v>0</v>
      </c>
      <c r="AZ65" s="65">
        <f>V$125</f>
        <v>0</v>
      </c>
    </row>
    <row r="66" spans="2:52" ht="15" hidden="1" customHeight="1" outlineLevel="1">
      <c r="C66" s="963" t="s">
        <v>208</v>
      </c>
      <c r="D66" s="955" t="s">
        <v>216</v>
      </c>
      <c r="E66" s="42" t="s">
        <v>212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>SUM(F66:AJ66)</f>
        <v>0</v>
      </c>
      <c r="AL66" s="357">
        <f>HLOOKUP(LEFT(Summary!$D$3,2),Actual!$F$48:$AJ$95,19,FALSE)</f>
        <v>0</v>
      </c>
      <c r="AM66" s="69"/>
      <c r="AQ66" s="65"/>
      <c r="AS66" s="65">
        <f>+AK69</f>
        <v>0</v>
      </c>
      <c r="AT66" s="519" t="s">
        <v>174</v>
      </c>
      <c r="AU66" s="65">
        <f>W$119</f>
        <v>0</v>
      </c>
      <c r="AV66" s="65">
        <f>W$120</f>
        <v>0</v>
      </c>
      <c r="AW66" s="65">
        <f>W$121</f>
        <v>0</v>
      </c>
      <c r="AX66" s="65">
        <f>W$123</f>
        <v>0</v>
      </c>
      <c r="AY66" s="65">
        <f>W$124</f>
        <v>0</v>
      </c>
      <c r="AZ66" s="65">
        <f>W$125</f>
        <v>0</v>
      </c>
    </row>
    <row r="67" spans="2:52" ht="15" hidden="1" customHeight="1" outlineLevel="1">
      <c r="C67" s="963" t="s">
        <v>208</v>
      </c>
      <c r="D67" s="955" t="s">
        <v>216</v>
      </c>
      <c r="E67" s="42" t="s">
        <v>213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>SUM(F67:AJ67)</f>
        <v>0</v>
      </c>
      <c r="AL67" s="357">
        <f>HLOOKUP(LEFT(Summary!$D$3,2),Actual!$F$48:$AJ$95,20,FALSE)</f>
        <v>0</v>
      </c>
      <c r="AM67" s="69"/>
      <c r="AQ67" s="65"/>
      <c r="AS67" s="65">
        <f>+AK73</f>
        <v>0</v>
      </c>
      <c r="AT67" s="519" t="s">
        <v>175</v>
      </c>
      <c r="AU67" s="65">
        <f>X$119</f>
        <v>0</v>
      </c>
      <c r="AV67" s="65">
        <f>X$120</f>
        <v>0</v>
      </c>
      <c r="AW67" s="65">
        <f>X$121</f>
        <v>0</v>
      </c>
      <c r="AX67" s="65">
        <f>X$123</f>
        <v>0</v>
      </c>
      <c r="AY67" s="65">
        <f>X$124</f>
        <v>0</v>
      </c>
      <c r="AZ67" s="65">
        <f>X$125</f>
        <v>0</v>
      </c>
    </row>
    <row r="68" spans="2:52" ht="14.65" hidden="1" customHeight="1" outlineLevel="1">
      <c r="B68" s="41"/>
      <c r="C68" s="963" t="s">
        <v>208</v>
      </c>
      <c r="D68" s="955" t="s">
        <v>216</v>
      </c>
      <c r="E68" s="952" t="s">
        <v>214</v>
      </c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>
        <f>SUM(F68:AJ68)</f>
        <v>0</v>
      </c>
      <c r="AL68" s="359">
        <f>HLOOKUP(LEFT(Summary!D3,2),Actual!F48:AJ95,21,FALSE)</f>
        <v>0</v>
      </c>
      <c r="AM68" s="69"/>
      <c r="AP68" s="5"/>
      <c r="AQ68" s="65"/>
      <c r="AS68" s="65"/>
      <c r="AT68" s="519" t="s">
        <v>176</v>
      </c>
      <c r="AU68" s="65">
        <f>Y$119</f>
        <v>0</v>
      </c>
      <c r="AV68" s="65">
        <f>Y$120</f>
        <v>0</v>
      </c>
      <c r="AW68" s="65">
        <f>Y$121</f>
        <v>0</v>
      </c>
      <c r="AX68" s="65">
        <f>Y$123</f>
        <v>0</v>
      </c>
      <c r="AY68" s="65">
        <f>Y$124</f>
        <v>0</v>
      </c>
      <c r="AZ68" s="65">
        <f>Y$125</f>
        <v>0</v>
      </c>
    </row>
    <row r="69" spans="2:52" ht="15" hidden="1" customHeight="1" outlineLevel="1">
      <c r="C69" s="531"/>
      <c r="D69" s="955" t="s">
        <v>216</v>
      </c>
      <c r="E69" s="5" t="s">
        <v>209</v>
      </c>
      <c r="F69" s="35">
        <f>SUM(F70:F72)</f>
        <v>0</v>
      </c>
      <c r="G69" s="35">
        <f t="shared" ref="G69:AJ69" si="34">SUM(G70:G72)</f>
        <v>0</v>
      </c>
      <c r="H69" s="35">
        <f t="shared" si="34"/>
        <v>0</v>
      </c>
      <c r="I69" s="35">
        <f t="shared" si="34"/>
        <v>0</v>
      </c>
      <c r="J69" s="35">
        <f t="shared" si="34"/>
        <v>0</v>
      </c>
      <c r="K69" s="35">
        <f t="shared" si="34"/>
        <v>0</v>
      </c>
      <c r="L69" s="35">
        <f t="shared" si="34"/>
        <v>0</v>
      </c>
      <c r="M69" s="35">
        <f t="shared" si="34"/>
        <v>0</v>
      </c>
      <c r="N69" s="35">
        <f t="shared" si="34"/>
        <v>0</v>
      </c>
      <c r="O69" s="35">
        <f t="shared" si="34"/>
        <v>0</v>
      </c>
      <c r="P69" s="35">
        <f t="shared" si="34"/>
        <v>0</v>
      </c>
      <c r="Q69" s="35">
        <f t="shared" si="34"/>
        <v>0</v>
      </c>
      <c r="R69" s="35">
        <f t="shared" si="34"/>
        <v>0</v>
      </c>
      <c r="S69" s="35">
        <f t="shared" si="34"/>
        <v>0</v>
      </c>
      <c r="T69" s="35">
        <f t="shared" si="34"/>
        <v>0</v>
      </c>
      <c r="U69" s="35">
        <f t="shared" si="34"/>
        <v>0</v>
      </c>
      <c r="V69" s="35">
        <f t="shared" si="34"/>
        <v>0</v>
      </c>
      <c r="W69" s="35">
        <f t="shared" si="34"/>
        <v>0</v>
      </c>
      <c r="X69" s="35">
        <f t="shared" si="34"/>
        <v>0</v>
      </c>
      <c r="Y69" s="35">
        <f t="shared" si="34"/>
        <v>0</v>
      </c>
      <c r="Z69" s="35">
        <f t="shared" si="34"/>
        <v>0</v>
      </c>
      <c r="AA69" s="35">
        <f t="shared" si="34"/>
        <v>0</v>
      </c>
      <c r="AB69" s="35">
        <f t="shared" si="34"/>
        <v>0</v>
      </c>
      <c r="AC69" s="35">
        <f t="shared" si="34"/>
        <v>0</v>
      </c>
      <c r="AD69" s="35">
        <f t="shared" si="34"/>
        <v>0</v>
      </c>
      <c r="AE69" s="35">
        <f t="shared" si="34"/>
        <v>0</v>
      </c>
      <c r="AF69" s="35">
        <f t="shared" si="34"/>
        <v>0</v>
      </c>
      <c r="AG69" s="35">
        <f t="shared" si="34"/>
        <v>0</v>
      </c>
      <c r="AH69" s="35">
        <f t="shared" si="34"/>
        <v>0</v>
      </c>
      <c r="AI69" s="35">
        <f t="shared" si="34"/>
        <v>0</v>
      </c>
      <c r="AJ69" s="35">
        <f t="shared" si="34"/>
        <v>0</v>
      </c>
      <c r="AK69" s="36">
        <f t="shared" si="28"/>
        <v>0</v>
      </c>
      <c r="AL69" s="376">
        <f>HLOOKUP(LEFT(Summary!D3,2),Actual!F48:AJ95,22,FALSE)</f>
        <v>0</v>
      </c>
      <c r="AM69" s="69"/>
      <c r="AQ69" s="65"/>
      <c r="AT69" s="519" t="s">
        <v>177</v>
      </c>
      <c r="AU69" s="65">
        <f>Z$119</f>
        <v>0</v>
      </c>
      <c r="AV69" s="65">
        <f>Z$120</f>
        <v>0</v>
      </c>
      <c r="AW69" s="65">
        <f>Z$121</f>
        <v>0</v>
      </c>
      <c r="AX69" s="65">
        <f>Z$123</f>
        <v>0</v>
      </c>
      <c r="AY69" s="65">
        <f>Z$124</f>
        <v>0</v>
      </c>
      <c r="AZ69" s="65">
        <f>Z$125</f>
        <v>0</v>
      </c>
    </row>
    <row r="70" spans="2:52" ht="15" hidden="1" customHeight="1" outlineLevel="1">
      <c r="C70" s="964" t="s">
        <v>209</v>
      </c>
      <c r="D70" s="955" t="s">
        <v>216</v>
      </c>
      <c r="E70" s="42" t="s">
        <v>212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28"/>
        <v>0</v>
      </c>
      <c r="AL70" s="377">
        <f>HLOOKUP(LEFT(Summary!D3,2),Actual!F48:AJ95,23,FALSE)</f>
        <v>0</v>
      </c>
      <c r="AM70" s="69"/>
      <c r="AQ70" s="65"/>
      <c r="AT70" s="519" t="s">
        <v>178</v>
      </c>
      <c r="AU70" s="65">
        <f>AA$119</f>
        <v>0</v>
      </c>
      <c r="AV70" s="65">
        <f>AA$120</f>
        <v>0</v>
      </c>
      <c r="AW70" s="65">
        <f>AA$121</f>
        <v>0</v>
      </c>
      <c r="AX70" s="65">
        <f>AA$123</f>
        <v>0</v>
      </c>
      <c r="AY70" s="65">
        <f>AA$124</f>
        <v>0</v>
      </c>
      <c r="AZ70" s="65">
        <f>AA$125</f>
        <v>0</v>
      </c>
    </row>
    <row r="71" spans="2:52" ht="15" hidden="1" customHeight="1" outlineLevel="1">
      <c r="C71" s="964" t="s">
        <v>209</v>
      </c>
      <c r="D71" s="955" t="s">
        <v>216</v>
      </c>
      <c r="E71" s="42" t="s">
        <v>213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9">
        <f t="shared" si="28"/>
        <v>0</v>
      </c>
      <c r="AL71" s="378">
        <f>HLOOKUP(LEFT(Summary!D3,2),Actual!F48:AJ95,24,FALSE)</f>
        <v>0</v>
      </c>
      <c r="AM71" s="69"/>
      <c r="AQ71" s="65"/>
      <c r="AT71" s="604" t="s">
        <v>179</v>
      </c>
      <c r="AU71" s="65">
        <f>AB$119</f>
        <v>0</v>
      </c>
      <c r="AV71" s="65">
        <f>AB$120</f>
        <v>0</v>
      </c>
      <c r="AW71" s="65">
        <f>AB$121</f>
        <v>0</v>
      </c>
      <c r="AX71" s="65">
        <f>AB$123</f>
        <v>0</v>
      </c>
      <c r="AY71" s="65">
        <f>AB$124</f>
        <v>0</v>
      </c>
      <c r="AZ71" s="65">
        <f>AB$125</f>
        <v>0</v>
      </c>
    </row>
    <row r="72" spans="2:52" ht="14.65" hidden="1" customHeight="1" outlineLevel="1">
      <c r="B72" s="41"/>
      <c r="C72" s="964" t="s">
        <v>209</v>
      </c>
      <c r="D72" s="955" t="s">
        <v>216</v>
      </c>
      <c r="E72" s="952" t="s">
        <v>214</v>
      </c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>
        <f>SUM(F72:AJ72)</f>
        <v>0</v>
      </c>
      <c r="AL72" s="359">
        <f>HLOOKUP(LEFT(Summary!D3,2),Actual!F48:AJ95,25,FALSE)</f>
        <v>0</v>
      </c>
      <c r="AM72" s="69"/>
      <c r="AP72" s="5"/>
      <c r="AQ72" s="65"/>
      <c r="AS72" s="65"/>
      <c r="AT72" s="519" t="s">
        <v>180</v>
      </c>
      <c r="AU72" s="65">
        <f>AC$119</f>
        <v>0</v>
      </c>
      <c r="AV72" s="65">
        <f>AC$120</f>
        <v>0</v>
      </c>
      <c r="AW72" s="65">
        <f>AC$121</f>
        <v>0</v>
      </c>
      <c r="AX72" s="65">
        <f>AC$123</f>
        <v>0</v>
      </c>
      <c r="AY72" s="65">
        <f>AC$124</f>
        <v>0</v>
      </c>
      <c r="AZ72" s="65">
        <f>AC$125</f>
        <v>0</v>
      </c>
    </row>
    <row r="73" spans="2:52" ht="15" hidden="1" customHeight="1" outlineLevel="1">
      <c r="C73" s="531"/>
      <c r="D73" s="955" t="s">
        <v>216</v>
      </c>
      <c r="E73" s="5" t="s">
        <v>210</v>
      </c>
      <c r="F73" s="33">
        <f>SUM(F74:F76)</f>
        <v>0</v>
      </c>
      <c r="G73" s="33">
        <f t="shared" ref="G73:AJ73" si="35">SUM(G74:G76)</f>
        <v>0</v>
      </c>
      <c r="H73" s="33">
        <f t="shared" si="35"/>
        <v>0</v>
      </c>
      <c r="I73" s="33">
        <f t="shared" si="35"/>
        <v>0</v>
      </c>
      <c r="J73" s="33">
        <f t="shared" si="35"/>
        <v>0</v>
      </c>
      <c r="K73" s="33">
        <f t="shared" si="35"/>
        <v>0</v>
      </c>
      <c r="L73" s="33">
        <f t="shared" si="35"/>
        <v>0</v>
      </c>
      <c r="M73" s="33">
        <f t="shared" si="35"/>
        <v>0</v>
      </c>
      <c r="N73" s="33">
        <f t="shared" si="35"/>
        <v>0</v>
      </c>
      <c r="O73" s="33">
        <f t="shared" si="35"/>
        <v>0</v>
      </c>
      <c r="P73" s="33">
        <f t="shared" si="35"/>
        <v>0</v>
      </c>
      <c r="Q73" s="33">
        <f t="shared" si="35"/>
        <v>0</v>
      </c>
      <c r="R73" s="33">
        <f t="shared" si="35"/>
        <v>0</v>
      </c>
      <c r="S73" s="33">
        <f t="shared" si="35"/>
        <v>0</v>
      </c>
      <c r="T73" s="33">
        <f t="shared" si="35"/>
        <v>0</v>
      </c>
      <c r="U73" s="33">
        <f t="shared" si="35"/>
        <v>0</v>
      </c>
      <c r="V73" s="33">
        <f t="shared" si="35"/>
        <v>0</v>
      </c>
      <c r="W73" s="33">
        <f t="shared" si="35"/>
        <v>0</v>
      </c>
      <c r="X73" s="33">
        <f t="shared" si="35"/>
        <v>0</v>
      </c>
      <c r="Y73" s="33">
        <f t="shared" si="35"/>
        <v>0</v>
      </c>
      <c r="Z73" s="33">
        <f t="shared" si="35"/>
        <v>0</v>
      </c>
      <c r="AA73" s="33">
        <f t="shared" si="35"/>
        <v>0</v>
      </c>
      <c r="AB73" s="33">
        <f t="shared" si="35"/>
        <v>0</v>
      </c>
      <c r="AC73" s="33">
        <f t="shared" si="35"/>
        <v>0</v>
      </c>
      <c r="AD73" s="33">
        <f t="shared" si="35"/>
        <v>0</v>
      </c>
      <c r="AE73" s="33">
        <f t="shared" si="35"/>
        <v>0</v>
      </c>
      <c r="AF73" s="33">
        <f t="shared" si="35"/>
        <v>0</v>
      </c>
      <c r="AG73" s="33">
        <f t="shared" si="35"/>
        <v>0</v>
      </c>
      <c r="AH73" s="33">
        <f t="shared" si="35"/>
        <v>0</v>
      </c>
      <c r="AI73" s="33">
        <f t="shared" si="35"/>
        <v>0</v>
      </c>
      <c r="AJ73" s="33">
        <f t="shared" si="35"/>
        <v>0</v>
      </c>
      <c r="AK73" s="34">
        <f t="shared" si="28"/>
        <v>0</v>
      </c>
      <c r="AL73" s="360">
        <f>HLOOKUP(LEFT(Summary!$D$3,2),Actual!$F$48:$AJ$95,26,FALSE)</f>
        <v>0</v>
      </c>
      <c r="AM73" s="69"/>
      <c r="AQ73" s="65"/>
      <c r="AT73" s="519" t="s">
        <v>181</v>
      </c>
      <c r="AU73" s="65">
        <f>AD$119</f>
        <v>0</v>
      </c>
      <c r="AV73" s="65">
        <f>AD$120</f>
        <v>0</v>
      </c>
      <c r="AW73" s="65">
        <f>AD$121</f>
        <v>0</v>
      </c>
      <c r="AX73" s="65">
        <f>AD$123</f>
        <v>0</v>
      </c>
      <c r="AY73" s="65">
        <f>AD$124</f>
        <v>0</v>
      </c>
      <c r="AZ73" s="65">
        <f>AD$125</f>
        <v>0</v>
      </c>
    </row>
    <row r="74" spans="2:52" ht="15" hidden="1" customHeight="1" outlineLevel="1">
      <c r="C74" s="964" t="s">
        <v>210</v>
      </c>
      <c r="D74" s="955" t="s">
        <v>216</v>
      </c>
      <c r="E74" s="42" t="s">
        <v>212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28"/>
        <v>0</v>
      </c>
      <c r="AL74" s="357">
        <f>HLOOKUP(LEFT(Summary!$D$3,2),Actual!$F$48:$AJ$95,27,FALSE)</f>
        <v>0</v>
      </c>
      <c r="AM74" s="69"/>
      <c r="AQ74" s="65"/>
      <c r="AT74" s="519" t="s">
        <v>182</v>
      </c>
      <c r="AU74" s="65">
        <f>AE$119</f>
        <v>0</v>
      </c>
      <c r="AV74" s="65">
        <f>AE$120</f>
        <v>0</v>
      </c>
      <c r="AW74" s="65">
        <f>AE$121</f>
        <v>0</v>
      </c>
      <c r="AX74" s="65">
        <f>AE$123</f>
        <v>0</v>
      </c>
      <c r="AY74" s="65">
        <f>AE$124</f>
        <v>0</v>
      </c>
      <c r="AZ74" s="65">
        <f>AE$125</f>
        <v>0</v>
      </c>
    </row>
    <row r="75" spans="2:52" ht="15.75" hidden="1" customHeight="1" outlineLevel="1">
      <c r="C75" s="964" t="s">
        <v>210</v>
      </c>
      <c r="D75" s="955" t="s">
        <v>216</v>
      </c>
      <c r="E75" s="42" t="s">
        <v>213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9">
        <f t="shared" si="28"/>
        <v>0</v>
      </c>
      <c r="AL75" s="358">
        <f>HLOOKUP(LEFT(Summary!$D$3,2),Actual!$F$48:$AJ$95,28,FALSE)</f>
        <v>0</v>
      </c>
      <c r="AM75" s="69"/>
      <c r="AQ75" s="65"/>
      <c r="AT75" s="519" t="s">
        <v>183</v>
      </c>
      <c r="AU75" s="65">
        <f>AF$119</f>
        <v>0</v>
      </c>
      <c r="AV75" s="65">
        <f>AF$120</f>
        <v>0</v>
      </c>
      <c r="AW75" s="65">
        <f>AF$121</f>
        <v>0</v>
      </c>
      <c r="AX75" s="65">
        <f>AF$123</f>
        <v>0</v>
      </c>
      <c r="AY75" s="65">
        <f>AF$124</f>
        <v>0</v>
      </c>
      <c r="AZ75" s="65">
        <f>AF$125</f>
        <v>0</v>
      </c>
    </row>
    <row r="76" spans="2:52" ht="14.65" hidden="1" customHeight="1" outlineLevel="1">
      <c r="B76" s="41"/>
      <c r="C76" s="964" t="s">
        <v>210</v>
      </c>
      <c r="D76" s="955" t="s">
        <v>216</v>
      </c>
      <c r="E76" s="952" t="s">
        <v>214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>
        <f t="shared" si="28"/>
        <v>0</v>
      </c>
      <c r="AL76" s="358">
        <f>HLOOKUP(LEFT(Summary!$D$3,2),Actual!$F$48:$AJ$95,29,FALSE)</f>
        <v>0</v>
      </c>
      <c r="AM76" s="69"/>
      <c r="AP76" s="5"/>
      <c r="AQ76" s="65"/>
      <c r="AS76" s="65"/>
      <c r="AT76" s="519" t="s">
        <v>184</v>
      </c>
      <c r="AU76" s="65">
        <f>AG$119</f>
        <v>0</v>
      </c>
      <c r="AV76" s="65">
        <f>AG$120</f>
        <v>0</v>
      </c>
      <c r="AW76" s="65">
        <f>AG$121</f>
        <v>0</v>
      </c>
      <c r="AX76" s="65">
        <f>AG$123</f>
        <v>0</v>
      </c>
      <c r="AY76" s="65">
        <f>AG$124</f>
        <v>0</v>
      </c>
      <c r="AZ76" s="65">
        <f>AG$125</f>
        <v>0</v>
      </c>
    </row>
    <row r="77" spans="2:52" ht="15.75" hidden="1" customHeight="1" outlineLevel="1">
      <c r="C77" s="531"/>
      <c r="D77" s="955" t="s">
        <v>216</v>
      </c>
      <c r="E77" s="5" t="s">
        <v>215</v>
      </c>
      <c r="F77" s="33">
        <f>SUM(F78:F80)</f>
        <v>0</v>
      </c>
      <c r="G77" s="33">
        <f t="shared" ref="G77:AJ77" si="36">SUM(G78:G80)</f>
        <v>0</v>
      </c>
      <c r="H77" s="33">
        <f t="shared" si="36"/>
        <v>0</v>
      </c>
      <c r="I77" s="33">
        <f t="shared" si="36"/>
        <v>0</v>
      </c>
      <c r="J77" s="33">
        <f t="shared" si="36"/>
        <v>0</v>
      </c>
      <c r="K77" s="33">
        <f t="shared" si="36"/>
        <v>0</v>
      </c>
      <c r="L77" s="33">
        <f t="shared" si="36"/>
        <v>0</v>
      </c>
      <c r="M77" s="33">
        <f t="shared" si="36"/>
        <v>0</v>
      </c>
      <c r="N77" s="33">
        <f t="shared" si="36"/>
        <v>0</v>
      </c>
      <c r="O77" s="33">
        <f t="shared" si="36"/>
        <v>0</v>
      </c>
      <c r="P77" s="33">
        <f t="shared" si="36"/>
        <v>0</v>
      </c>
      <c r="Q77" s="33">
        <f t="shared" si="36"/>
        <v>0</v>
      </c>
      <c r="R77" s="33">
        <f t="shared" si="36"/>
        <v>0</v>
      </c>
      <c r="S77" s="33">
        <f t="shared" si="36"/>
        <v>0</v>
      </c>
      <c r="T77" s="33">
        <f t="shared" si="36"/>
        <v>0</v>
      </c>
      <c r="U77" s="33">
        <f t="shared" si="36"/>
        <v>0</v>
      </c>
      <c r="V77" s="33">
        <f t="shared" si="36"/>
        <v>0</v>
      </c>
      <c r="W77" s="33">
        <f t="shared" si="36"/>
        <v>0</v>
      </c>
      <c r="X77" s="33">
        <f t="shared" si="36"/>
        <v>0</v>
      </c>
      <c r="Y77" s="33">
        <f t="shared" si="36"/>
        <v>0</v>
      </c>
      <c r="Z77" s="33">
        <f t="shared" si="36"/>
        <v>0</v>
      </c>
      <c r="AA77" s="33">
        <f t="shared" si="36"/>
        <v>0</v>
      </c>
      <c r="AB77" s="33">
        <f t="shared" si="36"/>
        <v>0</v>
      </c>
      <c r="AC77" s="33">
        <f t="shared" si="36"/>
        <v>0</v>
      </c>
      <c r="AD77" s="33">
        <f t="shared" si="36"/>
        <v>0</v>
      </c>
      <c r="AE77" s="33">
        <f t="shared" si="36"/>
        <v>0</v>
      </c>
      <c r="AF77" s="33">
        <f t="shared" si="36"/>
        <v>0</v>
      </c>
      <c r="AG77" s="33">
        <f t="shared" si="36"/>
        <v>0</v>
      </c>
      <c r="AH77" s="33">
        <f t="shared" si="36"/>
        <v>0</v>
      </c>
      <c r="AI77" s="33">
        <f t="shared" si="36"/>
        <v>0</v>
      </c>
      <c r="AJ77" s="33">
        <f t="shared" si="36"/>
        <v>0</v>
      </c>
      <c r="AK77" s="34">
        <f t="shared" ref="AK77:AK83" si="37">SUM(F77:AJ77)</f>
        <v>0</v>
      </c>
      <c r="AL77" s="360">
        <f>HLOOKUP(LEFT(Summary!$D$3,2),Actual!$F$48:$AJ$95,30,FALSE)</f>
        <v>0</v>
      </c>
      <c r="AM77" s="69"/>
      <c r="AQ77" s="65"/>
      <c r="AT77" s="519" t="s">
        <v>185</v>
      </c>
      <c r="AU77" s="65">
        <f>AH$119</f>
        <v>0</v>
      </c>
      <c r="AV77" s="65">
        <f>AH$120</f>
        <v>0</v>
      </c>
      <c r="AW77" s="65">
        <f>AH$121</f>
        <v>0</v>
      </c>
      <c r="AX77" s="65">
        <f>AH$123</f>
        <v>0</v>
      </c>
      <c r="AY77" s="65">
        <f>AH$124</f>
        <v>0</v>
      </c>
      <c r="AZ77" s="65">
        <f>AH$125</f>
        <v>0</v>
      </c>
    </row>
    <row r="78" spans="2:52" ht="15.75" hidden="1" customHeight="1" outlineLevel="1">
      <c r="C78" s="531"/>
      <c r="D78" s="955" t="s">
        <v>216</v>
      </c>
      <c r="E78" s="42" t="s">
        <v>212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37"/>
        <v>0</v>
      </c>
      <c r="AL78" s="357">
        <f>HLOOKUP(LEFT(Summary!$D$3,2),Actual!$F$48:$AJ$95,31,FALSE)</f>
        <v>0</v>
      </c>
      <c r="AM78" s="69"/>
      <c r="AQ78" s="65"/>
      <c r="AT78" s="519" t="s">
        <v>186</v>
      </c>
      <c r="AU78" s="65">
        <f>AI$119</f>
        <v>0</v>
      </c>
      <c r="AV78" s="65">
        <f>AI$120</f>
        <v>0</v>
      </c>
      <c r="AW78" s="65">
        <f>AI$121</f>
        <v>0</v>
      </c>
      <c r="AX78" s="65">
        <f>AI$123</f>
        <v>0</v>
      </c>
      <c r="AY78" s="65">
        <f>AI$124</f>
        <v>0</v>
      </c>
      <c r="AZ78" s="65">
        <f>AI$125</f>
        <v>0</v>
      </c>
    </row>
    <row r="79" spans="2:52" ht="15.75" hidden="1" customHeight="1" outlineLevel="1">
      <c r="C79" s="531"/>
      <c r="D79" s="955" t="s">
        <v>216</v>
      </c>
      <c r="E79" s="42" t="s">
        <v>213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9">
        <f t="shared" si="37"/>
        <v>0</v>
      </c>
      <c r="AL79" s="358">
        <f>HLOOKUP(LEFT(Summary!$D$3,2),Actual!$F$48:$AJ$95,32,FALSE)</f>
        <v>0</v>
      </c>
      <c r="AM79" s="69"/>
      <c r="AQ79" s="65"/>
      <c r="AT79" s="519" t="s">
        <v>187</v>
      </c>
      <c r="AU79" s="65">
        <f>AJ$119</f>
        <v>0</v>
      </c>
      <c r="AV79" s="65">
        <f>AJ$120</f>
        <v>0</v>
      </c>
      <c r="AW79" s="65">
        <f>AJ$121</f>
        <v>0</v>
      </c>
      <c r="AX79" s="65">
        <f>AJ$123</f>
        <v>0</v>
      </c>
      <c r="AY79" s="65">
        <f>AJ$124</f>
        <v>0</v>
      </c>
      <c r="AZ79" s="65">
        <f>AJ$125</f>
        <v>0</v>
      </c>
    </row>
    <row r="80" spans="2:52" ht="14.65" hidden="1" customHeight="1" outlineLevel="1" thickBot="1">
      <c r="B80" s="41"/>
      <c r="C80" s="531"/>
      <c r="D80" s="956" t="s">
        <v>216</v>
      </c>
      <c r="E80" s="810" t="s">
        <v>214</v>
      </c>
      <c r="F80" s="811"/>
      <c r="G80" s="811"/>
      <c r="H80" s="811"/>
      <c r="I80" s="811"/>
      <c r="J80" s="811"/>
      <c r="K80" s="811"/>
      <c r="L80" s="811"/>
      <c r="M80" s="811"/>
      <c r="N80" s="811"/>
      <c r="O80" s="811"/>
      <c r="P80" s="811"/>
      <c r="Q80" s="811"/>
      <c r="R80" s="811"/>
      <c r="S80" s="811"/>
      <c r="T80" s="811"/>
      <c r="U80" s="811"/>
      <c r="V80" s="811"/>
      <c r="W80" s="811"/>
      <c r="X80" s="811"/>
      <c r="Y80" s="811"/>
      <c r="Z80" s="811"/>
      <c r="AA80" s="811"/>
      <c r="AB80" s="811"/>
      <c r="AC80" s="811"/>
      <c r="AD80" s="811"/>
      <c r="AE80" s="811"/>
      <c r="AF80" s="811"/>
      <c r="AG80" s="811"/>
      <c r="AH80" s="811"/>
      <c r="AI80" s="811"/>
      <c r="AJ80" s="811"/>
      <c r="AK80" s="811">
        <f>SUM(F80:AJ80)</f>
        <v>0</v>
      </c>
      <c r="AL80" s="812">
        <f>HLOOKUP(LEFT(Summary!D3,2),Actual!F48:AJ95,33,FALSE)</f>
        <v>0</v>
      </c>
      <c r="AM80" s="69"/>
      <c r="AP80" s="5"/>
      <c r="AQ80" s="65"/>
      <c r="AS80" s="65"/>
    </row>
    <row r="81" spans="2:45" ht="15" customHeight="1" collapsed="1">
      <c r="C81" s="530" t="s">
        <v>211</v>
      </c>
      <c r="D81" s="529" t="s">
        <v>217</v>
      </c>
      <c r="E81" s="5" t="s">
        <v>208</v>
      </c>
      <c r="F81" s="33">
        <f>SUM(F82:F84)</f>
        <v>0</v>
      </c>
      <c r="G81" s="33">
        <f t="shared" ref="G81:AJ81" si="38">SUM(G82:G84)</f>
        <v>0</v>
      </c>
      <c r="H81" s="33">
        <f t="shared" si="38"/>
        <v>0</v>
      </c>
      <c r="I81" s="33">
        <f t="shared" si="38"/>
        <v>0</v>
      </c>
      <c r="J81" s="33">
        <f t="shared" si="38"/>
        <v>0</v>
      </c>
      <c r="K81" s="33">
        <f t="shared" si="38"/>
        <v>0</v>
      </c>
      <c r="L81" s="33">
        <f t="shared" si="38"/>
        <v>0</v>
      </c>
      <c r="M81" s="33">
        <f t="shared" si="38"/>
        <v>0</v>
      </c>
      <c r="N81" s="33">
        <f t="shared" si="38"/>
        <v>0</v>
      </c>
      <c r="O81" s="33">
        <f t="shared" si="38"/>
        <v>0</v>
      </c>
      <c r="P81" s="33">
        <f t="shared" si="38"/>
        <v>0</v>
      </c>
      <c r="Q81" s="33">
        <f t="shared" si="38"/>
        <v>0</v>
      </c>
      <c r="R81" s="33">
        <f t="shared" si="38"/>
        <v>0</v>
      </c>
      <c r="S81" s="33">
        <f t="shared" si="38"/>
        <v>0</v>
      </c>
      <c r="T81" s="33">
        <f t="shared" si="38"/>
        <v>0</v>
      </c>
      <c r="U81" s="33">
        <f t="shared" si="38"/>
        <v>0</v>
      </c>
      <c r="V81" s="33">
        <f t="shared" si="38"/>
        <v>0</v>
      </c>
      <c r="W81" s="33">
        <f t="shared" si="38"/>
        <v>0</v>
      </c>
      <c r="X81" s="33">
        <f t="shared" si="38"/>
        <v>0</v>
      </c>
      <c r="Y81" s="33">
        <f t="shared" si="38"/>
        <v>0</v>
      </c>
      <c r="Z81" s="33">
        <f t="shared" si="38"/>
        <v>0</v>
      </c>
      <c r="AA81" s="33">
        <f t="shared" si="38"/>
        <v>0</v>
      </c>
      <c r="AB81" s="33">
        <f t="shared" si="38"/>
        <v>0</v>
      </c>
      <c r="AC81" s="33">
        <f t="shared" si="38"/>
        <v>0</v>
      </c>
      <c r="AD81" s="33">
        <f t="shared" si="38"/>
        <v>0</v>
      </c>
      <c r="AE81" s="33">
        <f t="shared" si="38"/>
        <v>0</v>
      </c>
      <c r="AF81" s="33">
        <f t="shared" si="38"/>
        <v>0</v>
      </c>
      <c r="AG81" s="33">
        <f t="shared" si="38"/>
        <v>0</v>
      </c>
      <c r="AH81" s="33">
        <f t="shared" si="38"/>
        <v>0</v>
      </c>
      <c r="AI81" s="33">
        <f t="shared" si="38"/>
        <v>0</v>
      </c>
      <c r="AJ81" s="33">
        <f t="shared" si="38"/>
        <v>0</v>
      </c>
      <c r="AK81" s="34">
        <f t="shared" si="37"/>
        <v>0</v>
      </c>
      <c r="AL81" s="360">
        <f>HLOOKUP(LEFT(Summary!$D$3,2),Actual!F48:AJ95,34,FALSE)</f>
        <v>0</v>
      </c>
      <c r="AM81" s="65">
        <f>+AK81+AK85+AK89+AK93</f>
        <v>0</v>
      </c>
      <c r="AN81" s="163">
        <f>AM81/30000</f>
        <v>0</v>
      </c>
      <c r="AO81" s="65">
        <f>AM81/1000</f>
        <v>0</v>
      </c>
      <c r="AQ81" s="65"/>
      <c r="AS81" s="65">
        <f>AK81</f>
        <v>0</v>
      </c>
    </row>
    <row r="82" spans="2:45" ht="15" customHeight="1">
      <c r="C82" s="963" t="s">
        <v>208</v>
      </c>
      <c r="D82" s="955" t="s">
        <v>217</v>
      </c>
      <c r="E82" s="42" t="s">
        <v>212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37"/>
        <v>0</v>
      </c>
      <c r="AL82" s="357">
        <f>HLOOKUP(LEFT(Summary!$D$3,2),Actual!$F$48:$AJ$95,35,FALSE)</f>
        <v>0</v>
      </c>
      <c r="AM82" s="69"/>
      <c r="AQ82" s="65"/>
      <c r="AS82" s="65"/>
    </row>
    <row r="83" spans="2:45" ht="15" customHeight="1">
      <c r="C83" s="963" t="s">
        <v>208</v>
      </c>
      <c r="D83" s="955" t="s">
        <v>217</v>
      </c>
      <c r="E83" s="42" t="s">
        <v>213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37"/>
        <v>0</v>
      </c>
      <c r="AL83" s="357">
        <f>HLOOKUP(LEFT(Summary!$D$3,2),Actual!$F$48:$AJ$95,36,FALSE)</f>
        <v>0</v>
      </c>
      <c r="AM83" s="69"/>
      <c r="AQ83" s="65"/>
      <c r="AS83" s="65"/>
    </row>
    <row r="84" spans="2:45" ht="14.65" customHeight="1">
      <c r="B84" s="41"/>
      <c r="C84" s="963" t="s">
        <v>208</v>
      </c>
      <c r="D84" s="955" t="s">
        <v>217</v>
      </c>
      <c r="E84" s="952" t="s">
        <v>214</v>
      </c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>
        <f>SUM(F84:AJ84)</f>
        <v>0</v>
      </c>
      <c r="AL84" s="359">
        <f>HLOOKUP(LEFT(Summary!D3,2),Actual!F48:AJ96,37,FALSE)</f>
        <v>0</v>
      </c>
      <c r="AM84" s="69"/>
      <c r="AP84" s="5"/>
      <c r="AQ84" s="65"/>
      <c r="AS84" s="65"/>
    </row>
    <row r="85" spans="2:45" ht="15" customHeight="1">
      <c r="C85" s="531"/>
      <c r="D85" s="955" t="s">
        <v>217</v>
      </c>
      <c r="E85" s="5" t="s">
        <v>209</v>
      </c>
      <c r="F85" s="35">
        <f>SUM(F86:F88)</f>
        <v>0</v>
      </c>
      <c r="G85" s="35">
        <f t="shared" ref="G85:AJ85" si="39">SUM(G86:G88)</f>
        <v>0</v>
      </c>
      <c r="H85" s="35">
        <f t="shared" si="39"/>
        <v>0</v>
      </c>
      <c r="I85" s="35">
        <f t="shared" si="39"/>
        <v>0</v>
      </c>
      <c r="J85" s="35">
        <f t="shared" si="39"/>
        <v>0</v>
      </c>
      <c r="K85" s="35">
        <f t="shared" si="39"/>
        <v>0</v>
      </c>
      <c r="L85" s="35">
        <f t="shared" si="39"/>
        <v>0</v>
      </c>
      <c r="M85" s="35">
        <f t="shared" si="39"/>
        <v>0</v>
      </c>
      <c r="N85" s="35">
        <f t="shared" si="39"/>
        <v>0</v>
      </c>
      <c r="O85" s="35">
        <f t="shared" si="39"/>
        <v>0</v>
      </c>
      <c r="P85" s="35">
        <f t="shared" si="39"/>
        <v>0</v>
      </c>
      <c r="Q85" s="35">
        <f t="shared" si="39"/>
        <v>0</v>
      </c>
      <c r="R85" s="35">
        <f t="shared" si="39"/>
        <v>0</v>
      </c>
      <c r="S85" s="35">
        <f t="shared" si="39"/>
        <v>0</v>
      </c>
      <c r="T85" s="35">
        <f t="shared" si="39"/>
        <v>0</v>
      </c>
      <c r="U85" s="35">
        <f t="shared" si="39"/>
        <v>0</v>
      </c>
      <c r="V85" s="35">
        <f t="shared" si="39"/>
        <v>0</v>
      </c>
      <c r="W85" s="35">
        <f t="shared" si="39"/>
        <v>0</v>
      </c>
      <c r="X85" s="35">
        <f t="shared" si="39"/>
        <v>0</v>
      </c>
      <c r="Y85" s="35">
        <f t="shared" si="39"/>
        <v>0</v>
      </c>
      <c r="Z85" s="35">
        <f t="shared" si="39"/>
        <v>0</v>
      </c>
      <c r="AA85" s="35">
        <f t="shared" si="39"/>
        <v>0</v>
      </c>
      <c r="AB85" s="35">
        <f t="shared" si="39"/>
        <v>0</v>
      </c>
      <c r="AC85" s="35">
        <f t="shared" si="39"/>
        <v>0</v>
      </c>
      <c r="AD85" s="35">
        <f t="shared" si="39"/>
        <v>0</v>
      </c>
      <c r="AE85" s="35">
        <f t="shared" si="39"/>
        <v>0</v>
      </c>
      <c r="AF85" s="35">
        <f t="shared" si="39"/>
        <v>0</v>
      </c>
      <c r="AG85" s="35">
        <f t="shared" si="39"/>
        <v>0</v>
      </c>
      <c r="AH85" s="35">
        <f t="shared" si="39"/>
        <v>0</v>
      </c>
      <c r="AI85" s="35">
        <f t="shared" si="39"/>
        <v>0</v>
      </c>
      <c r="AJ85" s="35">
        <f t="shared" si="39"/>
        <v>0</v>
      </c>
      <c r="AK85" s="36">
        <f t="shared" ref="AK85:AK91" si="40">SUM(F85:AJ85)</f>
        <v>0</v>
      </c>
      <c r="AL85" s="376">
        <f>HLOOKUP(LEFT(Summary!D3,2),Actual!F48:AJ95,38,FALSE)</f>
        <v>0</v>
      </c>
      <c r="AM85" s="69"/>
      <c r="AQ85" s="65"/>
    </row>
    <row r="86" spans="2:45" ht="15" customHeight="1">
      <c r="C86" s="964" t="s">
        <v>209</v>
      </c>
      <c r="D86" s="955" t="s">
        <v>217</v>
      </c>
      <c r="E86" s="42" t="s">
        <v>212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40"/>
        <v>0</v>
      </c>
      <c r="AL86" s="377">
        <f>HLOOKUP(LEFT(Summary!D3,2),Actual!F48:AJ91,39,FALSE)</f>
        <v>0</v>
      </c>
      <c r="AM86" s="69"/>
      <c r="AQ86" s="65"/>
    </row>
    <row r="87" spans="2:45" ht="15" customHeight="1">
      <c r="C87" s="964" t="s">
        <v>209</v>
      </c>
      <c r="D87" s="955" t="s">
        <v>217</v>
      </c>
      <c r="E87" s="42" t="s">
        <v>213</v>
      </c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9">
        <f t="shared" si="40"/>
        <v>0</v>
      </c>
      <c r="AL87" s="378">
        <f>HLOOKUP(LEFT(Summary!D3,2),Actual!F48:AJ95,40,FALSE)</f>
        <v>0</v>
      </c>
      <c r="AM87" s="69"/>
      <c r="AQ87" s="65"/>
    </row>
    <row r="88" spans="2:45" ht="14.65" customHeight="1">
      <c r="B88" s="41"/>
      <c r="C88" s="964" t="s">
        <v>209</v>
      </c>
      <c r="D88" s="955" t="s">
        <v>217</v>
      </c>
      <c r="E88" s="952" t="s">
        <v>214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>
        <f>SUM(F88:AJ88)</f>
        <v>0</v>
      </c>
      <c r="AL88" s="359">
        <f>HLOOKUP(LEFT(Summary!D3,2),Actual!F48:AJ96,41,FALSE)</f>
        <v>0</v>
      </c>
      <c r="AM88" s="69"/>
      <c r="AP88" s="5"/>
      <c r="AQ88" s="65"/>
      <c r="AS88" s="65"/>
    </row>
    <row r="89" spans="2:45" ht="15" customHeight="1">
      <c r="C89" s="531"/>
      <c r="D89" s="955" t="s">
        <v>217</v>
      </c>
      <c r="E89" s="5" t="s">
        <v>210</v>
      </c>
      <c r="F89" s="33">
        <f>SUM(F90:F92)</f>
        <v>0</v>
      </c>
      <c r="G89" s="33">
        <f t="shared" ref="G89:AJ89" si="41">SUM(G90:G92)</f>
        <v>0</v>
      </c>
      <c r="H89" s="33">
        <f t="shared" si="41"/>
        <v>0</v>
      </c>
      <c r="I89" s="33">
        <f t="shared" si="41"/>
        <v>0</v>
      </c>
      <c r="J89" s="33">
        <f t="shared" si="41"/>
        <v>0</v>
      </c>
      <c r="K89" s="33">
        <f t="shared" si="41"/>
        <v>0</v>
      </c>
      <c r="L89" s="33">
        <f t="shared" si="41"/>
        <v>0</v>
      </c>
      <c r="M89" s="33">
        <f t="shared" si="41"/>
        <v>0</v>
      </c>
      <c r="N89" s="33">
        <f t="shared" si="41"/>
        <v>0</v>
      </c>
      <c r="O89" s="33">
        <f t="shared" si="41"/>
        <v>0</v>
      </c>
      <c r="P89" s="33">
        <f t="shared" si="41"/>
        <v>0</v>
      </c>
      <c r="Q89" s="33">
        <f t="shared" si="41"/>
        <v>0</v>
      </c>
      <c r="R89" s="33">
        <f t="shared" si="41"/>
        <v>0</v>
      </c>
      <c r="S89" s="33">
        <f t="shared" si="41"/>
        <v>0</v>
      </c>
      <c r="T89" s="33">
        <f t="shared" si="41"/>
        <v>0</v>
      </c>
      <c r="U89" s="33">
        <f t="shared" si="41"/>
        <v>0</v>
      </c>
      <c r="V89" s="33">
        <f t="shared" si="41"/>
        <v>0</v>
      </c>
      <c r="W89" s="33">
        <f t="shared" si="41"/>
        <v>0</v>
      </c>
      <c r="X89" s="33">
        <f t="shared" si="41"/>
        <v>0</v>
      </c>
      <c r="Y89" s="33">
        <f t="shared" si="41"/>
        <v>0</v>
      </c>
      <c r="Z89" s="33">
        <f t="shared" si="41"/>
        <v>0</v>
      </c>
      <c r="AA89" s="33">
        <f t="shared" si="41"/>
        <v>0</v>
      </c>
      <c r="AB89" s="33">
        <f t="shared" si="41"/>
        <v>0</v>
      </c>
      <c r="AC89" s="33">
        <f t="shared" si="41"/>
        <v>0</v>
      </c>
      <c r="AD89" s="33">
        <f t="shared" si="41"/>
        <v>0</v>
      </c>
      <c r="AE89" s="33">
        <f t="shared" si="41"/>
        <v>0</v>
      </c>
      <c r="AF89" s="33">
        <f t="shared" si="41"/>
        <v>0</v>
      </c>
      <c r="AG89" s="33">
        <f t="shared" si="41"/>
        <v>0</v>
      </c>
      <c r="AH89" s="33">
        <f t="shared" si="41"/>
        <v>0</v>
      </c>
      <c r="AI89" s="33">
        <f t="shared" si="41"/>
        <v>0</v>
      </c>
      <c r="AJ89" s="33">
        <f t="shared" si="41"/>
        <v>0</v>
      </c>
      <c r="AK89" s="34">
        <f t="shared" si="40"/>
        <v>0</v>
      </c>
      <c r="AL89" s="360">
        <f>HLOOKUP(LEFT(Summary!$D$3,2),Actual!$F$48:$AJ$96,42,FALSE)</f>
        <v>0</v>
      </c>
      <c r="AM89" s="69"/>
      <c r="AQ89" s="65"/>
    </row>
    <row r="90" spans="2:45" ht="15" customHeight="1">
      <c r="C90" s="964" t="s">
        <v>210</v>
      </c>
      <c r="D90" s="955" t="s">
        <v>217</v>
      </c>
      <c r="E90" s="42" t="s">
        <v>212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40"/>
        <v>0</v>
      </c>
      <c r="AL90" s="357">
        <f>HLOOKUP(LEFT(Summary!$D$3,2),Actual!$F$48:$AJ$95,43,FALSE)</f>
        <v>0</v>
      </c>
      <c r="AM90" s="69"/>
      <c r="AQ90" s="65"/>
    </row>
    <row r="91" spans="2:45" ht="15.75" customHeight="1">
      <c r="C91" s="964" t="s">
        <v>210</v>
      </c>
      <c r="D91" s="955" t="s">
        <v>217</v>
      </c>
      <c r="E91" s="42" t="s">
        <v>213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9">
        <f t="shared" si="40"/>
        <v>0</v>
      </c>
      <c r="AL91" s="358">
        <f>HLOOKUP(LEFT(Summary!$D$3,2),Actual!$F$48:$AJ$95,44,FALSE)</f>
        <v>0</v>
      </c>
      <c r="AM91" s="69"/>
      <c r="AQ91" s="65"/>
    </row>
    <row r="92" spans="2:45" ht="14.65" customHeight="1">
      <c r="B92" s="41"/>
      <c r="C92" s="964" t="s">
        <v>210</v>
      </c>
      <c r="D92" s="955" t="s">
        <v>217</v>
      </c>
      <c r="E92" s="952" t="s">
        <v>214</v>
      </c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3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>
        <f>SUM(F92:AJ92)</f>
        <v>0</v>
      </c>
      <c r="AL92" s="358">
        <f>HLOOKUP(LEFT(Summary!$D$3,2),Actual!$F$48:$AJ$95,45,FALSE)</f>
        <v>0</v>
      </c>
      <c r="AM92" s="69"/>
      <c r="AP92" s="5"/>
      <c r="AQ92" s="65"/>
      <c r="AS92" s="65"/>
    </row>
    <row r="93" spans="2:45" ht="15.75" customHeight="1">
      <c r="C93" s="531"/>
      <c r="D93" s="955" t="s">
        <v>217</v>
      </c>
      <c r="E93" s="5" t="s">
        <v>215</v>
      </c>
      <c r="F93" s="33">
        <f>SUM(F94:F96)</f>
        <v>0</v>
      </c>
      <c r="G93" s="33">
        <f t="shared" ref="G93:AJ93" si="42">SUM(G94:G96)</f>
        <v>0</v>
      </c>
      <c r="H93" s="33">
        <f t="shared" si="42"/>
        <v>0</v>
      </c>
      <c r="I93" s="33">
        <f t="shared" si="42"/>
        <v>0</v>
      </c>
      <c r="J93" s="33">
        <f t="shared" si="42"/>
        <v>0</v>
      </c>
      <c r="K93" s="33">
        <f t="shared" si="42"/>
        <v>0</v>
      </c>
      <c r="L93" s="33">
        <f t="shared" si="42"/>
        <v>0</v>
      </c>
      <c r="M93" s="33">
        <f t="shared" si="42"/>
        <v>0</v>
      </c>
      <c r="N93" s="33">
        <f t="shared" si="42"/>
        <v>0</v>
      </c>
      <c r="O93" s="33">
        <f t="shared" si="42"/>
        <v>0</v>
      </c>
      <c r="P93" s="33">
        <f t="shared" si="42"/>
        <v>0</v>
      </c>
      <c r="Q93" s="33">
        <f t="shared" si="42"/>
        <v>0</v>
      </c>
      <c r="R93" s="33">
        <f t="shared" si="42"/>
        <v>0</v>
      </c>
      <c r="S93" s="33">
        <f t="shared" si="42"/>
        <v>0</v>
      </c>
      <c r="T93" s="33">
        <f t="shared" si="42"/>
        <v>0</v>
      </c>
      <c r="U93" s="33">
        <f t="shared" si="42"/>
        <v>0</v>
      </c>
      <c r="V93" s="33">
        <f t="shared" si="42"/>
        <v>0</v>
      </c>
      <c r="W93" s="33">
        <f t="shared" si="42"/>
        <v>0</v>
      </c>
      <c r="X93" s="33">
        <f t="shared" si="42"/>
        <v>0</v>
      </c>
      <c r="Y93" s="33">
        <f t="shared" si="42"/>
        <v>0</v>
      </c>
      <c r="Z93" s="33">
        <f t="shared" si="42"/>
        <v>0</v>
      </c>
      <c r="AA93" s="33">
        <f t="shared" si="42"/>
        <v>0</v>
      </c>
      <c r="AB93" s="33">
        <f t="shared" si="42"/>
        <v>0</v>
      </c>
      <c r="AC93" s="33">
        <f t="shared" si="42"/>
        <v>0</v>
      </c>
      <c r="AD93" s="33">
        <f t="shared" si="42"/>
        <v>0</v>
      </c>
      <c r="AE93" s="33">
        <f t="shared" si="42"/>
        <v>0</v>
      </c>
      <c r="AF93" s="33">
        <f t="shared" si="42"/>
        <v>0</v>
      </c>
      <c r="AG93" s="33">
        <f t="shared" si="42"/>
        <v>0</v>
      </c>
      <c r="AH93" s="33">
        <f t="shared" si="42"/>
        <v>0</v>
      </c>
      <c r="AI93" s="33">
        <f t="shared" si="42"/>
        <v>0</v>
      </c>
      <c r="AJ93" s="33">
        <f t="shared" si="42"/>
        <v>0</v>
      </c>
      <c r="AK93" s="34">
        <f t="shared" ref="AK93:AK108" si="43">SUM(F93:AJ93)</f>
        <v>0</v>
      </c>
      <c r="AL93" s="360">
        <f>HLOOKUP(LEFT(Summary!$D$3,2),Actual!$F$48:$AJ$95,46,FALSE)</f>
        <v>0</v>
      </c>
      <c r="AM93" s="69"/>
      <c r="AQ93" s="65"/>
    </row>
    <row r="94" spans="2:45" ht="15.75" customHeight="1">
      <c r="C94" s="531"/>
      <c r="D94" s="955" t="s">
        <v>217</v>
      </c>
      <c r="E94" s="42" t="s">
        <v>212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>
        <f t="shared" si="43"/>
        <v>0</v>
      </c>
      <c r="AL94" s="357">
        <f>HLOOKUP(LEFT(Summary!$D$3,2),Actual!$F$48:$AJ$95,47,FALSE)</f>
        <v>0</v>
      </c>
      <c r="AM94" s="69"/>
      <c r="AQ94" s="65"/>
    </row>
    <row r="95" spans="2:45" ht="15.75" customHeight="1">
      <c r="C95" s="531"/>
      <c r="D95" s="955" t="s">
        <v>217</v>
      </c>
      <c r="E95" s="42" t="s">
        <v>213</v>
      </c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9">
        <f t="shared" si="43"/>
        <v>0</v>
      </c>
      <c r="AL95" s="358">
        <f>HLOOKUP(LEFT(Summary!$D$3,2),Actual!$F$48:$AJ$95,48,FALSE)</f>
        <v>0</v>
      </c>
      <c r="AM95" s="69"/>
      <c r="AQ95" s="65"/>
    </row>
    <row r="96" spans="2:45" ht="14.65" customHeight="1" thickBot="1">
      <c r="B96" s="41"/>
      <c r="C96" s="531"/>
      <c r="D96" s="956" t="s">
        <v>217</v>
      </c>
      <c r="E96" s="810" t="s">
        <v>214</v>
      </c>
      <c r="F96" s="811"/>
      <c r="G96" s="811"/>
      <c r="H96" s="811"/>
      <c r="I96" s="811"/>
      <c r="J96" s="811"/>
      <c r="K96" s="811"/>
      <c r="L96" s="811"/>
      <c r="M96" s="811"/>
      <c r="N96" s="811"/>
      <c r="O96" s="811"/>
      <c r="P96" s="811"/>
      <c r="Q96" s="811"/>
      <c r="R96" s="811"/>
      <c r="S96" s="811"/>
      <c r="T96" s="811"/>
      <c r="U96" s="811"/>
      <c r="V96" s="811"/>
      <c r="W96" s="811"/>
      <c r="X96" s="811"/>
      <c r="Y96" s="811"/>
      <c r="Z96" s="811"/>
      <c r="AA96" s="811"/>
      <c r="AB96" s="811"/>
      <c r="AC96" s="811"/>
      <c r="AD96" s="811"/>
      <c r="AE96" s="811"/>
      <c r="AF96" s="811"/>
      <c r="AG96" s="811"/>
      <c r="AH96" s="811"/>
      <c r="AI96" s="811"/>
      <c r="AJ96" s="811"/>
      <c r="AK96" s="811">
        <f>SUM(F96:AJ96)</f>
        <v>0</v>
      </c>
      <c r="AL96" s="812">
        <f>HLOOKUP(LEFT(Summary!D3,2),Actual!F48:AJ96,49,FALSE)</f>
        <v>0</v>
      </c>
      <c r="AM96" s="69"/>
      <c r="AP96" s="5"/>
      <c r="AQ96" s="65"/>
      <c r="AS96" s="65"/>
    </row>
    <row r="97" spans="3:43" ht="15.75" customHeight="1">
      <c r="C97" s="803"/>
      <c r="D97" s="804"/>
      <c r="E97" s="958" t="s">
        <v>218</v>
      </c>
      <c r="F97" s="959">
        <f>+SUM(F98:F100)</f>
        <v>0</v>
      </c>
      <c r="G97" s="959">
        <f t="shared" ref="G97:AJ97" si="44">+SUM(G98:G100)</f>
        <v>0</v>
      </c>
      <c r="H97" s="959">
        <f t="shared" si="44"/>
        <v>0</v>
      </c>
      <c r="I97" s="959">
        <f t="shared" si="44"/>
        <v>0</v>
      </c>
      <c r="J97" s="959">
        <f t="shared" si="44"/>
        <v>0</v>
      </c>
      <c r="K97" s="959">
        <f t="shared" si="44"/>
        <v>0</v>
      </c>
      <c r="L97" s="959">
        <f t="shared" si="44"/>
        <v>0</v>
      </c>
      <c r="M97" s="959">
        <f t="shared" si="44"/>
        <v>0</v>
      </c>
      <c r="N97" s="959">
        <f t="shared" si="44"/>
        <v>0</v>
      </c>
      <c r="O97" s="959">
        <f t="shared" si="44"/>
        <v>0</v>
      </c>
      <c r="P97" s="959">
        <f t="shared" si="44"/>
        <v>0</v>
      </c>
      <c r="Q97" s="959">
        <f t="shared" si="44"/>
        <v>0</v>
      </c>
      <c r="R97" s="959">
        <f t="shared" si="44"/>
        <v>0</v>
      </c>
      <c r="S97" s="959">
        <f t="shared" si="44"/>
        <v>0</v>
      </c>
      <c r="T97" s="959">
        <f t="shared" si="44"/>
        <v>0</v>
      </c>
      <c r="U97" s="959">
        <f t="shared" si="44"/>
        <v>0</v>
      </c>
      <c r="V97" s="959">
        <f t="shared" si="44"/>
        <v>0</v>
      </c>
      <c r="W97" s="959">
        <f t="shared" si="44"/>
        <v>0</v>
      </c>
      <c r="X97" s="959">
        <f t="shared" si="44"/>
        <v>0</v>
      </c>
      <c r="Y97" s="959">
        <f t="shared" si="44"/>
        <v>0</v>
      </c>
      <c r="Z97" s="959">
        <f t="shared" si="44"/>
        <v>0</v>
      </c>
      <c r="AA97" s="959">
        <f t="shared" si="44"/>
        <v>0</v>
      </c>
      <c r="AB97" s="959">
        <f t="shared" si="44"/>
        <v>0</v>
      </c>
      <c r="AC97" s="959">
        <f t="shared" si="44"/>
        <v>0</v>
      </c>
      <c r="AD97" s="959">
        <f t="shared" si="44"/>
        <v>0</v>
      </c>
      <c r="AE97" s="959">
        <f t="shared" si="44"/>
        <v>0</v>
      </c>
      <c r="AF97" s="959">
        <f t="shared" si="44"/>
        <v>0</v>
      </c>
      <c r="AG97" s="959">
        <f t="shared" si="44"/>
        <v>0</v>
      </c>
      <c r="AH97" s="959">
        <f t="shared" si="44"/>
        <v>0</v>
      </c>
      <c r="AI97" s="959">
        <f t="shared" si="44"/>
        <v>0</v>
      </c>
      <c r="AJ97" s="959">
        <f t="shared" si="44"/>
        <v>0</v>
      </c>
      <c r="AK97" s="959">
        <f t="shared" si="43"/>
        <v>0</v>
      </c>
      <c r="AL97" s="376">
        <f>HLOOKUP(LEFT(Summary!$D$3,2),Actual!$F$48:$AJ$125,50,FALSE)</f>
        <v>0</v>
      </c>
      <c r="AM97" s="69">
        <f>+AVERAGE(F97:AE97)</f>
        <v>0</v>
      </c>
      <c r="AN97" s="65">
        <f>AK97/1000</f>
        <v>0</v>
      </c>
      <c r="AO97" s="163">
        <f>+AK97/AK109</f>
        <v>0</v>
      </c>
      <c r="AQ97" s="65"/>
    </row>
    <row r="98" spans="3:43" ht="15.75" hidden="1" customHeight="1" outlineLevel="1">
      <c r="C98" s="805"/>
      <c r="D98" s="722"/>
      <c r="E98" s="954" t="s">
        <v>190</v>
      </c>
      <c r="F98" s="957">
        <f>+SUMIFS(F$49:F$96,$D$49:$D$96,"ARKA",$E$49:$E$96,"GRA1")</f>
        <v>0</v>
      </c>
      <c r="G98" s="801">
        <f t="shared" ref="G98:AJ98" si="45">+SUMIFS(G$49:G$96,$D$49:$D$96,"ARKA",$E$49:$E$96,"GRA1")</f>
        <v>0</v>
      </c>
      <c r="H98" s="801">
        <f t="shared" si="45"/>
        <v>0</v>
      </c>
      <c r="I98" s="801">
        <f t="shared" si="45"/>
        <v>0</v>
      </c>
      <c r="J98" s="801">
        <f t="shared" si="45"/>
        <v>0</v>
      </c>
      <c r="K98" s="801">
        <f t="shared" si="45"/>
        <v>0</v>
      </c>
      <c r="L98" s="801">
        <f t="shared" si="45"/>
        <v>0</v>
      </c>
      <c r="M98" s="801">
        <f t="shared" si="45"/>
        <v>0</v>
      </c>
      <c r="N98" s="801">
        <f t="shared" si="45"/>
        <v>0</v>
      </c>
      <c r="O98" s="801">
        <f t="shared" si="45"/>
        <v>0</v>
      </c>
      <c r="P98" s="801">
        <f t="shared" si="45"/>
        <v>0</v>
      </c>
      <c r="Q98" s="801">
        <f t="shared" si="45"/>
        <v>0</v>
      </c>
      <c r="R98" s="801">
        <f t="shared" si="45"/>
        <v>0</v>
      </c>
      <c r="S98" s="801">
        <f t="shared" si="45"/>
        <v>0</v>
      </c>
      <c r="T98" s="801">
        <f t="shared" si="45"/>
        <v>0</v>
      </c>
      <c r="U98" s="801">
        <f t="shared" si="45"/>
        <v>0</v>
      </c>
      <c r="V98" s="801">
        <f t="shared" si="45"/>
        <v>0</v>
      </c>
      <c r="W98" s="801">
        <f t="shared" si="45"/>
        <v>0</v>
      </c>
      <c r="X98" s="801">
        <f t="shared" si="45"/>
        <v>0</v>
      </c>
      <c r="Y98" s="801">
        <f t="shared" si="45"/>
        <v>0</v>
      </c>
      <c r="Z98" s="801">
        <f t="shared" si="45"/>
        <v>0</v>
      </c>
      <c r="AA98" s="801">
        <f t="shared" si="45"/>
        <v>0</v>
      </c>
      <c r="AB98" s="801">
        <f t="shared" si="45"/>
        <v>0</v>
      </c>
      <c r="AC98" s="801">
        <f t="shared" si="45"/>
        <v>0</v>
      </c>
      <c r="AD98" s="801">
        <f t="shared" si="45"/>
        <v>0</v>
      </c>
      <c r="AE98" s="801">
        <f t="shared" si="45"/>
        <v>0</v>
      </c>
      <c r="AF98" s="801">
        <f t="shared" si="45"/>
        <v>0</v>
      </c>
      <c r="AG98" s="801">
        <f t="shared" si="45"/>
        <v>0</v>
      </c>
      <c r="AH98" s="801">
        <f t="shared" si="45"/>
        <v>0</v>
      </c>
      <c r="AI98" s="801">
        <f t="shared" si="45"/>
        <v>0</v>
      </c>
      <c r="AJ98" s="801">
        <f t="shared" si="45"/>
        <v>0</v>
      </c>
      <c r="AK98" s="801">
        <f t="shared" si="43"/>
        <v>0</v>
      </c>
      <c r="AL98" s="953"/>
      <c r="AM98" s="69"/>
      <c r="AQ98" s="65"/>
    </row>
    <row r="99" spans="3:43" ht="15.75" hidden="1" customHeight="1" outlineLevel="1">
      <c r="C99" s="805"/>
      <c r="D99" s="722"/>
      <c r="E99" s="954" t="s">
        <v>217</v>
      </c>
      <c r="F99" s="957">
        <f>+SUMIFS(F$49:F$96,$D$49:$D$96,"IWJ",$E$49:$E$96,"GRA1")</f>
        <v>0</v>
      </c>
      <c r="G99" s="801">
        <f t="shared" ref="G99:AJ99" si="46">+SUMIFS(G$49:G$96,$D$49:$D$96,"IWJ",$E$49:$E$96,"GRA1")</f>
        <v>0</v>
      </c>
      <c r="H99" s="801">
        <f t="shared" si="46"/>
        <v>0</v>
      </c>
      <c r="I99" s="801">
        <f t="shared" si="46"/>
        <v>0</v>
      </c>
      <c r="J99" s="801">
        <f t="shared" si="46"/>
        <v>0</v>
      </c>
      <c r="K99" s="801">
        <f t="shared" si="46"/>
        <v>0</v>
      </c>
      <c r="L99" s="801">
        <f t="shared" si="46"/>
        <v>0</v>
      </c>
      <c r="M99" s="801">
        <f t="shared" si="46"/>
        <v>0</v>
      </c>
      <c r="N99" s="801">
        <f t="shared" si="46"/>
        <v>0</v>
      </c>
      <c r="O99" s="801">
        <f t="shared" si="46"/>
        <v>0</v>
      </c>
      <c r="P99" s="801">
        <f t="shared" si="46"/>
        <v>0</v>
      </c>
      <c r="Q99" s="801">
        <f t="shared" si="46"/>
        <v>0</v>
      </c>
      <c r="R99" s="801">
        <f t="shared" si="46"/>
        <v>0</v>
      </c>
      <c r="S99" s="801">
        <f t="shared" si="46"/>
        <v>0</v>
      </c>
      <c r="T99" s="801">
        <f t="shared" si="46"/>
        <v>0</v>
      </c>
      <c r="U99" s="801">
        <f t="shared" si="46"/>
        <v>0</v>
      </c>
      <c r="V99" s="801">
        <f t="shared" si="46"/>
        <v>0</v>
      </c>
      <c r="W99" s="801">
        <f t="shared" si="46"/>
        <v>0</v>
      </c>
      <c r="X99" s="801">
        <f t="shared" si="46"/>
        <v>0</v>
      </c>
      <c r="Y99" s="801">
        <f t="shared" si="46"/>
        <v>0</v>
      </c>
      <c r="Z99" s="801">
        <f t="shared" si="46"/>
        <v>0</v>
      </c>
      <c r="AA99" s="801">
        <f t="shared" si="46"/>
        <v>0</v>
      </c>
      <c r="AB99" s="801">
        <f t="shared" si="46"/>
        <v>0</v>
      </c>
      <c r="AC99" s="801">
        <f t="shared" si="46"/>
        <v>0</v>
      </c>
      <c r="AD99" s="801">
        <f t="shared" si="46"/>
        <v>0</v>
      </c>
      <c r="AE99" s="801">
        <f t="shared" si="46"/>
        <v>0</v>
      </c>
      <c r="AF99" s="801">
        <f t="shared" si="46"/>
        <v>0</v>
      </c>
      <c r="AG99" s="801">
        <f t="shared" si="46"/>
        <v>0</v>
      </c>
      <c r="AH99" s="801">
        <f t="shared" si="46"/>
        <v>0</v>
      </c>
      <c r="AI99" s="801">
        <f t="shared" si="46"/>
        <v>0</v>
      </c>
      <c r="AJ99" s="801">
        <f t="shared" si="46"/>
        <v>0</v>
      </c>
      <c r="AK99" s="801">
        <f t="shared" si="43"/>
        <v>0</v>
      </c>
      <c r="AL99" s="953"/>
      <c r="AM99" s="69"/>
      <c r="AQ99" s="65"/>
    </row>
    <row r="100" spans="3:43" ht="15.75" hidden="1" customHeight="1" outlineLevel="1">
      <c r="C100" s="805"/>
      <c r="D100" s="722"/>
      <c r="E100" s="954" t="s">
        <v>216</v>
      </c>
      <c r="F100" s="957">
        <f>+SUMIFS(F$49:F$96,$D$49:$D$96,"SLS",$E$49:$E$96,"GRA1")</f>
        <v>0</v>
      </c>
      <c r="G100" s="801">
        <f t="shared" ref="G100:AJ100" si="47">+SUMIFS(G$49:G$96,$D$49:$D$96,"SLS",$E$49:$E$96,"GRA1")</f>
        <v>0</v>
      </c>
      <c r="H100" s="801">
        <f t="shared" si="47"/>
        <v>0</v>
      </c>
      <c r="I100" s="801">
        <f t="shared" si="47"/>
        <v>0</v>
      </c>
      <c r="J100" s="801">
        <f t="shared" si="47"/>
        <v>0</v>
      </c>
      <c r="K100" s="801">
        <f t="shared" si="47"/>
        <v>0</v>
      </c>
      <c r="L100" s="801">
        <f t="shared" si="47"/>
        <v>0</v>
      </c>
      <c r="M100" s="801">
        <f t="shared" si="47"/>
        <v>0</v>
      </c>
      <c r="N100" s="801">
        <f t="shared" si="47"/>
        <v>0</v>
      </c>
      <c r="O100" s="801">
        <f t="shared" si="47"/>
        <v>0</v>
      </c>
      <c r="P100" s="801">
        <f t="shared" si="47"/>
        <v>0</v>
      </c>
      <c r="Q100" s="801">
        <f t="shared" si="47"/>
        <v>0</v>
      </c>
      <c r="R100" s="801">
        <f t="shared" si="47"/>
        <v>0</v>
      </c>
      <c r="S100" s="801">
        <f t="shared" si="47"/>
        <v>0</v>
      </c>
      <c r="T100" s="801">
        <f t="shared" si="47"/>
        <v>0</v>
      </c>
      <c r="U100" s="801">
        <f t="shared" si="47"/>
        <v>0</v>
      </c>
      <c r="V100" s="801">
        <f t="shared" si="47"/>
        <v>0</v>
      </c>
      <c r="W100" s="801">
        <f t="shared" si="47"/>
        <v>0</v>
      </c>
      <c r="X100" s="801">
        <f t="shared" si="47"/>
        <v>0</v>
      </c>
      <c r="Y100" s="801">
        <f t="shared" si="47"/>
        <v>0</v>
      </c>
      <c r="Z100" s="801">
        <f t="shared" si="47"/>
        <v>0</v>
      </c>
      <c r="AA100" s="801">
        <f t="shared" si="47"/>
        <v>0</v>
      </c>
      <c r="AB100" s="801">
        <f t="shared" si="47"/>
        <v>0</v>
      </c>
      <c r="AC100" s="801">
        <f t="shared" si="47"/>
        <v>0</v>
      </c>
      <c r="AD100" s="801">
        <f t="shared" si="47"/>
        <v>0</v>
      </c>
      <c r="AE100" s="801">
        <f t="shared" si="47"/>
        <v>0</v>
      </c>
      <c r="AF100" s="801">
        <f t="shared" si="47"/>
        <v>0</v>
      </c>
      <c r="AG100" s="801">
        <f t="shared" si="47"/>
        <v>0</v>
      </c>
      <c r="AH100" s="801">
        <f t="shared" si="47"/>
        <v>0</v>
      </c>
      <c r="AI100" s="801">
        <f t="shared" si="47"/>
        <v>0</v>
      </c>
      <c r="AJ100" s="801">
        <f t="shared" si="47"/>
        <v>0</v>
      </c>
      <c r="AK100" s="801">
        <f t="shared" si="43"/>
        <v>0</v>
      </c>
      <c r="AL100" s="953"/>
      <c r="AM100" s="69"/>
      <c r="AQ100" s="65"/>
    </row>
    <row r="101" spans="3:43" ht="15.75" customHeight="1" collapsed="1">
      <c r="C101" s="805"/>
      <c r="D101" s="722"/>
      <c r="E101" s="958" t="s">
        <v>219</v>
      </c>
      <c r="F101" s="959">
        <f>+SUM(F102:F104)</f>
        <v>0</v>
      </c>
      <c r="G101" s="959">
        <f t="shared" ref="G101:AJ101" si="48">+SUM(G102:G104)</f>
        <v>0</v>
      </c>
      <c r="H101" s="959">
        <f t="shared" si="48"/>
        <v>0</v>
      </c>
      <c r="I101" s="959">
        <f t="shared" si="48"/>
        <v>0</v>
      </c>
      <c r="J101" s="959">
        <f t="shared" si="48"/>
        <v>1312.8979999999999</v>
      </c>
      <c r="K101" s="959">
        <f t="shared" si="48"/>
        <v>0</v>
      </c>
      <c r="L101" s="959">
        <f t="shared" si="48"/>
        <v>0</v>
      </c>
      <c r="M101" s="959">
        <f t="shared" si="48"/>
        <v>0</v>
      </c>
      <c r="N101" s="959">
        <f t="shared" si="48"/>
        <v>0</v>
      </c>
      <c r="O101" s="959">
        <f t="shared" si="48"/>
        <v>0</v>
      </c>
      <c r="P101" s="959">
        <f t="shared" si="48"/>
        <v>0</v>
      </c>
      <c r="Q101" s="959">
        <f t="shared" si="48"/>
        <v>0</v>
      </c>
      <c r="R101" s="959">
        <f t="shared" si="48"/>
        <v>0</v>
      </c>
      <c r="S101" s="959">
        <f t="shared" si="48"/>
        <v>0</v>
      </c>
      <c r="T101" s="959">
        <f t="shared" si="48"/>
        <v>0</v>
      </c>
      <c r="U101" s="959">
        <f t="shared" si="48"/>
        <v>0</v>
      </c>
      <c r="V101" s="959">
        <f t="shared" si="48"/>
        <v>0</v>
      </c>
      <c r="W101" s="959">
        <f t="shared" si="48"/>
        <v>0</v>
      </c>
      <c r="X101" s="959">
        <f t="shared" si="48"/>
        <v>0</v>
      </c>
      <c r="Y101" s="959">
        <f t="shared" si="48"/>
        <v>0</v>
      </c>
      <c r="Z101" s="959">
        <f t="shared" si="48"/>
        <v>0</v>
      </c>
      <c r="AA101" s="959">
        <f t="shared" si="48"/>
        <v>0</v>
      </c>
      <c r="AB101" s="959">
        <f t="shared" si="48"/>
        <v>0</v>
      </c>
      <c r="AC101" s="959">
        <f t="shared" si="48"/>
        <v>0</v>
      </c>
      <c r="AD101" s="959">
        <f t="shared" si="48"/>
        <v>0</v>
      </c>
      <c r="AE101" s="959">
        <f t="shared" si="48"/>
        <v>0</v>
      </c>
      <c r="AF101" s="959">
        <f t="shared" si="48"/>
        <v>0</v>
      </c>
      <c r="AG101" s="959">
        <f t="shared" si="48"/>
        <v>0</v>
      </c>
      <c r="AH101" s="959">
        <f t="shared" si="48"/>
        <v>0</v>
      </c>
      <c r="AI101" s="959">
        <f t="shared" si="48"/>
        <v>0</v>
      </c>
      <c r="AJ101" s="959">
        <f t="shared" si="48"/>
        <v>0</v>
      </c>
      <c r="AK101" s="1240">
        <f t="shared" si="43"/>
        <v>1312.8979999999999</v>
      </c>
      <c r="AL101" s="376">
        <f>HLOOKUP(LEFT(Summary!$D$3,2),Actual!$F$48:$AJ$108,54,FALSE)</f>
        <v>0</v>
      </c>
      <c r="AM101" s="69">
        <f>+AVERAGE(F101:AE101)</f>
        <v>50.49607692307692</v>
      </c>
      <c r="AN101" s="65">
        <f>AK101/1000</f>
        <v>1.3128979999999999</v>
      </c>
      <c r="AO101" s="163">
        <f>+AK101/AK109</f>
        <v>1</v>
      </c>
      <c r="AQ101" s="65"/>
    </row>
    <row r="102" spans="3:43" ht="15.75" hidden="1" customHeight="1" outlineLevel="1">
      <c r="C102" s="805"/>
      <c r="D102" s="722"/>
      <c r="E102" s="954" t="s">
        <v>190</v>
      </c>
      <c r="F102" s="957">
        <f>+SUMIFS(F$49:F$96,$D$49:$D$96,"ARKA",$E$49:$E$96,"GRA")</f>
        <v>0</v>
      </c>
      <c r="G102" s="801">
        <f t="shared" ref="G102:AJ102" si="49">+SUMIFS(G$49:G$96,$D$49:$D$96,"ARKA",$E$49:$E$96,"GRA")</f>
        <v>0</v>
      </c>
      <c r="H102" s="801">
        <f t="shared" si="49"/>
        <v>0</v>
      </c>
      <c r="I102" s="801">
        <f t="shared" si="49"/>
        <v>0</v>
      </c>
      <c r="J102" s="801">
        <f t="shared" si="49"/>
        <v>1312.8979999999999</v>
      </c>
      <c r="K102" s="801">
        <f t="shared" si="49"/>
        <v>0</v>
      </c>
      <c r="L102" s="801">
        <f t="shared" si="49"/>
        <v>0</v>
      </c>
      <c r="M102" s="801">
        <f t="shared" si="49"/>
        <v>0</v>
      </c>
      <c r="N102" s="801">
        <f t="shared" si="49"/>
        <v>0</v>
      </c>
      <c r="O102" s="801">
        <f t="shared" si="49"/>
        <v>0</v>
      </c>
      <c r="P102" s="801">
        <f t="shared" si="49"/>
        <v>0</v>
      </c>
      <c r="Q102" s="801">
        <f t="shared" si="49"/>
        <v>0</v>
      </c>
      <c r="R102" s="801">
        <f t="shared" si="49"/>
        <v>0</v>
      </c>
      <c r="S102" s="801">
        <f t="shared" si="49"/>
        <v>0</v>
      </c>
      <c r="T102" s="801">
        <f t="shared" si="49"/>
        <v>0</v>
      </c>
      <c r="U102" s="801">
        <f t="shared" si="49"/>
        <v>0</v>
      </c>
      <c r="V102" s="801">
        <f t="shared" si="49"/>
        <v>0</v>
      </c>
      <c r="W102" s="801">
        <f t="shared" si="49"/>
        <v>0</v>
      </c>
      <c r="X102" s="801">
        <f t="shared" si="49"/>
        <v>0</v>
      </c>
      <c r="Y102" s="801">
        <f t="shared" si="49"/>
        <v>0</v>
      </c>
      <c r="Z102" s="801">
        <f t="shared" si="49"/>
        <v>0</v>
      </c>
      <c r="AA102" s="801">
        <f t="shared" si="49"/>
        <v>0</v>
      </c>
      <c r="AB102" s="801">
        <f t="shared" si="49"/>
        <v>0</v>
      </c>
      <c r="AC102" s="801">
        <f t="shared" si="49"/>
        <v>0</v>
      </c>
      <c r="AD102" s="801">
        <f t="shared" si="49"/>
        <v>0</v>
      </c>
      <c r="AE102" s="801">
        <f t="shared" si="49"/>
        <v>0</v>
      </c>
      <c r="AF102" s="801">
        <f t="shared" si="49"/>
        <v>0</v>
      </c>
      <c r="AG102" s="801">
        <f t="shared" si="49"/>
        <v>0</v>
      </c>
      <c r="AH102" s="801">
        <f t="shared" si="49"/>
        <v>0</v>
      </c>
      <c r="AI102" s="801">
        <f t="shared" si="49"/>
        <v>0</v>
      </c>
      <c r="AJ102" s="801">
        <f t="shared" si="49"/>
        <v>0</v>
      </c>
      <c r="AK102" s="801">
        <f t="shared" si="43"/>
        <v>1312.8979999999999</v>
      </c>
      <c r="AL102" s="357"/>
      <c r="AM102" s="69"/>
      <c r="AQ102" s="65"/>
    </row>
    <row r="103" spans="3:43" ht="15.75" hidden="1" customHeight="1" outlineLevel="1">
      <c r="C103" s="805"/>
      <c r="D103" s="722"/>
      <c r="E103" s="954" t="s">
        <v>217</v>
      </c>
      <c r="F103" s="957">
        <f>+SUMIFS(F$49:F$96,$D$49:$D$96,"IWJ",$E$49:$E$96,"GRA")</f>
        <v>0</v>
      </c>
      <c r="G103" s="801">
        <f t="shared" ref="G103:AJ103" si="50">+SUMIFS(G$49:G$96,$D$49:$D$96,"IWJ",$E$49:$E$96,"GRA")</f>
        <v>0</v>
      </c>
      <c r="H103" s="801">
        <f t="shared" si="50"/>
        <v>0</v>
      </c>
      <c r="I103" s="801">
        <f t="shared" si="50"/>
        <v>0</v>
      </c>
      <c r="J103" s="801">
        <f t="shared" si="50"/>
        <v>0</v>
      </c>
      <c r="K103" s="801">
        <f t="shared" si="50"/>
        <v>0</v>
      </c>
      <c r="L103" s="801">
        <f t="shared" si="50"/>
        <v>0</v>
      </c>
      <c r="M103" s="801">
        <f t="shared" si="50"/>
        <v>0</v>
      </c>
      <c r="N103" s="801">
        <f t="shared" si="50"/>
        <v>0</v>
      </c>
      <c r="O103" s="801">
        <f t="shared" si="50"/>
        <v>0</v>
      </c>
      <c r="P103" s="801">
        <f t="shared" si="50"/>
        <v>0</v>
      </c>
      <c r="Q103" s="801">
        <f t="shared" si="50"/>
        <v>0</v>
      </c>
      <c r="R103" s="801">
        <f t="shared" si="50"/>
        <v>0</v>
      </c>
      <c r="S103" s="801">
        <f t="shared" si="50"/>
        <v>0</v>
      </c>
      <c r="T103" s="801">
        <f t="shared" si="50"/>
        <v>0</v>
      </c>
      <c r="U103" s="801">
        <f t="shared" si="50"/>
        <v>0</v>
      </c>
      <c r="V103" s="801">
        <f t="shared" si="50"/>
        <v>0</v>
      </c>
      <c r="W103" s="801">
        <f t="shared" si="50"/>
        <v>0</v>
      </c>
      <c r="X103" s="801">
        <f t="shared" si="50"/>
        <v>0</v>
      </c>
      <c r="Y103" s="801">
        <f t="shared" si="50"/>
        <v>0</v>
      </c>
      <c r="Z103" s="801">
        <f t="shared" si="50"/>
        <v>0</v>
      </c>
      <c r="AA103" s="801">
        <f t="shared" si="50"/>
        <v>0</v>
      </c>
      <c r="AB103" s="801">
        <f t="shared" si="50"/>
        <v>0</v>
      </c>
      <c r="AC103" s="801">
        <f t="shared" si="50"/>
        <v>0</v>
      </c>
      <c r="AD103" s="801">
        <f t="shared" si="50"/>
        <v>0</v>
      </c>
      <c r="AE103" s="801">
        <f t="shared" si="50"/>
        <v>0</v>
      </c>
      <c r="AF103" s="801">
        <f t="shared" si="50"/>
        <v>0</v>
      </c>
      <c r="AG103" s="801">
        <f t="shared" si="50"/>
        <v>0</v>
      </c>
      <c r="AH103" s="801">
        <f t="shared" si="50"/>
        <v>0</v>
      </c>
      <c r="AI103" s="801">
        <f t="shared" si="50"/>
        <v>0</v>
      </c>
      <c r="AJ103" s="801">
        <f t="shared" si="50"/>
        <v>0</v>
      </c>
      <c r="AK103" s="801">
        <f t="shared" si="43"/>
        <v>0</v>
      </c>
      <c r="AL103" s="357"/>
      <c r="AM103" s="69"/>
      <c r="AQ103" s="65"/>
    </row>
    <row r="104" spans="3:43" ht="15.75" hidden="1" customHeight="1" outlineLevel="1">
      <c r="C104" s="805"/>
      <c r="D104" s="722"/>
      <c r="E104" s="954" t="s">
        <v>216</v>
      </c>
      <c r="F104" s="957">
        <f>+SUMIFS(F$49:F$96,$D$49:$D$96,"SLS",$E$49:$E$96,"GRA")</f>
        <v>0</v>
      </c>
      <c r="G104" s="801">
        <f t="shared" ref="G104:AJ104" si="51">+SUMIFS(G$49:G$96,$D$49:$D$96,"SLS",$E$49:$E$96,"GRA")</f>
        <v>0</v>
      </c>
      <c r="H104" s="801">
        <f t="shared" si="51"/>
        <v>0</v>
      </c>
      <c r="I104" s="801">
        <f t="shared" si="51"/>
        <v>0</v>
      </c>
      <c r="J104" s="801">
        <f t="shared" si="51"/>
        <v>0</v>
      </c>
      <c r="K104" s="801">
        <f t="shared" si="51"/>
        <v>0</v>
      </c>
      <c r="L104" s="801">
        <f t="shared" si="51"/>
        <v>0</v>
      </c>
      <c r="M104" s="801">
        <f t="shared" si="51"/>
        <v>0</v>
      </c>
      <c r="N104" s="801">
        <f t="shared" si="51"/>
        <v>0</v>
      </c>
      <c r="O104" s="801">
        <f t="shared" si="51"/>
        <v>0</v>
      </c>
      <c r="P104" s="801">
        <f t="shared" si="51"/>
        <v>0</v>
      </c>
      <c r="Q104" s="801">
        <f t="shared" si="51"/>
        <v>0</v>
      </c>
      <c r="R104" s="801">
        <f t="shared" si="51"/>
        <v>0</v>
      </c>
      <c r="S104" s="801">
        <f t="shared" si="51"/>
        <v>0</v>
      </c>
      <c r="T104" s="801">
        <f t="shared" si="51"/>
        <v>0</v>
      </c>
      <c r="U104" s="801">
        <f t="shared" si="51"/>
        <v>0</v>
      </c>
      <c r="V104" s="801">
        <f t="shared" si="51"/>
        <v>0</v>
      </c>
      <c r="W104" s="801">
        <f t="shared" si="51"/>
        <v>0</v>
      </c>
      <c r="X104" s="801">
        <f t="shared" si="51"/>
        <v>0</v>
      </c>
      <c r="Y104" s="801">
        <f t="shared" si="51"/>
        <v>0</v>
      </c>
      <c r="Z104" s="801">
        <f t="shared" si="51"/>
        <v>0</v>
      </c>
      <c r="AA104" s="801">
        <f t="shared" si="51"/>
        <v>0</v>
      </c>
      <c r="AB104" s="801">
        <f t="shared" si="51"/>
        <v>0</v>
      </c>
      <c r="AC104" s="801">
        <f t="shared" si="51"/>
        <v>0</v>
      </c>
      <c r="AD104" s="801">
        <f t="shared" si="51"/>
        <v>0</v>
      </c>
      <c r="AE104" s="801">
        <f t="shared" si="51"/>
        <v>0</v>
      </c>
      <c r="AF104" s="801">
        <f t="shared" si="51"/>
        <v>0</v>
      </c>
      <c r="AG104" s="801">
        <f t="shared" si="51"/>
        <v>0</v>
      </c>
      <c r="AH104" s="801">
        <f t="shared" si="51"/>
        <v>0</v>
      </c>
      <c r="AI104" s="801">
        <f t="shared" si="51"/>
        <v>0</v>
      </c>
      <c r="AJ104" s="801">
        <f t="shared" si="51"/>
        <v>0</v>
      </c>
      <c r="AK104" s="801">
        <f t="shared" si="43"/>
        <v>0</v>
      </c>
      <c r="AL104" s="357"/>
      <c r="AM104" s="69"/>
      <c r="AQ104" s="65"/>
    </row>
    <row r="105" spans="3:43" ht="15.75" customHeight="1" collapsed="1">
      <c r="C105" s="805"/>
      <c r="D105" s="722"/>
      <c r="E105" s="958" t="s">
        <v>220</v>
      </c>
      <c r="F105" s="959">
        <f>+SUM(F106:F108)</f>
        <v>0</v>
      </c>
      <c r="G105" s="959">
        <f t="shared" ref="G105:AJ105" si="52">+SUM(G106:G108)</f>
        <v>0</v>
      </c>
      <c r="H105" s="959">
        <f t="shared" si="52"/>
        <v>0</v>
      </c>
      <c r="I105" s="959">
        <f t="shared" si="52"/>
        <v>0</v>
      </c>
      <c r="J105" s="959">
        <f t="shared" si="52"/>
        <v>0</v>
      </c>
      <c r="K105" s="959">
        <f t="shared" si="52"/>
        <v>0</v>
      </c>
      <c r="L105" s="959">
        <f t="shared" si="52"/>
        <v>0</v>
      </c>
      <c r="M105" s="959">
        <f t="shared" si="52"/>
        <v>0</v>
      </c>
      <c r="N105" s="959">
        <f t="shared" si="52"/>
        <v>0</v>
      </c>
      <c r="O105" s="959">
        <f t="shared" si="52"/>
        <v>0</v>
      </c>
      <c r="P105" s="959">
        <f t="shared" si="52"/>
        <v>0</v>
      </c>
      <c r="Q105" s="959">
        <f t="shared" si="52"/>
        <v>0</v>
      </c>
      <c r="R105" s="959">
        <f t="shared" si="52"/>
        <v>0</v>
      </c>
      <c r="S105" s="959">
        <f t="shared" si="52"/>
        <v>0</v>
      </c>
      <c r="T105" s="959">
        <f t="shared" si="52"/>
        <v>0</v>
      </c>
      <c r="U105" s="959">
        <f t="shared" si="52"/>
        <v>0</v>
      </c>
      <c r="V105" s="959">
        <f t="shared" si="52"/>
        <v>0</v>
      </c>
      <c r="W105" s="959">
        <f t="shared" si="52"/>
        <v>0</v>
      </c>
      <c r="X105" s="959">
        <f t="shared" si="52"/>
        <v>0</v>
      </c>
      <c r="Y105" s="959">
        <f t="shared" si="52"/>
        <v>0</v>
      </c>
      <c r="Z105" s="959">
        <f t="shared" si="52"/>
        <v>0</v>
      </c>
      <c r="AA105" s="959">
        <f t="shared" si="52"/>
        <v>0</v>
      </c>
      <c r="AB105" s="959">
        <f t="shared" si="52"/>
        <v>0</v>
      </c>
      <c r="AC105" s="959">
        <f t="shared" si="52"/>
        <v>0</v>
      </c>
      <c r="AD105" s="959">
        <f t="shared" si="52"/>
        <v>0</v>
      </c>
      <c r="AE105" s="959">
        <f t="shared" si="52"/>
        <v>0</v>
      </c>
      <c r="AF105" s="959">
        <f t="shared" si="52"/>
        <v>0</v>
      </c>
      <c r="AG105" s="959">
        <f t="shared" si="52"/>
        <v>0</v>
      </c>
      <c r="AH105" s="959">
        <f t="shared" si="52"/>
        <v>0</v>
      </c>
      <c r="AI105" s="959">
        <f t="shared" si="52"/>
        <v>0</v>
      </c>
      <c r="AJ105" s="959">
        <f t="shared" si="52"/>
        <v>0</v>
      </c>
      <c r="AK105" s="1240">
        <f t="shared" si="43"/>
        <v>0</v>
      </c>
      <c r="AL105" s="376">
        <f>HLOOKUP(LEFT(Summary!$D$3,2),Actual!$F$48:$AJ$108,58,FALSE)</f>
        <v>0</v>
      </c>
      <c r="AM105" s="69">
        <f>+AVERAGE(F105:AE105)</f>
        <v>0</v>
      </c>
      <c r="AN105" s="65">
        <f>AK105/1000</f>
        <v>0</v>
      </c>
      <c r="AO105" s="163">
        <f>+AK105/AK109</f>
        <v>0</v>
      </c>
      <c r="AQ105" s="65"/>
    </row>
    <row r="106" spans="3:43" ht="15.75" hidden="1" customHeight="1" outlineLevel="1">
      <c r="C106" s="805"/>
      <c r="D106" s="722"/>
      <c r="E106" s="954" t="s">
        <v>190</v>
      </c>
      <c r="F106" s="801">
        <f>+SUMIFS(F$49:F$96,$D$49:$D$96,"ARKA",$E$49:$E$96,"tuk")</f>
        <v>0</v>
      </c>
      <c r="G106" s="801">
        <f t="shared" ref="G106:AJ106" si="53">+SUMIFS(G$49:G$96,$D$49:$D$96,"ARKA",$E$49:$E$96,"tuk")</f>
        <v>0</v>
      </c>
      <c r="H106" s="801">
        <f t="shared" si="53"/>
        <v>0</v>
      </c>
      <c r="I106" s="801">
        <f t="shared" si="53"/>
        <v>0</v>
      </c>
      <c r="J106" s="801">
        <f t="shared" si="53"/>
        <v>0</v>
      </c>
      <c r="K106" s="801">
        <f t="shared" si="53"/>
        <v>0</v>
      </c>
      <c r="L106" s="801">
        <f t="shared" si="53"/>
        <v>0</v>
      </c>
      <c r="M106" s="801">
        <f t="shared" si="53"/>
        <v>0</v>
      </c>
      <c r="N106" s="801">
        <f t="shared" si="53"/>
        <v>0</v>
      </c>
      <c r="O106" s="801">
        <f t="shared" si="53"/>
        <v>0</v>
      </c>
      <c r="P106" s="801">
        <f t="shared" si="53"/>
        <v>0</v>
      </c>
      <c r="Q106" s="801">
        <f t="shared" si="53"/>
        <v>0</v>
      </c>
      <c r="R106" s="801">
        <f t="shared" si="53"/>
        <v>0</v>
      </c>
      <c r="S106" s="801">
        <f t="shared" si="53"/>
        <v>0</v>
      </c>
      <c r="T106" s="801">
        <f t="shared" si="53"/>
        <v>0</v>
      </c>
      <c r="U106" s="801">
        <f t="shared" si="53"/>
        <v>0</v>
      </c>
      <c r="V106" s="801">
        <f t="shared" si="53"/>
        <v>0</v>
      </c>
      <c r="W106" s="801">
        <f t="shared" si="53"/>
        <v>0</v>
      </c>
      <c r="X106" s="801">
        <f t="shared" si="53"/>
        <v>0</v>
      </c>
      <c r="Y106" s="801">
        <f t="shared" si="53"/>
        <v>0</v>
      </c>
      <c r="Z106" s="801">
        <f t="shared" si="53"/>
        <v>0</v>
      </c>
      <c r="AA106" s="801">
        <f t="shared" si="53"/>
        <v>0</v>
      </c>
      <c r="AB106" s="801">
        <f t="shared" si="53"/>
        <v>0</v>
      </c>
      <c r="AC106" s="801">
        <f t="shared" si="53"/>
        <v>0</v>
      </c>
      <c r="AD106" s="801">
        <f t="shared" si="53"/>
        <v>0</v>
      </c>
      <c r="AE106" s="801">
        <f t="shared" si="53"/>
        <v>0</v>
      </c>
      <c r="AF106" s="801">
        <f t="shared" si="53"/>
        <v>0</v>
      </c>
      <c r="AG106" s="801">
        <f t="shared" si="53"/>
        <v>0</v>
      </c>
      <c r="AH106" s="801">
        <f t="shared" si="53"/>
        <v>0</v>
      </c>
      <c r="AI106" s="801">
        <f t="shared" si="53"/>
        <v>0</v>
      </c>
      <c r="AJ106" s="801">
        <f t="shared" si="53"/>
        <v>0</v>
      </c>
      <c r="AK106" s="801">
        <f t="shared" si="43"/>
        <v>0</v>
      </c>
      <c r="AL106" s="358"/>
      <c r="AM106" s="69"/>
      <c r="AQ106" s="65"/>
    </row>
    <row r="107" spans="3:43" ht="15.75" hidden="1" customHeight="1" outlineLevel="1">
      <c r="C107" s="805"/>
      <c r="D107" s="722"/>
      <c r="E107" s="954" t="s">
        <v>217</v>
      </c>
      <c r="F107" s="801">
        <f>+SUMIFS(F$49:F$96,$D$49:$D$96,"IWJ",$E$49:$E$96,"tuk")</f>
        <v>0</v>
      </c>
      <c r="G107" s="801">
        <f t="shared" ref="G107:AJ107" si="54">+SUMIFS(G$49:G$96,$D$49:$D$96,"IWJ",$E$49:$E$96,"tuk")</f>
        <v>0</v>
      </c>
      <c r="H107" s="801">
        <f t="shared" si="54"/>
        <v>0</v>
      </c>
      <c r="I107" s="801">
        <f t="shared" si="54"/>
        <v>0</v>
      </c>
      <c r="J107" s="801">
        <f t="shared" si="54"/>
        <v>0</v>
      </c>
      <c r="K107" s="801">
        <f t="shared" si="54"/>
        <v>0</v>
      </c>
      <c r="L107" s="801">
        <f t="shared" si="54"/>
        <v>0</v>
      </c>
      <c r="M107" s="801">
        <f t="shared" si="54"/>
        <v>0</v>
      </c>
      <c r="N107" s="801">
        <f t="shared" si="54"/>
        <v>0</v>
      </c>
      <c r="O107" s="801">
        <f t="shared" si="54"/>
        <v>0</v>
      </c>
      <c r="P107" s="801">
        <f t="shared" si="54"/>
        <v>0</v>
      </c>
      <c r="Q107" s="801">
        <f t="shared" si="54"/>
        <v>0</v>
      </c>
      <c r="R107" s="801">
        <f t="shared" si="54"/>
        <v>0</v>
      </c>
      <c r="S107" s="801">
        <f t="shared" si="54"/>
        <v>0</v>
      </c>
      <c r="T107" s="801">
        <f t="shared" si="54"/>
        <v>0</v>
      </c>
      <c r="U107" s="801">
        <f t="shared" si="54"/>
        <v>0</v>
      </c>
      <c r="V107" s="801">
        <f t="shared" si="54"/>
        <v>0</v>
      </c>
      <c r="W107" s="801">
        <f t="shared" si="54"/>
        <v>0</v>
      </c>
      <c r="X107" s="801">
        <f t="shared" si="54"/>
        <v>0</v>
      </c>
      <c r="Y107" s="801">
        <f t="shared" si="54"/>
        <v>0</v>
      </c>
      <c r="Z107" s="801">
        <f t="shared" si="54"/>
        <v>0</v>
      </c>
      <c r="AA107" s="801">
        <f t="shared" si="54"/>
        <v>0</v>
      </c>
      <c r="AB107" s="801">
        <f t="shared" si="54"/>
        <v>0</v>
      </c>
      <c r="AC107" s="801">
        <f t="shared" si="54"/>
        <v>0</v>
      </c>
      <c r="AD107" s="801">
        <f t="shared" si="54"/>
        <v>0</v>
      </c>
      <c r="AE107" s="801">
        <f t="shared" si="54"/>
        <v>0</v>
      </c>
      <c r="AF107" s="801">
        <f t="shared" si="54"/>
        <v>0</v>
      </c>
      <c r="AG107" s="801">
        <f t="shared" si="54"/>
        <v>0</v>
      </c>
      <c r="AH107" s="801">
        <f t="shared" si="54"/>
        <v>0</v>
      </c>
      <c r="AI107" s="801">
        <f t="shared" si="54"/>
        <v>0</v>
      </c>
      <c r="AJ107" s="801">
        <f t="shared" si="54"/>
        <v>0</v>
      </c>
      <c r="AK107" s="801">
        <f t="shared" si="43"/>
        <v>0</v>
      </c>
      <c r="AL107" s="358"/>
      <c r="AM107" s="69"/>
      <c r="AQ107" s="65"/>
    </row>
    <row r="108" spans="3:43" ht="15.75" hidden="1" customHeight="1" outlineLevel="1">
      <c r="C108" s="805"/>
      <c r="D108" s="722"/>
      <c r="E108" s="954" t="s">
        <v>216</v>
      </c>
      <c r="F108" s="801">
        <f>+SUMIFS(F$49:F$96,$D$49:$D$96,"SLS",$E$49:$E$96,"tuk")</f>
        <v>0</v>
      </c>
      <c r="G108" s="801">
        <f t="shared" ref="G108:AJ108" si="55">+SUMIFS(G$49:G$96,$D$49:$D$96,"SLS",$E$49:$E$96,"tuk")</f>
        <v>0</v>
      </c>
      <c r="H108" s="801">
        <f t="shared" si="55"/>
        <v>0</v>
      </c>
      <c r="I108" s="801">
        <f t="shared" si="55"/>
        <v>0</v>
      </c>
      <c r="J108" s="801">
        <f t="shared" si="55"/>
        <v>0</v>
      </c>
      <c r="K108" s="801">
        <f t="shared" si="55"/>
        <v>0</v>
      </c>
      <c r="L108" s="801">
        <f t="shared" si="55"/>
        <v>0</v>
      </c>
      <c r="M108" s="801">
        <f t="shared" si="55"/>
        <v>0</v>
      </c>
      <c r="N108" s="801">
        <f t="shared" si="55"/>
        <v>0</v>
      </c>
      <c r="O108" s="801">
        <f t="shared" si="55"/>
        <v>0</v>
      </c>
      <c r="P108" s="801">
        <f t="shared" si="55"/>
        <v>0</v>
      </c>
      <c r="Q108" s="801">
        <f t="shared" si="55"/>
        <v>0</v>
      </c>
      <c r="R108" s="801">
        <f t="shared" si="55"/>
        <v>0</v>
      </c>
      <c r="S108" s="801">
        <f t="shared" si="55"/>
        <v>0</v>
      </c>
      <c r="T108" s="801">
        <f t="shared" si="55"/>
        <v>0</v>
      </c>
      <c r="U108" s="801">
        <f t="shared" si="55"/>
        <v>0</v>
      </c>
      <c r="V108" s="801">
        <f t="shared" si="55"/>
        <v>0</v>
      </c>
      <c r="W108" s="801">
        <f t="shared" si="55"/>
        <v>0</v>
      </c>
      <c r="X108" s="801">
        <f t="shared" si="55"/>
        <v>0</v>
      </c>
      <c r="Y108" s="801">
        <f t="shared" si="55"/>
        <v>0</v>
      </c>
      <c r="Z108" s="801">
        <f t="shared" si="55"/>
        <v>0</v>
      </c>
      <c r="AA108" s="801">
        <f t="shared" si="55"/>
        <v>0</v>
      </c>
      <c r="AB108" s="801">
        <f t="shared" si="55"/>
        <v>0</v>
      </c>
      <c r="AC108" s="801">
        <f t="shared" si="55"/>
        <v>0</v>
      </c>
      <c r="AD108" s="801">
        <f t="shared" si="55"/>
        <v>0</v>
      </c>
      <c r="AE108" s="801">
        <f t="shared" si="55"/>
        <v>0</v>
      </c>
      <c r="AF108" s="801">
        <f t="shared" si="55"/>
        <v>0</v>
      </c>
      <c r="AG108" s="801">
        <f t="shared" si="55"/>
        <v>0</v>
      </c>
      <c r="AH108" s="801">
        <f t="shared" si="55"/>
        <v>0</v>
      </c>
      <c r="AI108" s="801">
        <f t="shared" si="55"/>
        <v>0</v>
      </c>
      <c r="AJ108" s="801">
        <f t="shared" si="55"/>
        <v>0</v>
      </c>
      <c r="AK108" s="801">
        <f t="shared" si="43"/>
        <v>0</v>
      </c>
      <c r="AL108" s="358"/>
      <c r="AM108" s="69"/>
      <c r="AQ108" s="65"/>
    </row>
    <row r="109" spans="3:43" ht="16.5" customHeight="1" collapsed="1">
      <c r="C109" s="1335"/>
      <c r="D109" s="1336"/>
      <c r="E109" s="361" t="s">
        <v>72</v>
      </c>
      <c r="F109" s="625">
        <f>SUM(F97,F101,F105)</f>
        <v>0</v>
      </c>
      <c r="G109" s="625">
        <f t="shared" ref="G109:AJ109" si="56">SUM(G97,G101,G105)</f>
        <v>0</v>
      </c>
      <c r="H109" s="625">
        <f>SUM(H97,H101,H105)</f>
        <v>0</v>
      </c>
      <c r="I109" s="625">
        <f t="shared" si="56"/>
        <v>0</v>
      </c>
      <c r="J109" s="625">
        <f>SUM(J97,J101,J105)</f>
        <v>1312.8979999999999</v>
      </c>
      <c r="K109" s="625">
        <f>SUM(K97,K101,K105)</f>
        <v>0</v>
      </c>
      <c r="L109" s="625">
        <f t="shared" si="56"/>
        <v>0</v>
      </c>
      <c r="M109" s="625">
        <f t="shared" si="56"/>
        <v>0</v>
      </c>
      <c r="N109" s="625">
        <f t="shared" si="56"/>
        <v>0</v>
      </c>
      <c r="O109" s="625">
        <f t="shared" si="56"/>
        <v>0</v>
      </c>
      <c r="P109" s="625">
        <f t="shared" si="56"/>
        <v>0</v>
      </c>
      <c r="Q109" s="625">
        <f t="shared" si="56"/>
        <v>0</v>
      </c>
      <c r="R109" s="625">
        <f t="shared" si="56"/>
        <v>0</v>
      </c>
      <c r="S109" s="625">
        <f t="shared" si="56"/>
        <v>0</v>
      </c>
      <c r="T109" s="625">
        <f t="shared" si="56"/>
        <v>0</v>
      </c>
      <c r="U109" s="625">
        <f t="shared" si="56"/>
        <v>0</v>
      </c>
      <c r="V109" s="625">
        <f t="shared" si="56"/>
        <v>0</v>
      </c>
      <c r="W109" s="625">
        <f t="shared" si="56"/>
        <v>0</v>
      </c>
      <c r="X109" s="625">
        <f t="shared" si="56"/>
        <v>0</v>
      </c>
      <c r="Y109" s="625">
        <f t="shared" si="56"/>
        <v>0</v>
      </c>
      <c r="Z109" s="625">
        <f t="shared" si="56"/>
        <v>0</v>
      </c>
      <c r="AA109" s="625">
        <f t="shared" si="56"/>
        <v>0</v>
      </c>
      <c r="AB109" s="625">
        <f t="shared" si="56"/>
        <v>0</v>
      </c>
      <c r="AC109" s="625">
        <f t="shared" si="56"/>
        <v>0</v>
      </c>
      <c r="AD109" s="625">
        <f t="shared" si="56"/>
        <v>0</v>
      </c>
      <c r="AE109" s="625">
        <f t="shared" si="56"/>
        <v>0</v>
      </c>
      <c r="AF109" s="625">
        <f t="shared" si="56"/>
        <v>0</v>
      </c>
      <c r="AG109" s="625">
        <f t="shared" si="56"/>
        <v>0</v>
      </c>
      <c r="AH109" s="625">
        <f t="shared" si="56"/>
        <v>0</v>
      </c>
      <c r="AI109" s="625">
        <f t="shared" si="56"/>
        <v>0</v>
      </c>
      <c r="AJ109" s="625">
        <f t="shared" si="56"/>
        <v>0</v>
      </c>
      <c r="AK109" s="1036">
        <f>SUM(AK97,AK101,AK105)</f>
        <v>1312.8979999999999</v>
      </c>
      <c r="AL109" s="814">
        <f>SUM(AL49,AL53,AL57,AL69,AL73,AL65,AL81,AL85,AL89)</f>
        <v>0</v>
      </c>
      <c r="AM109" s="382">
        <f>HLOOKUP(LEFT(Summary!D3,2),Actual!F48:AL109,29,FALSE)</f>
        <v>0</v>
      </c>
    </row>
    <row r="110" spans="3:43" ht="15" customHeight="1">
      <c r="C110" s="806"/>
      <c r="D110" s="807"/>
      <c r="E110" s="38" t="s">
        <v>221</v>
      </c>
      <c r="F110" s="80">
        <f>SUM(F50,F54,F58,F62,F70,F74,F66,F78,F82,F86,F90,F94)</f>
        <v>0</v>
      </c>
      <c r="G110" s="80">
        <f t="shared" ref="G110:L110" si="57">SUM(G50,G54,G58,G62,G70,G74,G66,G78,G82,G86,G90,G94)</f>
        <v>0</v>
      </c>
      <c r="H110" s="80">
        <f t="shared" si="57"/>
        <v>0</v>
      </c>
      <c r="I110" s="80">
        <f t="shared" si="57"/>
        <v>0</v>
      </c>
      <c r="J110" s="80">
        <f t="shared" si="57"/>
        <v>0</v>
      </c>
      <c r="K110" s="80">
        <f t="shared" si="57"/>
        <v>0</v>
      </c>
      <c r="L110" s="80">
        <f t="shared" si="57"/>
        <v>0</v>
      </c>
      <c r="M110" s="80">
        <f>SUM(M50,M54,M58,M62,M70,M74,M66,M78,M82,M86,M90,M94)</f>
        <v>0</v>
      </c>
      <c r="N110" s="80">
        <f>SUM(N50,N54,N58,N62,N70,N74,N66,N78,N82,N86,N90,N94)</f>
        <v>0</v>
      </c>
      <c r="O110" s="80">
        <f t="shared" ref="O110:AJ110" si="58">SUM(O50,O54,O58,O62,O70,O74,O66,O78,O82,O86,O90,O94)</f>
        <v>0</v>
      </c>
      <c r="P110" s="80">
        <f t="shared" si="58"/>
        <v>0</v>
      </c>
      <c r="Q110" s="80">
        <f t="shared" si="58"/>
        <v>0</v>
      </c>
      <c r="R110" s="80">
        <f t="shared" si="58"/>
        <v>0</v>
      </c>
      <c r="S110" s="80">
        <f t="shared" si="58"/>
        <v>0</v>
      </c>
      <c r="T110" s="80">
        <f t="shared" si="58"/>
        <v>0</v>
      </c>
      <c r="U110" s="80">
        <f t="shared" si="58"/>
        <v>0</v>
      </c>
      <c r="V110" s="80">
        <f t="shared" si="58"/>
        <v>0</v>
      </c>
      <c r="W110" s="80">
        <f t="shared" si="58"/>
        <v>0</v>
      </c>
      <c r="X110" s="80">
        <f t="shared" si="58"/>
        <v>0</v>
      </c>
      <c r="Y110" s="80">
        <f t="shared" si="58"/>
        <v>0</v>
      </c>
      <c r="Z110" s="80">
        <f t="shared" si="58"/>
        <v>0</v>
      </c>
      <c r="AA110" s="80">
        <f t="shared" si="58"/>
        <v>0</v>
      </c>
      <c r="AB110" s="80">
        <f t="shared" si="58"/>
        <v>0</v>
      </c>
      <c r="AC110" s="80">
        <f t="shared" si="58"/>
        <v>0</v>
      </c>
      <c r="AD110" s="80">
        <f t="shared" si="58"/>
        <v>0</v>
      </c>
      <c r="AE110" s="80">
        <f t="shared" si="58"/>
        <v>0</v>
      </c>
      <c r="AF110" s="80">
        <f t="shared" si="58"/>
        <v>0</v>
      </c>
      <c r="AG110" s="80">
        <f t="shared" si="58"/>
        <v>0</v>
      </c>
      <c r="AH110" s="80">
        <f t="shared" si="58"/>
        <v>0</v>
      </c>
      <c r="AI110" s="80">
        <f t="shared" si="58"/>
        <v>0</v>
      </c>
      <c r="AJ110" s="80">
        <f t="shared" si="58"/>
        <v>0</v>
      </c>
      <c r="AK110" s="80">
        <f>SUM(F110:AJ110)</f>
        <v>0</v>
      </c>
      <c r="AL110" s="813">
        <f>SUM(AL50,AL54,AL58,AL62,AL66,AL70,AL74,AL78,AL82,AL86,AL90,AL94)</f>
        <v>0</v>
      </c>
    </row>
    <row r="111" spans="3:43" ht="15" customHeight="1">
      <c r="C111" s="806"/>
      <c r="D111" s="807"/>
      <c r="E111" s="962" t="s">
        <v>208</v>
      </c>
      <c r="F111" s="960">
        <f>+SUMIFS(F$49:F$96,$C$49:$C$96,"GRA1",$E$49:$E$96,"Crushed")</f>
        <v>0</v>
      </c>
      <c r="G111" s="960">
        <f t="shared" ref="G111:AK111" si="59">+SUMIFS(G$49:G$96,$C$49:$C$96,"GRA1",$E$49:$E$96,"Crushed")</f>
        <v>0</v>
      </c>
      <c r="H111" s="960">
        <f t="shared" si="59"/>
        <v>0</v>
      </c>
      <c r="I111" s="960">
        <f t="shared" si="59"/>
        <v>0</v>
      </c>
      <c r="J111" s="960">
        <f t="shared" si="59"/>
        <v>0</v>
      </c>
      <c r="K111" s="960">
        <f t="shared" si="59"/>
        <v>0</v>
      </c>
      <c r="L111" s="960">
        <f t="shared" si="59"/>
        <v>0</v>
      </c>
      <c r="M111" s="960">
        <f t="shared" si="59"/>
        <v>0</v>
      </c>
      <c r="N111" s="960">
        <f t="shared" si="59"/>
        <v>0</v>
      </c>
      <c r="O111" s="960">
        <f t="shared" si="59"/>
        <v>0</v>
      </c>
      <c r="P111" s="960">
        <f t="shared" si="59"/>
        <v>0</v>
      </c>
      <c r="Q111" s="960">
        <f t="shared" si="59"/>
        <v>0</v>
      </c>
      <c r="R111" s="960">
        <f t="shared" si="59"/>
        <v>0</v>
      </c>
      <c r="S111" s="960">
        <f t="shared" si="59"/>
        <v>0</v>
      </c>
      <c r="T111" s="960">
        <f t="shared" si="59"/>
        <v>0</v>
      </c>
      <c r="U111" s="960">
        <f t="shared" si="59"/>
        <v>0</v>
      </c>
      <c r="V111" s="960">
        <f t="shared" si="59"/>
        <v>0</v>
      </c>
      <c r="W111" s="960">
        <f t="shared" si="59"/>
        <v>0</v>
      </c>
      <c r="X111" s="960">
        <f t="shared" si="59"/>
        <v>0</v>
      </c>
      <c r="Y111" s="960">
        <f t="shared" si="59"/>
        <v>0</v>
      </c>
      <c r="Z111" s="960">
        <f t="shared" si="59"/>
        <v>0</v>
      </c>
      <c r="AA111" s="960">
        <f t="shared" si="59"/>
        <v>0</v>
      </c>
      <c r="AB111" s="960">
        <f t="shared" si="59"/>
        <v>0</v>
      </c>
      <c r="AC111" s="960">
        <f t="shared" si="59"/>
        <v>0</v>
      </c>
      <c r="AD111" s="960">
        <f t="shared" si="59"/>
        <v>0</v>
      </c>
      <c r="AE111" s="960">
        <f t="shared" si="59"/>
        <v>0</v>
      </c>
      <c r="AF111" s="960">
        <f t="shared" si="59"/>
        <v>0</v>
      </c>
      <c r="AG111" s="960">
        <f t="shared" si="59"/>
        <v>0</v>
      </c>
      <c r="AH111" s="960">
        <f t="shared" si="59"/>
        <v>0</v>
      </c>
      <c r="AI111" s="960">
        <f t="shared" si="59"/>
        <v>0</v>
      </c>
      <c r="AJ111" s="960">
        <f t="shared" si="59"/>
        <v>0</v>
      </c>
      <c r="AK111" s="960">
        <f t="shared" si="59"/>
        <v>0</v>
      </c>
      <c r="AL111" s="961">
        <f>SUM(AL50,AL66,AL82)</f>
        <v>0</v>
      </c>
      <c r="AM111" s="163">
        <f>+AK111/$AK$109</f>
        <v>0</v>
      </c>
    </row>
    <row r="112" spans="3:43" ht="15" customHeight="1">
      <c r="C112" s="806"/>
      <c r="D112" s="807"/>
      <c r="E112" s="962" t="s">
        <v>209</v>
      </c>
      <c r="F112" s="960">
        <f>+SUMIFS(F$49:F$96,$C$49:$C$96,"GRA",$E$49:$E$96,"Crushed")</f>
        <v>0</v>
      </c>
      <c r="G112" s="960">
        <f t="shared" ref="G112:AK112" si="60">+SUMIFS(G$49:G$96,$C$49:$C$96,"GRA",$E$49:$E$96,"Crushed")</f>
        <v>0</v>
      </c>
      <c r="H112" s="960">
        <f t="shared" si="60"/>
        <v>0</v>
      </c>
      <c r="I112" s="960">
        <f t="shared" si="60"/>
        <v>0</v>
      </c>
      <c r="J112" s="960">
        <f t="shared" si="60"/>
        <v>0</v>
      </c>
      <c r="K112" s="960">
        <f t="shared" si="60"/>
        <v>0</v>
      </c>
      <c r="L112" s="960">
        <f t="shared" si="60"/>
        <v>0</v>
      </c>
      <c r="M112" s="960">
        <f t="shared" si="60"/>
        <v>0</v>
      </c>
      <c r="N112" s="960">
        <f t="shared" si="60"/>
        <v>0</v>
      </c>
      <c r="O112" s="960">
        <f t="shared" si="60"/>
        <v>0</v>
      </c>
      <c r="P112" s="960">
        <f t="shared" si="60"/>
        <v>0</v>
      </c>
      <c r="Q112" s="960">
        <f t="shared" si="60"/>
        <v>0</v>
      </c>
      <c r="R112" s="960">
        <f t="shared" si="60"/>
        <v>0</v>
      </c>
      <c r="S112" s="960">
        <f t="shared" si="60"/>
        <v>0</v>
      </c>
      <c r="T112" s="960">
        <f t="shared" si="60"/>
        <v>0</v>
      </c>
      <c r="U112" s="960">
        <f t="shared" si="60"/>
        <v>0</v>
      </c>
      <c r="V112" s="960">
        <f t="shared" si="60"/>
        <v>0</v>
      </c>
      <c r="W112" s="960">
        <f t="shared" si="60"/>
        <v>0</v>
      </c>
      <c r="X112" s="960">
        <f t="shared" si="60"/>
        <v>0</v>
      </c>
      <c r="Y112" s="960">
        <f t="shared" si="60"/>
        <v>0</v>
      </c>
      <c r="Z112" s="960">
        <f t="shared" si="60"/>
        <v>0</v>
      </c>
      <c r="AA112" s="960">
        <f t="shared" si="60"/>
        <v>0</v>
      </c>
      <c r="AB112" s="960">
        <f t="shared" si="60"/>
        <v>0</v>
      </c>
      <c r="AC112" s="960">
        <f t="shared" si="60"/>
        <v>0</v>
      </c>
      <c r="AD112" s="960">
        <f t="shared" si="60"/>
        <v>0</v>
      </c>
      <c r="AE112" s="960">
        <f t="shared" si="60"/>
        <v>0</v>
      </c>
      <c r="AF112" s="960">
        <f t="shared" si="60"/>
        <v>0</v>
      </c>
      <c r="AG112" s="960">
        <f t="shared" si="60"/>
        <v>0</v>
      </c>
      <c r="AH112" s="960">
        <f t="shared" si="60"/>
        <v>0</v>
      </c>
      <c r="AI112" s="960">
        <f t="shared" si="60"/>
        <v>0</v>
      </c>
      <c r="AJ112" s="960">
        <f t="shared" si="60"/>
        <v>0</v>
      </c>
      <c r="AK112" s="960">
        <f t="shared" si="60"/>
        <v>0</v>
      </c>
      <c r="AL112" s="961">
        <f>SUM(AL54,AL70,AL86)</f>
        <v>0</v>
      </c>
      <c r="AM112" s="163">
        <f>+AK112/$AK$109</f>
        <v>0</v>
      </c>
    </row>
    <row r="113" spans="3:39" ht="15" customHeight="1">
      <c r="C113" s="806"/>
      <c r="D113" s="807"/>
      <c r="E113" s="962" t="s">
        <v>210</v>
      </c>
      <c r="F113" s="960">
        <f>+SUMIFS(F$49:F$96,$C$49:$C$96,"TUK",$E$49:$E$96,"Crushed")</f>
        <v>0</v>
      </c>
      <c r="G113" s="960">
        <f t="shared" ref="G113:AK113" si="61">+SUMIFS(G$49:G$96,$C$49:$C$96,"TUK",$E$49:$E$96,"Crushed")</f>
        <v>0</v>
      </c>
      <c r="H113" s="960">
        <f t="shared" si="61"/>
        <v>0</v>
      </c>
      <c r="I113" s="960">
        <f t="shared" si="61"/>
        <v>0</v>
      </c>
      <c r="J113" s="960">
        <f t="shared" si="61"/>
        <v>0</v>
      </c>
      <c r="K113" s="960">
        <f t="shared" si="61"/>
        <v>0</v>
      </c>
      <c r="L113" s="960">
        <f t="shared" si="61"/>
        <v>0</v>
      </c>
      <c r="M113" s="960">
        <f t="shared" si="61"/>
        <v>0</v>
      </c>
      <c r="N113" s="960">
        <f t="shared" si="61"/>
        <v>0</v>
      </c>
      <c r="O113" s="960">
        <f t="shared" si="61"/>
        <v>0</v>
      </c>
      <c r="P113" s="960">
        <f t="shared" si="61"/>
        <v>0</v>
      </c>
      <c r="Q113" s="960">
        <f t="shared" si="61"/>
        <v>0</v>
      </c>
      <c r="R113" s="960">
        <f t="shared" si="61"/>
        <v>0</v>
      </c>
      <c r="S113" s="960">
        <f t="shared" si="61"/>
        <v>0</v>
      </c>
      <c r="T113" s="960">
        <f t="shared" si="61"/>
        <v>0</v>
      </c>
      <c r="U113" s="960">
        <f t="shared" si="61"/>
        <v>0</v>
      </c>
      <c r="V113" s="960">
        <f t="shared" si="61"/>
        <v>0</v>
      </c>
      <c r="W113" s="960">
        <f t="shared" si="61"/>
        <v>0</v>
      </c>
      <c r="X113" s="960">
        <f t="shared" si="61"/>
        <v>0</v>
      </c>
      <c r="Y113" s="960">
        <f t="shared" si="61"/>
        <v>0</v>
      </c>
      <c r="Z113" s="960">
        <f t="shared" si="61"/>
        <v>0</v>
      </c>
      <c r="AA113" s="960">
        <f t="shared" si="61"/>
        <v>0</v>
      </c>
      <c r="AB113" s="960">
        <f t="shared" si="61"/>
        <v>0</v>
      </c>
      <c r="AC113" s="960">
        <f t="shared" si="61"/>
        <v>0</v>
      </c>
      <c r="AD113" s="960">
        <f t="shared" si="61"/>
        <v>0</v>
      </c>
      <c r="AE113" s="960">
        <f t="shared" si="61"/>
        <v>0</v>
      </c>
      <c r="AF113" s="960">
        <f t="shared" si="61"/>
        <v>0</v>
      </c>
      <c r="AG113" s="960">
        <f t="shared" si="61"/>
        <v>0</v>
      </c>
      <c r="AH113" s="960">
        <f t="shared" si="61"/>
        <v>0</v>
      </c>
      <c r="AI113" s="960">
        <f t="shared" si="61"/>
        <v>0</v>
      </c>
      <c r="AJ113" s="960">
        <f t="shared" si="61"/>
        <v>0</v>
      </c>
      <c r="AK113" s="960">
        <f t="shared" si="61"/>
        <v>0</v>
      </c>
      <c r="AL113" s="961">
        <f>SUM(AL58,AL74,AL90)</f>
        <v>0</v>
      </c>
      <c r="AM113" s="163">
        <f>+AK113/$AK$109</f>
        <v>0</v>
      </c>
    </row>
    <row r="114" spans="3:39" ht="15" customHeight="1">
      <c r="C114" s="806"/>
      <c r="D114" s="807"/>
      <c r="E114" s="38" t="s">
        <v>222</v>
      </c>
      <c r="F114" s="974">
        <f>SUM(F51:F52,F55:F56,F59:F60,F63:F64,F71:F72,F75:F76,F67:F68,F79:F80,F83:F84,F87:F88,F91:F92,F95:F96)</f>
        <v>0</v>
      </c>
      <c r="G114" s="974">
        <f t="shared" ref="G114:M114" si="62">SUM(G51:G52,G55:G56,G59:G60,G63:G64,G71:G72,G75:G76,G67:G68,G79:G80,G83:G84,G87:G88,G91:G92,G95:G96)</f>
        <v>0</v>
      </c>
      <c r="H114" s="974">
        <f t="shared" si="62"/>
        <v>0</v>
      </c>
      <c r="I114" s="974">
        <f t="shared" si="62"/>
        <v>0</v>
      </c>
      <c r="J114" s="974">
        <f t="shared" si="62"/>
        <v>1312.8979999999999</v>
      </c>
      <c r="K114" s="974">
        <f t="shared" si="62"/>
        <v>0</v>
      </c>
      <c r="L114" s="974">
        <f t="shared" si="62"/>
        <v>0</v>
      </c>
      <c r="M114" s="974">
        <f t="shared" si="62"/>
        <v>0</v>
      </c>
      <c r="N114" s="974">
        <f>SUM(N51:N52,N55:N56,N59:N60,N63:N64,N71:N72,N75:N76,N67:N68,N79:N80,N83:N84,N87:N88,N91:N92,N95:N96)</f>
        <v>0</v>
      </c>
      <c r="O114" s="974">
        <f t="shared" ref="O114:AJ114" si="63">SUM(O51:O52,O55:O56,O59:O60,O63:O64,O71:O72,O75:O76,O67:O68,O79:O80,O83:O84,O87:O88,O91:O92,O95:O96)</f>
        <v>0</v>
      </c>
      <c r="P114" s="974">
        <f t="shared" si="63"/>
        <v>0</v>
      </c>
      <c r="Q114" s="974">
        <f t="shared" si="63"/>
        <v>0</v>
      </c>
      <c r="R114" s="974">
        <f t="shared" si="63"/>
        <v>0</v>
      </c>
      <c r="S114" s="974">
        <f t="shared" si="63"/>
        <v>0</v>
      </c>
      <c r="T114" s="974">
        <f t="shared" si="63"/>
        <v>0</v>
      </c>
      <c r="U114" s="974">
        <f t="shared" si="63"/>
        <v>0</v>
      </c>
      <c r="V114" s="974">
        <f t="shared" si="63"/>
        <v>0</v>
      </c>
      <c r="W114" s="974">
        <f t="shared" si="63"/>
        <v>0</v>
      </c>
      <c r="X114" s="974">
        <f t="shared" si="63"/>
        <v>0</v>
      </c>
      <c r="Y114" s="974">
        <f t="shared" si="63"/>
        <v>0</v>
      </c>
      <c r="Z114" s="974">
        <f t="shared" si="63"/>
        <v>0</v>
      </c>
      <c r="AA114" s="974">
        <f t="shared" si="63"/>
        <v>0</v>
      </c>
      <c r="AB114" s="974">
        <f t="shared" si="63"/>
        <v>0</v>
      </c>
      <c r="AC114" s="974">
        <f t="shared" si="63"/>
        <v>0</v>
      </c>
      <c r="AD114" s="974">
        <f t="shared" si="63"/>
        <v>0</v>
      </c>
      <c r="AE114" s="974">
        <f t="shared" si="63"/>
        <v>0</v>
      </c>
      <c r="AF114" s="974">
        <f t="shared" si="63"/>
        <v>0</v>
      </c>
      <c r="AG114" s="974">
        <f t="shared" si="63"/>
        <v>0</v>
      </c>
      <c r="AH114" s="974">
        <f t="shared" si="63"/>
        <v>0</v>
      </c>
      <c r="AI114" s="974">
        <f t="shared" si="63"/>
        <v>0</v>
      </c>
      <c r="AJ114" s="974">
        <f t="shared" si="63"/>
        <v>0</v>
      </c>
      <c r="AK114" s="975">
        <f>SUM(F114:AJ114)</f>
        <v>1312.8979999999999</v>
      </c>
      <c r="AL114" s="976">
        <f>SUM(AL51,AL55,AL59,AL63,AL67,AL71,AL75,AL79,AL83,AL87,AL91,AL95)</f>
        <v>0</v>
      </c>
      <c r="AM114" s="163"/>
    </row>
    <row r="115" spans="3:39" ht="15" customHeight="1">
      <c r="C115" s="806"/>
      <c r="D115" s="807"/>
      <c r="E115" s="962" t="s">
        <v>208</v>
      </c>
      <c r="F115" s="960">
        <f>+SUMIFS(F$49:F$96,$C$49:$C$96,"GRA1",$E$49:$E$96,"ROM*")</f>
        <v>0</v>
      </c>
      <c r="G115" s="960">
        <f t="shared" ref="G115:AJ115" si="64">+SUMIFS(G$49:G$96,$C$49:$C$96,"GRA1",$E$49:$E$96,"ROM*")</f>
        <v>0</v>
      </c>
      <c r="H115" s="960">
        <f t="shared" si="64"/>
        <v>0</v>
      </c>
      <c r="I115" s="960">
        <f t="shared" si="64"/>
        <v>0</v>
      </c>
      <c r="J115" s="960">
        <f t="shared" si="64"/>
        <v>0</v>
      </c>
      <c r="K115" s="960">
        <f t="shared" si="64"/>
        <v>0</v>
      </c>
      <c r="L115" s="960">
        <f t="shared" si="64"/>
        <v>0</v>
      </c>
      <c r="M115" s="960">
        <f t="shared" si="64"/>
        <v>0</v>
      </c>
      <c r="N115" s="960">
        <f t="shared" si="64"/>
        <v>0</v>
      </c>
      <c r="O115" s="960">
        <f t="shared" si="64"/>
        <v>0</v>
      </c>
      <c r="P115" s="960">
        <f t="shared" si="64"/>
        <v>0</v>
      </c>
      <c r="Q115" s="960">
        <f t="shared" si="64"/>
        <v>0</v>
      </c>
      <c r="R115" s="960">
        <f t="shared" si="64"/>
        <v>0</v>
      </c>
      <c r="S115" s="960">
        <f t="shared" si="64"/>
        <v>0</v>
      </c>
      <c r="T115" s="960">
        <f t="shared" si="64"/>
        <v>0</v>
      </c>
      <c r="U115" s="960">
        <f t="shared" si="64"/>
        <v>0</v>
      </c>
      <c r="V115" s="960">
        <f t="shared" si="64"/>
        <v>0</v>
      </c>
      <c r="W115" s="960">
        <f t="shared" si="64"/>
        <v>0</v>
      </c>
      <c r="X115" s="960">
        <f t="shared" si="64"/>
        <v>0</v>
      </c>
      <c r="Y115" s="960">
        <f t="shared" si="64"/>
        <v>0</v>
      </c>
      <c r="Z115" s="960">
        <f t="shared" si="64"/>
        <v>0</v>
      </c>
      <c r="AA115" s="960">
        <f t="shared" si="64"/>
        <v>0</v>
      </c>
      <c r="AB115" s="960">
        <f t="shared" si="64"/>
        <v>0</v>
      </c>
      <c r="AC115" s="960">
        <f t="shared" si="64"/>
        <v>0</v>
      </c>
      <c r="AD115" s="960">
        <f t="shared" si="64"/>
        <v>0</v>
      </c>
      <c r="AE115" s="960">
        <f t="shared" si="64"/>
        <v>0</v>
      </c>
      <c r="AF115" s="960">
        <f t="shared" si="64"/>
        <v>0</v>
      </c>
      <c r="AG115" s="960">
        <f t="shared" si="64"/>
        <v>0</v>
      </c>
      <c r="AH115" s="960">
        <f t="shared" si="64"/>
        <v>0</v>
      </c>
      <c r="AI115" s="960">
        <f t="shared" si="64"/>
        <v>0</v>
      </c>
      <c r="AJ115" s="960">
        <f t="shared" si="64"/>
        <v>0</v>
      </c>
      <c r="AK115" s="969">
        <f>+SUMIFS(AK$49:AK$96,$C$49:$C$96,"GRA1",$E$49:$E$96,"ROM*")</f>
        <v>0</v>
      </c>
      <c r="AL115" s="1190"/>
      <c r="AM115" s="163"/>
    </row>
    <row r="116" spans="3:39" ht="15" customHeight="1">
      <c r="C116" s="806"/>
      <c r="D116" s="807"/>
      <c r="E116" s="962" t="s">
        <v>209</v>
      </c>
      <c r="F116" s="960">
        <f>+SUMIFS(F$49:F$96,$C$49:$C$96,"GRA",$E$49:$E$96,"ROM*")</f>
        <v>0</v>
      </c>
      <c r="G116" s="960">
        <f t="shared" ref="G116:AJ116" si="65">+SUMIFS(G$49:G$96,$C$49:$C$96,"GRA",$E$49:$E$96,"ROM*")</f>
        <v>0</v>
      </c>
      <c r="H116" s="960">
        <f t="shared" si="65"/>
        <v>0</v>
      </c>
      <c r="I116" s="960">
        <f t="shared" si="65"/>
        <v>0</v>
      </c>
      <c r="J116" s="960">
        <f t="shared" si="65"/>
        <v>1312.8979999999999</v>
      </c>
      <c r="K116" s="960">
        <f t="shared" si="65"/>
        <v>0</v>
      </c>
      <c r="L116" s="960">
        <f t="shared" si="65"/>
        <v>0</v>
      </c>
      <c r="M116" s="960">
        <f t="shared" si="65"/>
        <v>0</v>
      </c>
      <c r="N116" s="960">
        <f t="shared" si="65"/>
        <v>0</v>
      </c>
      <c r="O116" s="960">
        <f t="shared" si="65"/>
        <v>0</v>
      </c>
      <c r="P116" s="960">
        <f t="shared" si="65"/>
        <v>0</v>
      </c>
      <c r="Q116" s="960">
        <f t="shared" si="65"/>
        <v>0</v>
      </c>
      <c r="R116" s="960">
        <f t="shared" si="65"/>
        <v>0</v>
      </c>
      <c r="S116" s="960">
        <f t="shared" si="65"/>
        <v>0</v>
      </c>
      <c r="T116" s="960">
        <f t="shared" si="65"/>
        <v>0</v>
      </c>
      <c r="U116" s="960">
        <f t="shared" si="65"/>
        <v>0</v>
      </c>
      <c r="V116" s="960">
        <f t="shared" si="65"/>
        <v>0</v>
      </c>
      <c r="W116" s="960">
        <f t="shared" si="65"/>
        <v>0</v>
      </c>
      <c r="X116" s="960">
        <f t="shared" si="65"/>
        <v>0</v>
      </c>
      <c r="Y116" s="960">
        <f t="shared" si="65"/>
        <v>0</v>
      </c>
      <c r="Z116" s="960">
        <f t="shared" si="65"/>
        <v>0</v>
      </c>
      <c r="AA116" s="960">
        <f t="shared" si="65"/>
        <v>0</v>
      </c>
      <c r="AB116" s="960">
        <f t="shared" si="65"/>
        <v>0</v>
      </c>
      <c r="AC116" s="960">
        <f t="shared" si="65"/>
        <v>0</v>
      </c>
      <c r="AD116" s="960">
        <f t="shared" si="65"/>
        <v>0</v>
      </c>
      <c r="AE116" s="960">
        <f t="shared" si="65"/>
        <v>0</v>
      </c>
      <c r="AF116" s="960">
        <f t="shared" si="65"/>
        <v>0</v>
      </c>
      <c r="AG116" s="960">
        <f t="shared" si="65"/>
        <v>0</v>
      </c>
      <c r="AH116" s="960">
        <f t="shared" si="65"/>
        <v>0</v>
      </c>
      <c r="AI116" s="960">
        <f t="shared" si="65"/>
        <v>0</v>
      </c>
      <c r="AJ116" s="960">
        <f t="shared" si="65"/>
        <v>0</v>
      </c>
      <c r="AK116" s="969">
        <f>+SUMIFS(AK$49:AK$96,$C$49:$C$96,"GRA",$E$49:$E$96,"ROM*")</f>
        <v>1312.8979999999999</v>
      </c>
      <c r="AL116" s="1190"/>
      <c r="AM116" s="163"/>
    </row>
    <row r="117" spans="3:39" ht="15" customHeight="1" thickBot="1">
      <c r="C117" s="806"/>
      <c r="D117" s="807"/>
      <c r="E117" s="970" t="s">
        <v>210</v>
      </c>
      <c r="F117" s="971">
        <f>+SUMIFS(F$49:F$96,$C$49:$C$96,"TUK",$E$49:$E$96,"ROM*")</f>
        <v>0</v>
      </c>
      <c r="G117" s="971">
        <f t="shared" ref="G117:AK117" si="66">+SUMIFS(G$49:G$96,$C$49:$C$96,"TUK",$E$49:$E$96,"ROM*")</f>
        <v>0</v>
      </c>
      <c r="H117" s="971">
        <f t="shared" si="66"/>
        <v>0</v>
      </c>
      <c r="I117" s="971">
        <f t="shared" si="66"/>
        <v>0</v>
      </c>
      <c r="J117" s="971">
        <f t="shared" si="66"/>
        <v>0</v>
      </c>
      <c r="K117" s="971">
        <f t="shared" si="66"/>
        <v>0</v>
      </c>
      <c r="L117" s="971">
        <f t="shared" si="66"/>
        <v>0</v>
      </c>
      <c r="M117" s="971">
        <f t="shared" si="66"/>
        <v>0</v>
      </c>
      <c r="N117" s="971">
        <f t="shared" si="66"/>
        <v>0</v>
      </c>
      <c r="O117" s="971">
        <f t="shared" si="66"/>
        <v>0</v>
      </c>
      <c r="P117" s="971">
        <f t="shared" si="66"/>
        <v>0</v>
      </c>
      <c r="Q117" s="971">
        <f t="shared" si="66"/>
        <v>0</v>
      </c>
      <c r="R117" s="971">
        <f t="shared" si="66"/>
        <v>0</v>
      </c>
      <c r="S117" s="971">
        <f t="shared" si="66"/>
        <v>0</v>
      </c>
      <c r="T117" s="971">
        <f t="shared" si="66"/>
        <v>0</v>
      </c>
      <c r="U117" s="971">
        <f t="shared" si="66"/>
        <v>0</v>
      </c>
      <c r="V117" s="971">
        <f t="shared" si="66"/>
        <v>0</v>
      </c>
      <c r="W117" s="971">
        <f t="shared" si="66"/>
        <v>0</v>
      </c>
      <c r="X117" s="971">
        <f t="shared" si="66"/>
        <v>0</v>
      </c>
      <c r="Y117" s="971">
        <f t="shared" si="66"/>
        <v>0</v>
      </c>
      <c r="Z117" s="971">
        <f t="shared" si="66"/>
        <v>0</v>
      </c>
      <c r="AA117" s="971">
        <f t="shared" si="66"/>
        <v>0</v>
      </c>
      <c r="AB117" s="971">
        <f t="shared" si="66"/>
        <v>0</v>
      </c>
      <c r="AC117" s="971">
        <f t="shared" si="66"/>
        <v>0</v>
      </c>
      <c r="AD117" s="971">
        <f t="shared" si="66"/>
        <v>0</v>
      </c>
      <c r="AE117" s="971">
        <f t="shared" si="66"/>
        <v>0</v>
      </c>
      <c r="AF117" s="971">
        <f t="shared" si="66"/>
        <v>0</v>
      </c>
      <c r="AG117" s="971">
        <f t="shared" si="66"/>
        <v>0</v>
      </c>
      <c r="AH117" s="971">
        <f t="shared" si="66"/>
        <v>0</v>
      </c>
      <c r="AI117" s="971">
        <f t="shared" si="66"/>
        <v>0</v>
      </c>
      <c r="AJ117" s="971">
        <f t="shared" si="66"/>
        <v>0</v>
      </c>
      <c r="AK117" s="972">
        <f t="shared" si="66"/>
        <v>0</v>
      </c>
      <c r="AL117" s="1190"/>
      <c r="AM117" s="163"/>
    </row>
    <row r="118" spans="3:39" ht="15" customHeight="1">
      <c r="C118" s="806"/>
      <c r="D118" s="807"/>
      <c r="E118" s="962" t="s">
        <v>223</v>
      </c>
      <c r="F118" s="960">
        <f>SUM(F119:F121)</f>
        <v>0</v>
      </c>
      <c r="G118" s="960">
        <f t="shared" ref="G118:AJ118" si="67">SUM(G119:G121)</f>
        <v>0</v>
      </c>
      <c r="H118" s="960">
        <f t="shared" si="67"/>
        <v>0</v>
      </c>
      <c r="I118" s="960">
        <f t="shared" si="67"/>
        <v>0</v>
      </c>
      <c r="J118" s="960">
        <f t="shared" si="67"/>
        <v>1312.8979999999999</v>
      </c>
      <c r="K118" s="960">
        <f t="shared" si="67"/>
        <v>0</v>
      </c>
      <c r="L118" s="960">
        <f t="shared" si="67"/>
        <v>0</v>
      </c>
      <c r="M118" s="960">
        <f t="shared" si="67"/>
        <v>0</v>
      </c>
      <c r="N118" s="960">
        <f t="shared" si="67"/>
        <v>0</v>
      </c>
      <c r="O118" s="960">
        <f t="shared" si="67"/>
        <v>0</v>
      </c>
      <c r="P118" s="960">
        <f t="shared" si="67"/>
        <v>0</v>
      </c>
      <c r="Q118" s="960">
        <f t="shared" si="67"/>
        <v>0</v>
      </c>
      <c r="R118" s="960">
        <f t="shared" si="67"/>
        <v>0</v>
      </c>
      <c r="S118" s="960">
        <f t="shared" si="67"/>
        <v>0</v>
      </c>
      <c r="T118" s="960">
        <f t="shared" si="67"/>
        <v>0</v>
      </c>
      <c r="U118" s="960">
        <f t="shared" si="67"/>
        <v>0</v>
      </c>
      <c r="V118" s="960">
        <f t="shared" si="67"/>
        <v>0</v>
      </c>
      <c r="W118" s="960">
        <f t="shared" si="67"/>
        <v>0</v>
      </c>
      <c r="X118" s="960">
        <f t="shared" si="67"/>
        <v>0</v>
      </c>
      <c r="Y118" s="960">
        <f t="shared" si="67"/>
        <v>0</v>
      </c>
      <c r="Z118" s="960">
        <f t="shared" si="67"/>
        <v>0</v>
      </c>
      <c r="AA118" s="960">
        <f t="shared" si="67"/>
        <v>0</v>
      </c>
      <c r="AB118" s="960">
        <f t="shared" si="67"/>
        <v>0</v>
      </c>
      <c r="AC118" s="960">
        <f t="shared" si="67"/>
        <v>0</v>
      </c>
      <c r="AD118" s="960">
        <f t="shared" si="67"/>
        <v>0</v>
      </c>
      <c r="AE118" s="960">
        <f t="shared" si="67"/>
        <v>0</v>
      </c>
      <c r="AF118" s="960">
        <f t="shared" si="67"/>
        <v>0</v>
      </c>
      <c r="AG118" s="960">
        <f t="shared" si="67"/>
        <v>0</v>
      </c>
      <c r="AH118" s="960">
        <f t="shared" si="67"/>
        <v>0</v>
      </c>
      <c r="AI118" s="960">
        <f t="shared" si="67"/>
        <v>0</v>
      </c>
      <c r="AJ118" s="960">
        <f t="shared" si="67"/>
        <v>0</v>
      </c>
      <c r="AK118" s="975">
        <f>SUM(F118:AJ118)</f>
        <v>1312.8979999999999</v>
      </c>
      <c r="AL118" s="1190"/>
      <c r="AM118" s="163"/>
    </row>
    <row r="119" spans="3:39" ht="15" customHeight="1">
      <c r="C119" s="806"/>
      <c r="D119" s="807"/>
      <c r="E119" s="962" t="s">
        <v>208</v>
      </c>
      <c r="F119" s="960">
        <f>+SUMIFS(F$49:F$96,$C$49:$C$96,"GRA1",$E$49:$E$96,"ROM 1")</f>
        <v>0</v>
      </c>
      <c r="G119" s="960">
        <f t="shared" ref="G119:AJ119" si="68">+SUMIFS(G$49:G$96,$C$49:$C$96,"GRA1",$E$49:$E$96,"ROM 1")</f>
        <v>0</v>
      </c>
      <c r="H119" s="960">
        <f t="shared" si="68"/>
        <v>0</v>
      </c>
      <c r="I119" s="960">
        <f t="shared" si="68"/>
        <v>0</v>
      </c>
      <c r="J119" s="960">
        <f t="shared" si="68"/>
        <v>0</v>
      </c>
      <c r="K119" s="960">
        <f t="shared" si="68"/>
        <v>0</v>
      </c>
      <c r="L119" s="960">
        <f t="shared" si="68"/>
        <v>0</v>
      </c>
      <c r="M119" s="960">
        <f t="shared" si="68"/>
        <v>0</v>
      </c>
      <c r="N119" s="960">
        <f t="shared" si="68"/>
        <v>0</v>
      </c>
      <c r="O119" s="960">
        <f t="shared" si="68"/>
        <v>0</v>
      </c>
      <c r="P119" s="960">
        <f t="shared" si="68"/>
        <v>0</v>
      </c>
      <c r="Q119" s="960">
        <f t="shared" si="68"/>
        <v>0</v>
      </c>
      <c r="R119" s="960">
        <f t="shared" si="68"/>
        <v>0</v>
      </c>
      <c r="S119" s="960">
        <f t="shared" si="68"/>
        <v>0</v>
      </c>
      <c r="T119" s="960">
        <f t="shared" si="68"/>
        <v>0</v>
      </c>
      <c r="U119" s="960">
        <f t="shared" si="68"/>
        <v>0</v>
      </c>
      <c r="V119" s="960">
        <f t="shared" si="68"/>
        <v>0</v>
      </c>
      <c r="W119" s="960">
        <f t="shared" si="68"/>
        <v>0</v>
      </c>
      <c r="X119" s="960">
        <f t="shared" si="68"/>
        <v>0</v>
      </c>
      <c r="Y119" s="960">
        <f t="shared" si="68"/>
        <v>0</v>
      </c>
      <c r="Z119" s="960">
        <f>+SUMIFS(Z$49:Z$96,$C$49:$C$96,"GRA1",$E$49:$E$96,"ROM 1")</f>
        <v>0</v>
      </c>
      <c r="AA119" s="960">
        <f t="shared" si="68"/>
        <v>0</v>
      </c>
      <c r="AB119" s="960">
        <f t="shared" si="68"/>
        <v>0</v>
      </c>
      <c r="AC119" s="960">
        <f t="shared" si="68"/>
        <v>0</v>
      </c>
      <c r="AD119" s="960">
        <f t="shared" si="68"/>
        <v>0</v>
      </c>
      <c r="AE119" s="960">
        <f t="shared" si="68"/>
        <v>0</v>
      </c>
      <c r="AF119" s="960">
        <f t="shared" si="68"/>
        <v>0</v>
      </c>
      <c r="AG119" s="960">
        <f t="shared" si="68"/>
        <v>0</v>
      </c>
      <c r="AH119" s="960">
        <f t="shared" si="68"/>
        <v>0</v>
      </c>
      <c r="AI119" s="960">
        <f t="shared" si="68"/>
        <v>0</v>
      </c>
      <c r="AJ119" s="960">
        <f t="shared" si="68"/>
        <v>0</v>
      </c>
      <c r="AK119" s="969">
        <f>+SUMIFS(AK$49:AK$96,$C$49:$C$96,"GRA1",$E$49:$E$96,"ROM 1")</f>
        <v>0</v>
      </c>
      <c r="AL119" s="1190"/>
      <c r="AM119" s="163"/>
    </row>
    <row r="120" spans="3:39" ht="15" customHeight="1">
      <c r="C120" s="806"/>
      <c r="D120" s="807"/>
      <c r="E120" s="962" t="s">
        <v>209</v>
      </c>
      <c r="F120" s="960">
        <f>+SUMIFS(F$49:F$96,$C$49:$C$96,"GRA",$E$49:$E$96,"ROM 1")</f>
        <v>0</v>
      </c>
      <c r="G120" s="960">
        <f t="shared" ref="G120:AJ120" si="69">+SUMIFS(G$49:G$96,$C$49:$C$96,"GRA",$E$49:$E$96,"ROM 1")</f>
        <v>0</v>
      </c>
      <c r="H120" s="960">
        <f t="shared" si="69"/>
        <v>0</v>
      </c>
      <c r="I120" s="960">
        <f t="shared" si="69"/>
        <v>0</v>
      </c>
      <c r="J120" s="960">
        <f t="shared" si="69"/>
        <v>1312.8979999999999</v>
      </c>
      <c r="K120" s="960">
        <f t="shared" si="69"/>
        <v>0</v>
      </c>
      <c r="L120" s="960">
        <f t="shared" si="69"/>
        <v>0</v>
      </c>
      <c r="M120" s="960">
        <f t="shared" si="69"/>
        <v>0</v>
      </c>
      <c r="N120" s="960">
        <f t="shared" si="69"/>
        <v>0</v>
      </c>
      <c r="O120" s="960">
        <f t="shared" si="69"/>
        <v>0</v>
      </c>
      <c r="P120" s="960">
        <f t="shared" si="69"/>
        <v>0</v>
      </c>
      <c r="Q120" s="960">
        <f t="shared" si="69"/>
        <v>0</v>
      </c>
      <c r="R120" s="960">
        <f t="shared" si="69"/>
        <v>0</v>
      </c>
      <c r="S120" s="960">
        <f t="shared" si="69"/>
        <v>0</v>
      </c>
      <c r="T120" s="960">
        <f t="shared" si="69"/>
        <v>0</v>
      </c>
      <c r="U120" s="960">
        <f t="shared" si="69"/>
        <v>0</v>
      </c>
      <c r="V120" s="960">
        <f t="shared" si="69"/>
        <v>0</v>
      </c>
      <c r="W120" s="960">
        <f t="shared" si="69"/>
        <v>0</v>
      </c>
      <c r="X120" s="960">
        <f t="shared" si="69"/>
        <v>0</v>
      </c>
      <c r="Y120" s="960">
        <f t="shared" si="69"/>
        <v>0</v>
      </c>
      <c r="Z120" s="960">
        <f t="shared" si="69"/>
        <v>0</v>
      </c>
      <c r="AA120" s="960">
        <f t="shared" si="69"/>
        <v>0</v>
      </c>
      <c r="AB120" s="960">
        <f t="shared" si="69"/>
        <v>0</v>
      </c>
      <c r="AC120" s="960">
        <f t="shared" si="69"/>
        <v>0</v>
      </c>
      <c r="AD120" s="960">
        <f t="shared" si="69"/>
        <v>0</v>
      </c>
      <c r="AE120" s="960">
        <f t="shared" si="69"/>
        <v>0</v>
      </c>
      <c r="AF120" s="960">
        <f t="shared" si="69"/>
        <v>0</v>
      </c>
      <c r="AG120" s="960">
        <f t="shared" si="69"/>
        <v>0</v>
      </c>
      <c r="AH120" s="960">
        <f t="shared" si="69"/>
        <v>0</v>
      </c>
      <c r="AI120" s="960">
        <f t="shared" si="69"/>
        <v>0</v>
      </c>
      <c r="AJ120" s="960">
        <f t="shared" si="69"/>
        <v>0</v>
      </c>
      <c r="AK120" s="969">
        <f>+SUMIFS(AK$49:AK$96,$C$49:$C$96,"GRA",$E$49:$E$96,"ROM 1")</f>
        <v>1312.8979999999999</v>
      </c>
      <c r="AL120" s="1190"/>
      <c r="AM120" s="163"/>
    </row>
    <row r="121" spans="3:39" ht="15" customHeight="1" thickBot="1">
      <c r="C121" s="806"/>
      <c r="D121" s="807"/>
      <c r="E121" s="970" t="s">
        <v>210</v>
      </c>
      <c r="F121" s="971">
        <f>+SUMIFS(F$49:F$96,$C$49:$C$96,"TUK",$E$49:$E$96,"ROM 1")</f>
        <v>0</v>
      </c>
      <c r="G121" s="971">
        <f t="shared" ref="G121:AJ121" si="70">+SUMIFS(G$49:G$96,$C$49:$C$96,"TUK",$E$49:$E$96,"ROM 1")</f>
        <v>0</v>
      </c>
      <c r="H121" s="971">
        <f t="shared" si="70"/>
        <v>0</v>
      </c>
      <c r="I121" s="971">
        <f t="shared" si="70"/>
        <v>0</v>
      </c>
      <c r="J121" s="971">
        <f t="shared" si="70"/>
        <v>0</v>
      </c>
      <c r="K121" s="971">
        <f t="shared" si="70"/>
        <v>0</v>
      </c>
      <c r="L121" s="971">
        <f t="shared" si="70"/>
        <v>0</v>
      </c>
      <c r="M121" s="971">
        <f t="shared" si="70"/>
        <v>0</v>
      </c>
      <c r="N121" s="971">
        <f t="shared" si="70"/>
        <v>0</v>
      </c>
      <c r="O121" s="971">
        <f t="shared" si="70"/>
        <v>0</v>
      </c>
      <c r="P121" s="971">
        <f t="shared" si="70"/>
        <v>0</v>
      </c>
      <c r="Q121" s="971">
        <f t="shared" si="70"/>
        <v>0</v>
      </c>
      <c r="R121" s="971">
        <f t="shared" si="70"/>
        <v>0</v>
      </c>
      <c r="S121" s="971">
        <f t="shared" si="70"/>
        <v>0</v>
      </c>
      <c r="T121" s="971">
        <f t="shared" si="70"/>
        <v>0</v>
      </c>
      <c r="U121" s="971">
        <f t="shared" si="70"/>
        <v>0</v>
      </c>
      <c r="V121" s="971">
        <f t="shared" si="70"/>
        <v>0</v>
      </c>
      <c r="W121" s="971">
        <f t="shared" si="70"/>
        <v>0</v>
      </c>
      <c r="X121" s="971">
        <f t="shared" si="70"/>
        <v>0</v>
      </c>
      <c r="Y121" s="971">
        <f t="shared" si="70"/>
        <v>0</v>
      </c>
      <c r="Z121" s="971">
        <f t="shared" si="70"/>
        <v>0</v>
      </c>
      <c r="AA121" s="971">
        <f t="shared" si="70"/>
        <v>0</v>
      </c>
      <c r="AB121" s="971">
        <f t="shared" si="70"/>
        <v>0</v>
      </c>
      <c r="AC121" s="971">
        <f t="shared" si="70"/>
        <v>0</v>
      </c>
      <c r="AD121" s="971">
        <f t="shared" si="70"/>
        <v>0</v>
      </c>
      <c r="AE121" s="971">
        <f t="shared" si="70"/>
        <v>0</v>
      </c>
      <c r="AF121" s="971">
        <f t="shared" si="70"/>
        <v>0</v>
      </c>
      <c r="AG121" s="971">
        <f t="shared" si="70"/>
        <v>0</v>
      </c>
      <c r="AH121" s="971">
        <f t="shared" si="70"/>
        <v>0</v>
      </c>
      <c r="AI121" s="971">
        <f t="shared" si="70"/>
        <v>0</v>
      </c>
      <c r="AJ121" s="971">
        <f t="shared" si="70"/>
        <v>0</v>
      </c>
      <c r="AK121" s="972">
        <f>+SUMIFS(AK$49:AK$96,$C$49:$C$96,"TUK",$E$49:$E$96,"ROM 1")</f>
        <v>0</v>
      </c>
      <c r="AL121" s="1190"/>
      <c r="AM121" s="163"/>
    </row>
    <row r="122" spans="3:39" ht="15" customHeight="1">
      <c r="C122" s="806"/>
      <c r="D122" s="807"/>
      <c r="E122" s="962" t="s">
        <v>224</v>
      </c>
      <c r="F122" s="960">
        <f t="shared" ref="F122:AJ122" si="71">SUM(F123:F125)</f>
        <v>0</v>
      </c>
      <c r="G122" s="960">
        <f t="shared" si="71"/>
        <v>0</v>
      </c>
      <c r="H122" s="960">
        <f t="shared" si="71"/>
        <v>0</v>
      </c>
      <c r="I122" s="960">
        <f t="shared" si="71"/>
        <v>0</v>
      </c>
      <c r="J122" s="960">
        <f t="shared" si="71"/>
        <v>0</v>
      </c>
      <c r="K122" s="960">
        <f t="shared" si="71"/>
        <v>0</v>
      </c>
      <c r="L122" s="960">
        <f t="shared" si="71"/>
        <v>0</v>
      </c>
      <c r="M122" s="960">
        <f t="shared" si="71"/>
        <v>0</v>
      </c>
      <c r="N122" s="960">
        <f t="shared" si="71"/>
        <v>0</v>
      </c>
      <c r="O122" s="960">
        <f t="shared" si="71"/>
        <v>0</v>
      </c>
      <c r="P122" s="960">
        <f t="shared" si="71"/>
        <v>0</v>
      </c>
      <c r="Q122" s="960">
        <f t="shared" si="71"/>
        <v>0</v>
      </c>
      <c r="R122" s="960">
        <f t="shared" si="71"/>
        <v>0</v>
      </c>
      <c r="S122" s="960">
        <f t="shared" si="71"/>
        <v>0</v>
      </c>
      <c r="T122" s="960">
        <f t="shared" si="71"/>
        <v>0</v>
      </c>
      <c r="U122" s="960">
        <f t="shared" si="71"/>
        <v>0</v>
      </c>
      <c r="V122" s="960">
        <f t="shared" si="71"/>
        <v>0</v>
      </c>
      <c r="W122" s="960">
        <f t="shared" si="71"/>
        <v>0</v>
      </c>
      <c r="X122" s="960">
        <f t="shared" si="71"/>
        <v>0</v>
      </c>
      <c r="Y122" s="960">
        <f t="shared" si="71"/>
        <v>0</v>
      </c>
      <c r="Z122" s="960">
        <f t="shared" si="71"/>
        <v>0</v>
      </c>
      <c r="AA122" s="960">
        <f t="shared" si="71"/>
        <v>0</v>
      </c>
      <c r="AB122" s="960">
        <f t="shared" si="71"/>
        <v>0</v>
      </c>
      <c r="AC122" s="960">
        <f t="shared" si="71"/>
        <v>0</v>
      </c>
      <c r="AD122" s="960">
        <f t="shared" si="71"/>
        <v>0</v>
      </c>
      <c r="AE122" s="960">
        <f t="shared" si="71"/>
        <v>0</v>
      </c>
      <c r="AF122" s="960">
        <f t="shared" si="71"/>
        <v>0</v>
      </c>
      <c r="AG122" s="960">
        <f t="shared" si="71"/>
        <v>0</v>
      </c>
      <c r="AH122" s="960">
        <f t="shared" si="71"/>
        <v>0</v>
      </c>
      <c r="AI122" s="960">
        <f t="shared" si="71"/>
        <v>0</v>
      </c>
      <c r="AJ122" s="960">
        <f t="shared" si="71"/>
        <v>0</v>
      </c>
      <c r="AK122" s="975">
        <f>SUM(F122:AJ122)</f>
        <v>0</v>
      </c>
      <c r="AL122" s="1190"/>
      <c r="AM122" s="163"/>
    </row>
    <row r="123" spans="3:39" ht="15" customHeight="1">
      <c r="C123" s="806"/>
      <c r="D123" s="807"/>
      <c r="E123" s="962" t="s">
        <v>208</v>
      </c>
      <c r="F123" s="960">
        <f>+SUMIFS(F$49:F$96,$C$49:$C$96,"GRA1",$E$49:$E$96,"ROM 2")</f>
        <v>0</v>
      </c>
      <c r="G123" s="960">
        <f t="shared" ref="G123:AJ123" si="72">+SUMIFS(G$49:G$96,$C$49:$C$96,"GRA1",$E$49:$E$96,"ROM 2")</f>
        <v>0</v>
      </c>
      <c r="H123" s="960">
        <f t="shared" si="72"/>
        <v>0</v>
      </c>
      <c r="I123" s="960">
        <f t="shared" si="72"/>
        <v>0</v>
      </c>
      <c r="J123" s="960">
        <f t="shared" si="72"/>
        <v>0</v>
      </c>
      <c r="K123" s="960">
        <f t="shared" si="72"/>
        <v>0</v>
      </c>
      <c r="L123" s="960">
        <f t="shared" si="72"/>
        <v>0</v>
      </c>
      <c r="M123" s="960">
        <f t="shared" si="72"/>
        <v>0</v>
      </c>
      <c r="N123" s="960">
        <f t="shared" si="72"/>
        <v>0</v>
      </c>
      <c r="O123" s="960">
        <f t="shared" si="72"/>
        <v>0</v>
      </c>
      <c r="P123" s="960">
        <f t="shared" si="72"/>
        <v>0</v>
      </c>
      <c r="Q123" s="960">
        <f t="shared" si="72"/>
        <v>0</v>
      </c>
      <c r="R123" s="960">
        <f t="shared" si="72"/>
        <v>0</v>
      </c>
      <c r="S123" s="960">
        <f t="shared" si="72"/>
        <v>0</v>
      </c>
      <c r="T123" s="960">
        <f t="shared" si="72"/>
        <v>0</v>
      </c>
      <c r="U123" s="960">
        <f t="shared" si="72"/>
        <v>0</v>
      </c>
      <c r="V123" s="960">
        <f t="shared" si="72"/>
        <v>0</v>
      </c>
      <c r="W123" s="960">
        <f t="shared" si="72"/>
        <v>0</v>
      </c>
      <c r="X123" s="960">
        <f t="shared" si="72"/>
        <v>0</v>
      </c>
      <c r="Y123" s="960">
        <f t="shared" si="72"/>
        <v>0</v>
      </c>
      <c r="Z123" s="960">
        <f t="shared" si="72"/>
        <v>0</v>
      </c>
      <c r="AA123" s="960">
        <f t="shared" si="72"/>
        <v>0</v>
      </c>
      <c r="AB123" s="960">
        <f t="shared" si="72"/>
        <v>0</v>
      </c>
      <c r="AC123" s="960">
        <f t="shared" si="72"/>
        <v>0</v>
      </c>
      <c r="AD123" s="960">
        <f t="shared" si="72"/>
        <v>0</v>
      </c>
      <c r="AE123" s="960">
        <f t="shared" si="72"/>
        <v>0</v>
      </c>
      <c r="AF123" s="960">
        <f t="shared" si="72"/>
        <v>0</v>
      </c>
      <c r="AG123" s="960">
        <f t="shared" si="72"/>
        <v>0</v>
      </c>
      <c r="AH123" s="960">
        <f t="shared" si="72"/>
        <v>0</v>
      </c>
      <c r="AI123" s="960">
        <f t="shared" si="72"/>
        <v>0</v>
      </c>
      <c r="AJ123" s="960">
        <f t="shared" si="72"/>
        <v>0</v>
      </c>
      <c r="AK123" s="969">
        <f>+SUMIFS(AK$49:AK$96,$C$49:$C$96,"GRA1",$E$49:$E$96,"ROM 2")</f>
        <v>0</v>
      </c>
      <c r="AL123" s="961"/>
      <c r="AM123" s="163">
        <f>+AK123/$AK$109</f>
        <v>0</v>
      </c>
    </row>
    <row r="124" spans="3:39" ht="15" customHeight="1">
      <c r="C124" s="806"/>
      <c r="D124" s="807"/>
      <c r="E124" s="962" t="s">
        <v>209</v>
      </c>
      <c r="F124" s="960">
        <f>+SUMIFS(F$49:F$96,$C$49:$C$96,"GRA",$E$49:$E$96,"ROM 2")</f>
        <v>0</v>
      </c>
      <c r="G124" s="960">
        <f t="shared" ref="G124:AJ124" si="73">+SUMIFS(G$49:G$96,$C$49:$C$96,"GRA",$E$49:$E$96,"ROM 2")</f>
        <v>0</v>
      </c>
      <c r="H124" s="960">
        <f t="shared" si="73"/>
        <v>0</v>
      </c>
      <c r="I124" s="960">
        <f t="shared" si="73"/>
        <v>0</v>
      </c>
      <c r="J124" s="960">
        <f t="shared" si="73"/>
        <v>0</v>
      </c>
      <c r="K124" s="960">
        <f t="shared" si="73"/>
        <v>0</v>
      </c>
      <c r="L124" s="960">
        <f t="shared" si="73"/>
        <v>0</v>
      </c>
      <c r="M124" s="960">
        <f t="shared" si="73"/>
        <v>0</v>
      </c>
      <c r="N124" s="960">
        <f t="shared" si="73"/>
        <v>0</v>
      </c>
      <c r="O124" s="960">
        <f t="shared" si="73"/>
        <v>0</v>
      </c>
      <c r="P124" s="960">
        <f t="shared" si="73"/>
        <v>0</v>
      </c>
      <c r="Q124" s="960">
        <f t="shared" si="73"/>
        <v>0</v>
      </c>
      <c r="R124" s="960">
        <f t="shared" si="73"/>
        <v>0</v>
      </c>
      <c r="S124" s="960">
        <f t="shared" si="73"/>
        <v>0</v>
      </c>
      <c r="T124" s="960">
        <f t="shared" si="73"/>
        <v>0</v>
      </c>
      <c r="U124" s="960">
        <f t="shared" si="73"/>
        <v>0</v>
      </c>
      <c r="V124" s="960">
        <f t="shared" si="73"/>
        <v>0</v>
      </c>
      <c r="W124" s="960">
        <f t="shared" si="73"/>
        <v>0</v>
      </c>
      <c r="X124" s="960">
        <f t="shared" si="73"/>
        <v>0</v>
      </c>
      <c r="Y124" s="960">
        <f t="shared" si="73"/>
        <v>0</v>
      </c>
      <c r="Z124" s="960">
        <f t="shared" si="73"/>
        <v>0</v>
      </c>
      <c r="AA124" s="960">
        <f t="shared" si="73"/>
        <v>0</v>
      </c>
      <c r="AB124" s="960">
        <f t="shared" si="73"/>
        <v>0</v>
      </c>
      <c r="AC124" s="960">
        <f t="shared" si="73"/>
        <v>0</v>
      </c>
      <c r="AD124" s="960">
        <f t="shared" si="73"/>
        <v>0</v>
      </c>
      <c r="AE124" s="960">
        <f t="shared" si="73"/>
        <v>0</v>
      </c>
      <c r="AF124" s="960">
        <f t="shared" si="73"/>
        <v>0</v>
      </c>
      <c r="AG124" s="960">
        <f t="shared" si="73"/>
        <v>0</v>
      </c>
      <c r="AH124" s="960">
        <f t="shared" si="73"/>
        <v>0</v>
      </c>
      <c r="AI124" s="960">
        <f t="shared" si="73"/>
        <v>0</v>
      </c>
      <c r="AJ124" s="960">
        <f t="shared" si="73"/>
        <v>0</v>
      </c>
      <c r="AK124" s="969">
        <f>+SUMIFS(AK$49:AK$96,$C$49:$C$96,"GRA",$E$49:$E$96,"ROM 2")</f>
        <v>0</v>
      </c>
      <c r="AL124" s="961"/>
      <c r="AM124" s="163">
        <f>+AK124/$AK$109</f>
        <v>0</v>
      </c>
    </row>
    <row r="125" spans="3:39" ht="15" customHeight="1" thickBot="1">
      <c r="C125" s="808"/>
      <c r="D125" s="809"/>
      <c r="E125" s="970" t="s">
        <v>210</v>
      </c>
      <c r="F125" s="971">
        <f>+SUMIFS(F$49:F$96,$C$49:$C$96,"TUK",$E$49:$E$96,"ROM 2")</f>
        <v>0</v>
      </c>
      <c r="G125" s="971">
        <f t="shared" ref="G125:AJ125" si="74">+SUMIFS(G$49:G$96,$C$49:$C$96,"TUK",$E$49:$E$96,"ROM 2")</f>
        <v>0</v>
      </c>
      <c r="H125" s="971">
        <f t="shared" si="74"/>
        <v>0</v>
      </c>
      <c r="I125" s="971">
        <f t="shared" si="74"/>
        <v>0</v>
      </c>
      <c r="J125" s="971">
        <f t="shared" si="74"/>
        <v>0</v>
      </c>
      <c r="K125" s="971">
        <f t="shared" si="74"/>
        <v>0</v>
      </c>
      <c r="L125" s="971">
        <f t="shared" si="74"/>
        <v>0</v>
      </c>
      <c r="M125" s="971">
        <f t="shared" si="74"/>
        <v>0</v>
      </c>
      <c r="N125" s="971">
        <f t="shared" si="74"/>
        <v>0</v>
      </c>
      <c r="O125" s="971">
        <f t="shared" si="74"/>
        <v>0</v>
      </c>
      <c r="P125" s="971">
        <f t="shared" si="74"/>
        <v>0</v>
      </c>
      <c r="Q125" s="971">
        <f t="shared" si="74"/>
        <v>0</v>
      </c>
      <c r="R125" s="971">
        <f t="shared" si="74"/>
        <v>0</v>
      </c>
      <c r="S125" s="971">
        <f t="shared" si="74"/>
        <v>0</v>
      </c>
      <c r="T125" s="971">
        <f t="shared" si="74"/>
        <v>0</v>
      </c>
      <c r="U125" s="971">
        <f t="shared" si="74"/>
        <v>0</v>
      </c>
      <c r="V125" s="971">
        <f t="shared" si="74"/>
        <v>0</v>
      </c>
      <c r="W125" s="971">
        <f t="shared" si="74"/>
        <v>0</v>
      </c>
      <c r="X125" s="971">
        <f t="shared" si="74"/>
        <v>0</v>
      </c>
      <c r="Y125" s="971">
        <f t="shared" si="74"/>
        <v>0</v>
      </c>
      <c r="Z125" s="971">
        <f t="shared" si="74"/>
        <v>0</v>
      </c>
      <c r="AA125" s="971">
        <f t="shared" si="74"/>
        <v>0</v>
      </c>
      <c r="AB125" s="971">
        <f t="shared" si="74"/>
        <v>0</v>
      </c>
      <c r="AC125" s="971">
        <f t="shared" si="74"/>
        <v>0</v>
      </c>
      <c r="AD125" s="971">
        <f t="shared" si="74"/>
        <v>0</v>
      </c>
      <c r="AE125" s="971">
        <f t="shared" si="74"/>
        <v>0</v>
      </c>
      <c r="AF125" s="971">
        <f t="shared" si="74"/>
        <v>0</v>
      </c>
      <c r="AG125" s="971">
        <f t="shared" si="74"/>
        <v>0</v>
      </c>
      <c r="AH125" s="971">
        <f t="shared" si="74"/>
        <v>0</v>
      </c>
      <c r="AI125" s="971">
        <f t="shared" si="74"/>
        <v>0</v>
      </c>
      <c r="AJ125" s="971">
        <f t="shared" si="74"/>
        <v>0</v>
      </c>
      <c r="AK125" s="972">
        <f>+SUMIFS(AK$49:AK$96,$C$49:$C$96,"TUK",$E$49:$E$96,"ROM 2")</f>
        <v>0</v>
      </c>
      <c r="AL125" s="973"/>
      <c r="AM125" s="163">
        <f>+AK125/$AK$109</f>
        <v>0</v>
      </c>
    </row>
    <row r="126" spans="3:39" ht="15" customHeight="1">
      <c r="F126" s="41"/>
      <c r="G126" s="41"/>
      <c r="H126" s="41"/>
      <c r="I126" s="41"/>
      <c r="J126" s="41"/>
      <c r="K126" s="105"/>
      <c r="L126" s="41"/>
      <c r="M126" s="41"/>
      <c r="N126" s="41"/>
      <c r="O126" s="41"/>
      <c r="P126" s="41"/>
      <c r="Q126" s="41"/>
      <c r="R126" s="105"/>
      <c r="S126" s="105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</row>
    <row r="127" spans="3:39" ht="15" customHeight="1">
      <c r="C127" s="54" t="str">
        <f>"*   Coal by Contractor "&amp;MID(C2,13,20)</f>
        <v>*   Coal by Contractor Sep'26</v>
      </c>
      <c r="D127" s="54"/>
    </row>
    <row r="128" spans="3:39" ht="15" customHeight="1">
      <c r="C128" s="10" t="s">
        <v>156</v>
      </c>
      <c r="D128" s="10"/>
      <c r="E128" s="626" t="s">
        <v>225</v>
      </c>
      <c r="F128" s="519" t="s">
        <v>157</v>
      </c>
      <c r="G128" s="519" t="s">
        <v>158</v>
      </c>
      <c r="H128" s="519" t="s">
        <v>159</v>
      </c>
      <c r="I128" s="519" t="s">
        <v>160</v>
      </c>
      <c r="J128" s="519" t="s">
        <v>161</v>
      </c>
      <c r="K128" s="519" t="s">
        <v>162</v>
      </c>
      <c r="L128" s="519" t="s">
        <v>163</v>
      </c>
      <c r="M128" s="519" t="s">
        <v>164</v>
      </c>
      <c r="N128" s="519" t="s">
        <v>165</v>
      </c>
      <c r="O128" s="519" t="s">
        <v>166</v>
      </c>
      <c r="P128" s="519" t="s">
        <v>167</v>
      </c>
      <c r="Q128" s="519" t="s">
        <v>168</v>
      </c>
      <c r="R128" s="519" t="s">
        <v>169</v>
      </c>
      <c r="S128" s="519" t="s">
        <v>170</v>
      </c>
      <c r="T128" s="519" t="s">
        <v>171</v>
      </c>
      <c r="U128" s="519" t="s">
        <v>172</v>
      </c>
      <c r="V128" s="519" t="s">
        <v>173</v>
      </c>
      <c r="W128" s="519" t="s">
        <v>174</v>
      </c>
      <c r="X128" s="519" t="s">
        <v>175</v>
      </c>
      <c r="Y128" s="519" t="s">
        <v>176</v>
      </c>
      <c r="Z128" s="519" t="s">
        <v>177</v>
      </c>
      <c r="AA128" s="519" t="s">
        <v>178</v>
      </c>
      <c r="AB128" s="519" t="s">
        <v>179</v>
      </c>
      <c r="AC128" s="519" t="s">
        <v>180</v>
      </c>
      <c r="AD128" s="519" t="s">
        <v>181</v>
      </c>
      <c r="AE128" s="519" t="s">
        <v>182</v>
      </c>
      <c r="AF128" s="519" t="s">
        <v>183</v>
      </c>
      <c r="AG128" s="519" t="s">
        <v>184</v>
      </c>
      <c r="AH128" s="519" t="s">
        <v>185</v>
      </c>
      <c r="AI128" s="519" t="s">
        <v>186</v>
      </c>
      <c r="AJ128" s="519" t="s">
        <v>187</v>
      </c>
      <c r="AK128" s="613" t="s">
        <v>226</v>
      </c>
      <c r="AL128" s="613" t="s">
        <v>226</v>
      </c>
    </row>
    <row r="129" spans="1:45" ht="15" customHeight="1">
      <c r="C129" s="1311"/>
      <c r="D129" s="614"/>
      <c r="E129" s="5" t="s">
        <v>190</v>
      </c>
      <c r="F129" s="980">
        <f t="shared" ref="F129:AJ129" si="75">SUM(F98,F102,F106)</f>
        <v>0</v>
      </c>
      <c r="G129" s="980">
        <f t="shared" si="75"/>
        <v>0</v>
      </c>
      <c r="H129" s="980">
        <f t="shared" si="75"/>
        <v>0</v>
      </c>
      <c r="I129" s="980">
        <f t="shared" si="75"/>
        <v>0</v>
      </c>
      <c r="J129" s="980">
        <f t="shared" si="75"/>
        <v>1312.8979999999999</v>
      </c>
      <c r="K129" s="980">
        <f t="shared" si="75"/>
        <v>0</v>
      </c>
      <c r="L129" s="980">
        <f t="shared" si="75"/>
        <v>0</v>
      </c>
      <c r="M129" s="980">
        <f t="shared" si="75"/>
        <v>0</v>
      </c>
      <c r="N129" s="980">
        <f t="shared" si="75"/>
        <v>0</v>
      </c>
      <c r="O129" s="980">
        <f t="shared" si="75"/>
        <v>0</v>
      </c>
      <c r="P129" s="980">
        <f t="shared" si="75"/>
        <v>0</v>
      </c>
      <c r="Q129" s="980">
        <f t="shared" si="75"/>
        <v>0</v>
      </c>
      <c r="R129" s="980">
        <f t="shared" si="75"/>
        <v>0</v>
      </c>
      <c r="S129" s="980">
        <f t="shared" si="75"/>
        <v>0</v>
      </c>
      <c r="T129" s="980">
        <f t="shared" si="75"/>
        <v>0</v>
      </c>
      <c r="U129" s="980">
        <f t="shared" si="75"/>
        <v>0</v>
      </c>
      <c r="V129" s="980">
        <f t="shared" si="75"/>
        <v>0</v>
      </c>
      <c r="W129" s="980">
        <f t="shared" si="75"/>
        <v>0</v>
      </c>
      <c r="X129" s="980">
        <f t="shared" si="75"/>
        <v>0</v>
      </c>
      <c r="Y129" s="980">
        <f t="shared" si="75"/>
        <v>0</v>
      </c>
      <c r="Z129" s="980">
        <f t="shared" si="75"/>
        <v>0</v>
      </c>
      <c r="AA129" s="980">
        <f t="shared" si="75"/>
        <v>0</v>
      </c>
      <c r="AB129" s="980">
        <f t="shared" si="75"/>
        <v>0</v>
      </c>
      <c r="AC129" s="980">
        <f t="shared" si="75"/>
        <v>0</v>
      </c>
      <c r="AD129" s="980">
        <f t="shared" si="75"/>
        <v>0</v>
      </c>
      <c r="AE129" s="980">
        <f t="shared" si="75"/>
        <v>0</v>
      </c>
      <c r="AF129" s="980">
        <f t="shared" si="75"/>
        <v>0</v>
      </c>
      <c r="AG129" s="980">
        <f t="shared" si="75"/>
        <v>0</v>
      </c>
      <c r="AH129" s="980">
        <f t="shared" si="75"/>
        <v>0</v>
      </c>
      <c r="AI129" s="980">
        <f t="shared" si="75"/>
        <v>0</v>
      </c>
      <c r="AJ129" s="980">
        <f t="shared" si="75"/>
        <v>0</v>
      </c>
      <c r="AK129" s="1230">
        <f t="shared" ref="AK129:AK134" si="76">SUM(F129:AJ129)</f>
        <v>1312.8979999999999</v>
      </c>
      <c r="AL129" s="1329">
        <f>SUM(AK129:AK131)</f>
        <v>1312.8979999999999</v>
      </c>
      <c r="AM129" s="163">
        <f>+AK129/$AL$129</f>
        <v>1</v>
      </c>
      <c r="AO129" s="65">
        <f>AK129/1000</f>
        <v>1.3128979999999999</v>
      </c>
      <c r="AP129" s="163">
        <f>AK129/115000</f>
        <v>1.1416504347826087E-2</v>
      </c>
      <c r="AQ129" s="65">
        <f>AK34/AK129</f>
        <v>184.13444913466242</v>
      </c>
      <c r="AS129" s="65">
        <f>900/250</f>
        <v>3.6</v>
      </c>
    </row>
    <row r="130" spans="1:45" ht="15" customHeight="1">
      <c r="C130" s="1311"/>
      <c r="D130" s="293"/>
      <c r="E130" s="30" t="s">
        <v>217</v>
      </c>
      <c r="F130" s="980">
        <f t="shared" ref="F130:AJ130" si="77">SUM(F99,F103,F107)</f>
        <v>0</v>
      </c>
      <c r="G130" s="980">
        <f t="shared" si="77"/>
        <v>0</v>
      </c>
      <c r="H130" s="980">
        <f t="shared" si="77"/>
        <v>0</v>
      </c>
      <c r="I130" s="980">
        <f t="shared" si="77"/>
        <v>0</v>
      </c>
      <c r="J130" s="980">
        <f t="shared" si="77"/>
        <v>0</v>
      </c>
      <c r="K130" s="980">
        <f t="shared" si="77"/>
        <v>0</v>
      </c>
      <c r="L130" s="980">
        <f t="shared" si="77"/>
        <v>0</v>
      </c>
      <c r="M130" s="980">
        <f t="shared" si="77"/>
        <v>0</v>
      </c>
      <c r="N130" s="980">
        <f t="shared" si="77"/>
        <v>0</v>
      </c>
      <c r="O130" s="980">
        <f t="shared" si="77"/>
        <v>0</v>
      </c>
      <c r="P130" s="980">
        <f t="shared" si="77"/>
        <v>0</v>
      </c>
      <c r="Q130" s="980">
        <f t="shared" si="77"/>
        <v>0</v>
      </c>
      <c r="R130" s="980">
        <f t="shared" si="77"/>
        <v>0</v>
      </c>
      <c r="S130" s="980">
        <f t="shared" si="77"/>
        <v>0</v>
      </c>
      <c r="T130" s="980">
        <f t="shared" si="77"/>
        <v>0</v>
      </c>
      <c r="U130" s="980">
        <f t="shared" si="77"/>
        <v>0</v>
      </c>
      <c r="V130" s="980">
        <f t="shared" si="77"/>
        <v>0</v>
      </c>
      <c r="W130" s="980">
        <f t="shared" si="77"/>
        <v>0</v>
      </c>
      <c r="X130" s="980">
        <f t="shared" si="77"/>
        <v>0</v>
      </c>
      <c r="Y130" s="980">
        <f t="shared" si="77"/>
        <v>0</v>
      </c>
      <c r="Z130" s="980">
        <f t="shared" si="77"/>
        <v>0</v>
      </c>
      <c r="AA130" s="980">
        <f t="shared" si="77"/>
        <v>0</v>
      </c>
      <c r="AB130" s="980">
        <f t="shared" si="77"/>
        <v>0</v>
      </c>
      <c r="AC130" s="980">
        <f t="shared" si="77"/>
        <v>0</v>
      </c>
      <c r="AD130" s="980">
        <f t="shared" si="77"/>
        <v>0</v>
      </c>
      <c r="AE130" s="980">
        <f t="shared" si="77"/>
        <v>0</v>
      </c>
      <c r="AF130" s="980">
        <f t="shared" si="77"/>
        <v>0</v>
      </c>
      <c r="AG130" s="980">
        <f t="shared" si="77"/>
        <v>0</v>
      </c>
      <c r="AH130" s="980">
        <f t="shared" si="77"/>
        <v>0</v>
      </c>
      <c r="AI130" s="980">
        <f t="shared" si="77"/>
        <v>0</v>
      </c>
      <c r="AJ130" s="980">
        <f t="shared" si="77"/>
        <v>0</v>
      </c>
      <c r="AK130" s="1231">
        <f t="shared" si="76"/>
        <v>0</v>
      </c>
      <c r="AL130" s="1330"/>
      <c r="AM130" s="163">
        <f>+AK130/$AL$129</f>
        <v>0</v>
      </c>
      <c r="AO130" s="65">
        <f>AK131/1000</f>
        <v>0</v>
      </c>
      <c r="AP130" s="163">
        <f>AK130/1050000</f>
        <v>0</v>
      </c>
      <c r="AQ130" s="65">
        <f>(105000-AK130)/8</f>
        <v>13125</v>
      </c>
    </row>
    <row r="131" spans="1:45" ht="15" customHeight="1">
      <c r="C131" s="1311"/>
      <c r="D131" s="293"/>
      <c r="E131" s="6" t="s">
        <v>216</v>
      </c>
      <c r="F131" s="1028">
        <f t="shared" ref="F131:AJ131" si="78">SUM(F100,F104,F108)</f>
        <v>0</v>
      </c>
      <c r="G131" s="1028">
        <f t="shared" si="78"/>
        <v>0</v>
      </c>
      <c r="H131" s="1028">
        <f t="shared" si="78"/>
        <v>0</v>
      </c>
      <c r="I131" s="1028">
        <f t="shared" si="78"/>
        <v>0</v>
      </c>
      <c r="J131" s="1028">
        <f t="shared" si="78"/>
        <v>0</v>
      </c>
      <c r="K131" s="1028">
        <f t="shared" si="78"/>
        <v>0</v>
      </c>
      <c r="L131" s="1028">
        <f t="shared" si="78"/>
        <v>0</v>
      </c>
      <c r="M131" s="1028">
        <f t="shared" si="78"/>
        <v>0</v>
      </c>
      <c r="N131" s="1028">
        <f t="shared" si="78"/>
        <v>0</v>
      </c>
      <c r="O131" s="1028">
        <f t="shared" si="78"/>
        <v>0</v>
      </c>
      <c r="P131" s="1028">
        <f t="shared" si="78"/>
        <v>0</v>
      </c>
      <c r="Q131" s="1028">
        <f t="shared" si="78"/>
        <v>0</v>
      </c>
      <c r="R131" s="1028">
        <f t="shared" si="78"/>
        <v>0</v>
      </c>
      <c r="S131" s="1028">
        <f t="shared" si="78"/>
        <v>0</v>
      </c>
      <c r="T131" s="1028">
        <f t="shared" si="78"/>
        <v>0</v>
      </c>
      <c r="U131" s="1028">
        <f t="shared" si="78"/>
        <v>0</v>
      </c>
      <c r="V131" s="1028">
        <f t="shared" si="78"/>
        <v>0</v>
      </c>
      <c r="W131" s="1028">
        <f t="shared" si="78"/>
        <v>0</v>
      </c>
      <c r="X131" s="1028">
        <f t="shared" si="78"/>
        <v>0</v>
      </c>
      <c r="Y131" s="1028">
        <f t="shared" si="78"/>
        <v>0</v>
      </c>
      <c r="Z131" s="1028">
        <f t="shared" si="78"/>
        <v>0</v>
      </c>
      <c r="AA131" s="1028">
        <f t="shared" si="78"/>
        <v>0</v>
      </c>
      <c r="AB131" s="1028">
        <f t="shared" si="78"/>
        <v>0</v>
      </c>
      <c r="AC131" s="1028">
        <f t="shared" si="78"/>
        <v>0</v>
      </c>
      <c r="AD131" s="1028">
        <f t="shared" si="78"/>
        <v>0</v>
      </c>
      <c r="AE131" s="1028">
        <f t="shared" si="78"/>
        <v>0</v>
      </c>
      <c r="AF131" s="1028">
        <f t="shared" si="78"/>
        <v>0</v>
      </c>
      <c r="AG131" s="1028">
        <f t="shared" si="78"/>
        <v>0</v>
      </c>
      <c r="AH131" s="1028">
        <f t="shared" si="78"/>
        <v>0</v>
      </c>
      <c r="AI131" s="1028">
        <f t="shared" si="78"/>
        <v>0</v>
      </c>
      <c r="AJ131" s="1028">
        <f t="shared" si="78"/>
        <v>0</v>
      </c>
      <c r="AK131" s="51">
        <f t="shared" si="76"/>
        <v>0</v>
      </c>
      <c r="AL131" s="1331"/>
      <c r="AM131" s="163">
        <f>+AK131/$AL$129</f>
        <v>0</v>
      </c>
      <c r="AO131" s="65">
        <f>AK130/1000</f>
        <v>0</v>
      </c>
    </row>
    <row r="132" spans="1:45" ht="14.25" hidden="1" customHeight="1">
      <c r="C132" s="1311"/>
      <c r="D132" s="614"/>
      <c r="E132" s="5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>
        <f t="shared" si="76"/>
        <v>0</v>
      </c>
      <c r="AL132" s="1329">
        <f>SUM(AK132:AK134)</f>
        <v>0</v>
      </c>
    </row>
    <row r="133" spans="1:45" ht="14.25" hidden="1" customHeight="1">
      <c r="C133" s="1311"/>
      <c r="D133" s="293"/>
      <c r="E133" s="30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>
        <f t="shared" si="76"/>
        <v>0</v>
      </c>
      <c r="AL133" s="1330"/>
    </row>
    <row r="134" spans="1:45" ht="14.25" hidden="1" customHeight="1">
      <c r="C134" s="1311"/>
      <c r="D134" s="294"/>
      <c r="E134" s="6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>
        <f t="shared" si="76"/>
        <v>0</v>
      </c>
      <c r="AL134" s="1331"/>
    </row>
    <row r="135" spans="1:45" ht="14.25" customHeight="1"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O135" s="65">
        <f>SUM(AO129:AO134)</f>
        <v>1.3128979999999999</v>
      </c>
    </row>
    <row r="136" spans="1:45" ht="14.25" customHeight="1">
      <c r="C136" s="166"/>
      <c r="D136" s="166"/>
      <c r="F136" s="65">
        <v>1909.4200000000003</v>
      </c>
      <c r="G136" s="65">
        <v>3281.2039999999993</v>
      </c>
      <c r="H136" s="65">
        <v>2088.2400000000007</v>
      </c>
      <c r="I136" s="65">
        <v>3861.3949999999995</v>
      </c>
      <c r="J136" s="65">
        <v>4025.2599999999998</v>
      </c>
      <c r="K136" s="65">
        <v>4042.89</v>
      </c>
      <c r="L136" s="65">
        <v>2959.2299999999996</v>
      </c>
      <c r="M136" s="65">
        <f t="shared" ref="M136:AI136" si="79">M130-M135</f>
        <v>0</v>
      </c>
      <c r="N136" s="65">
        <f t="shared" si="79"/>
        <v>0</v>
      </c>
      <c r="O136" s="65">
        <f t="shared" si="79"/>
        <v>0</v>
      </c>
      <c r="P136" s="65">
        <f t="shared" si="79"/>
        <v>0</v>
      </c>
      <c r="Q136" s="65">
        <f t="shared" si="79"/>
        <v>0</v>
      </c>
      <c r="R136" s="65">
        <f t="shared" si="79"/>
        <v>0</v>
      </c>
      <c r="S136" s="65">
        <f t="shared" si="79"/>
        <v>0</v>
      </c>
      <c r="T136" s="65">
        <f t="shared" si="79"/>
        <v>0</v>
      </c>
      <c r="U136" s="65">
        <f t="shared" si="79"/>
        <v>0</v>
      </c>
      <c r="V136" s="65">
        <f t="shared" si="79"/>
        <v>0</v>
      </c>
      <c r="W136" s="65">
        <f t="shared" si="79"/>
        <v>0</v>
      </c>
      <c r="X136" s="65">
        <f t="shared" si="79"/>
        <v>0</v>
      </c>
      <c r="Y136" s="65">
        <f t="shared" si="79"/>
        <v>0</v>
      </c>
      <c r="Z136" s="65">
        <f t="shared" si="79"/>
        <v>0</v>
      </c>
      <c r="AA136" s="65">
        <f t="shared" si="79"/>
        <v>0</v>
      </c>
      <c r="AB136" s="65">
        <f t="shared" si="79"/>
        <v>0</v>
      </c>
      <c r="AC136" s="65">
        <f t="shared" si="79"/>
        <v>0</v>
      </c>
      <c r="AD136" s="65">
        <f t="shared" si="79"/>
        <v>0</v>
      </c>
      <c r="AE136" s="65">
        <f t="shared" si="79"/>
        <v>0</v>
      </c>
      <c r="AF136" s="65">
        <f t="shared" si="79"/>
        <v>0</v>
      </c>
      <c r="AG136" s="65">
        <f t="shared" si="79"/>
        <v>0</v>
      </c>
      <c r="AH136" s="65">
        <f t="shared" si="79"/>
        <v>0</v>
      </c>
      <c r="AI136" s="65">
        <f t="shared" si="79"/>
        <v>0</v>
      </c>
      <c r="AJ136" s="29"/>
      <c r="AN136" s="41"/>
    </row>
    <row r="137" spans="1:45" ht="14.25" customHeight="1">
      <c r="C137" s="164" t="str">
        <f>"3. Summary  "&amp;MID(C2,13,20)</f>
        <v>3. Summary  Sep'26</v>
      </c>
      <c r="D137" s="164"/>
      <c r="F137" s="65">
        <f>F130-F136</f>
        <v>-1909.4200000000003</v>
      </c>
      <c r="G137" s="65">
        <f t="shared" ref="G137:L137" si="80">G130-G136</f>
        <v>-3281.2039999999993</v>
      </c>
      <c r="H137" s="65">
        <f t="shared" si="80"/>
        <v>-2088.2400000000007</v>
      </c>
      <c r="I137" s="65">
        <f t="shared" si="80"/>
        <v>-3861.3949999999995</v>
      </c>
      <c r="J137" s="65">
        <f t="shared" si="80"/>
        <v>-4025.2599999999998</v>
      </c>
      <c r="K137" s="65">
        <f t="shared" si="80"/>
        <v>-4042.89</v>
      </c>
      <c r="L137" s="65">
        <f t="shared" si="80"/>
        <v>-2959.2299999999996</v>
      </c>
    </row>
    <row r="138" spans="1:45" ht="14.25" customHeight="1" thickBot="1">
      <c r="C138" s="621" t="s">
        <v>156</v>
      </c>
      <c r="D138" s="1312">
        <f>E3</f>
        <v>30</v>
      </c>
      <c r="E138" s="1313"/>
      <c r="F138" s="519" t="s">
        <v>157</v>
      </c>
      <c r="G138" s="519" t="s">
        <v>158</v>
      </c>
      <c r="H138" s="519" t="s">
        <v>159</v>
      </c>
      <c r="I138" s="519" t="s">
        <v>160</v>
      </c>
      <c r="J138" s="519" t="s">
        <v>161</v>
      </c>
      <c r="K138" s="519" t="s">
        <v>162</v>
      </c>
      <c r="L138" s="519" t="s">
        <v>163</v>
      </c>
      <c r="M138" s="519" t="s">
        <v>164</v>
      </c>
      <c r="N138" s="519" t="s">
        <v>165</v>
      </c>
      <c r="O138" s="519" t="s">
        <v>166</v>
      </c>
      <c r="P138" s="519" t="s">
        <v>167</v>
      </c>
      <c r="Q138" s="519" t="s">
        <v>168</v>
      </c>
      <c r="R138" s="519" t="s">
        <v>169</v>
      </c>
      <c r="S138" s="519" t="s">
        <v>170</v>
      </c>
      <c r="T138" s="519" t="s">
        <v>171</v>
      </c>
      <c r="U138" s="519" t="s">
        <v>172</v>
      </c>
      <c r="V138" s="519" t="s">
        <v>173</v>
      </c>
      <c r="W138" s="519" t="s">
        <v>174</v>
      </c>
      <c r="X138" s="519" t="s">
        <v>175</v>
      </c>
      <c r="Y138" s="519" t="s">
        <v>176</v>
      </c>
      <c r="Z138" s="519" t="s">
        <v>177</v>
      </c>
      <c r="AA138" s="519" t="s">
        <v>178</v>
      </c>
      <c r="AB138" s="519" t="s">
        <v>179</v>
      </c>
      <c r="AC138" s="519" t="s">
        <v>180</v>
      </c>
      <c r="AD138" s="519" t="s">
        <v>181</v>
      </c>
      <c r="AE138" s="519" t="s">
        <v>182</v>
      </c>
      <c r="AF138" s="519" t="s">
        <v>183</v>
      </c>
      <c r="AG138" s="519" t="s">
        <v>184</v>
      </c>
      <c r="AH138" s="519" t="s">
        <v>185</v>
      </c>
      <c r="AI138" s="519" t="s">
        <v>186</v>
      </c>
      <c r="AJ138" s="519" t="s">
        <v>187</v>
      </c>
      <c r="AK138" s="627" t="s">
        <v>227</v>
      </c>
    </row>
    <row r="139" spans="1:45" s="301" customFormat="1" ht="13.5" customHeight="1">
      <c r="A139" s="310"/>
      <c r="C139" s="533" t="s">
        <v>211</v>
      </c>
      <c r="D139" s="1317" t="s">
        <v>3</v>
      </c>
      <c r="E139" s="1318"/>
      <c r="F139" s="306">
        <f t="shared" ref="F139:AJ139" si="81">F9</f>
        <v>34987.5</v>
      </c>
      <c r="G139" s="306">
        <f t="shared" si="81"/>
        <v>36594</v>
      </c>
      <c r="H139" s="306">
        <f t="shared" si="81"/>
        <v>32709.75</v>
      </c>
      <c r="I139" s="306">
        <f t="shared" si="81"/>
        <v>32669.25</v>
      </c>
      <c r="J139" s="306">
        <f t="shared" si="81"/>
        <v>31549.5</v>
      </c>
      <c r="K139" s="306">
        <f t="shared" si="81"/>
        <v>33361.5</v>
      </c>
      <c r="L139" s="306">
        <f t="shared" si="81"/>
        <v>36570.75</v>
      </c>
      <c r="M139" s="306">
        <f t="shared" si="81"/>
        <v>0</v>
      </c>
      <c r="N139" s="306">
        <f t="shared" si="81"/>
        <v>0</v>
      </c>
      <c r="O139" s="306">
        <f t="shared" si="81"/>
        <v>0</v>
      </c>
      <c r="P139" s="306">
        <f t="shared" si="81"/>
        <v>0</v>
      </c>
      <c r="Q139" s="306">
        <f t="shared" si="81"/>
        <v>0</v>
      </c>
      <c r="R139" s="306">
        <f t="shared" si="81"/>
        <v>0</v>
      </c>
      <c r="S139" s="306">
        <f t="shared" si="81"/>
        <v>0</v>
      </c>
      <c r="T139" s="306">
        <f t="shared" si="81"/>
        <v>0</v>
      </c>
      <c r="U139" s="306">
        <f t="shared" si="81"/>
        <v>0</v>
      </c>
      <c r="V139" s="306">
        <f t="shared" si="81"/>
        <v>0</v>
      </c>
      <c r="W139" s="306">
        <f t="shared" si="81"/>
        <v>0</v>
      </c>
      <c r="X139" s="306">
        <f t="shared" si="81"/>
        <v>0</v>
      </c>
      <c r="Y139" s="306">
        <f t="shared" si="81"/>
        <v>0</v>
      </c>
      <c r="Z139" s="306">
        <f t="shared" si="81"/>
        <v>0</v>
      </c>
      <c r="AA139" s="306">
        <f t="shared" si="81"/>
        <v>0</v>
      </c>
      <c r="AB139" s="306">
        <f t="shared" si="81"/>
        <v>0</v>
      </c>
      <c r="AC139" s="306">
        <f t="shared" si="81"/>
        <v>0</v>
      </c>
      <c r="AD139" s="306">
        <f t="shared" si="81"/>
        <v>0</v>
      </c>
      <c r="AE139" s="306">
        <f t="shared" si="81"/>
        <v>0</v>
      </c>
      <c r="AF139" s="306">
        <f t="shared" si="81"/>
        <v>0</v>
      </c>
      <c r="AG139" s="306">
        <f t="shared" si="81"/>
        <v>0</v>
      </c>
      <c r="AH139" s="306">
        <f t="shared" si="81"/>
        <v>0</v>
      </c>
      <c r="AI139" s="306">
        <f t="shared" si="81"/>
        <v>0</v>
      </c>
      <c r="AJ139" s="306">
        <f t="shared" si="81"/>
        <v>0</v>
      </c>
      <c r="AK139" s="300">
        <f>SUM(F139:AJ139)</f>
        <v>238442.25</v>
      </c>
      <c r="AL139" s="303"/>
      <c r="AM139" s="788"/>
    </row>
    <row r="140" spans="1:45" ht="13.5" customHeight="1">
      <c r="A140" s="65"/>
      <c r="C140" s="533"/>
      <c r="D140" s="1314" t="s">
        <v>225</v>
      </c>
      <c r="E140" s="628" t="s">
        <v>228</v>
      </c>
      <c r="F140" s="73"/>
      <c r="G140" s="73"/>
      <c r="H140" s="73"/>
      <c r="I140" s="73"/>
      <c r="J140" s="73">
        <v>1312.8979999999999</v>
      </c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297">
        <f>SUM(F140:AJ140)</f>
        <v>1312.8979999999999</v>
      </c>
      <c r="AM140" s="394"/>
    </row>
    <row r="141" spans="1:45" ht="13.5" customHeight="1">
      <c r="A141" s="65"/>
      <c r="C141" s="533"/>
      <c r="D141" s="1314"/>
      <c r="E141" s="299" t="s">
        <v>229</v>
      </c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298">
        <f>SUM(F141:AJ141)</f>
        <v>0</v>
      </c>
      <c r="AM141" s="394"/>
    </row>
    <row r="142" spans="1:45" s="301" customFormat="1" ht="13.5" customHeight="1">
      <c r="C142" s="533"/>
      <c r="D142" s="1314"/>
      <c r="E142" s="629" t="s">
        <v>126</v>
      </c>
      <c r="F142" s="630">
        <f t="shared" ref="F142:AJ142" si="82">SUM(F140:F141)</f>
        <v>0</v>
      </c>
      <c r="G142" s="630">
        <f t="shared" si="82"/>
        <v>0</v>
      </c>
      <c r="H142" s="630">
        <f t="shared" si="82"/>
        <v>0</v>
      </c>
      <c r="I142" s="630">
        <f t="shared" si="82"/>
        <v>0</v>
      </c>
      <c r="J142" s="630">
        <f t="shared" si="82"/>
        <v>1312.8979999999999</v>
      </c>
      <c r="K142" s="630">
        <f t="shared" si="82"/>
        <v>0</v>
      </c>
      <c r="L142" s="630">
        <f t="shared" si="82"/>
        <v>0</v>
      </c>
      <c r="M142" s="630">
        <f t="shared" si="82"/>
        <v>0</v>
      </c>
      <c r="N142" s="630">
        <f t="shared" si="82"/>
        <v>0</v>
      </c>
      <c r="O142" s="630">
        <f t="shared" si="82"/>
        <v>0</v>
      </c>
      <c r="P142" s="630">
        <f t="shared" si="82"/>
        <v>0</v>
      </c>
      <c r="Q142" s="630">
        <f>SUM(Q140:Q141)</f>
        <v>0</v>
      </c>
      <c r="R142" s="630">
        <f t="shared" si="82"/>
        <v>0</v>
      </c>
      <c r="S142" s="630">
        <f t="shared" si="82"/>
        <v>0</v>
      </c>
      <c r="T142" s="630">
        <f t="shared" si="82"/>
        <v>0</v>
      </c>
      <c r="U142" s="630">
        <f>SUM(U140:U141)</f>
        <v>0</v>
      </c>
      <c r="V142" s="630">
        <f t="shared" si="82"/>
        <v>0</v>
      </c>
      <c r="W142" s="630">
        <f t="shared" si="82"/>
        <v>0</v>
      </c>
      <c r="X142" s="630">
        <f t="shared" si="82"/>
        <v>0</v>
      </c>
      <c r="Y142" s="630">
        <f t="shared" si="82"/>
        <v>0</v>
      </c>
      <c r="Z142" s="630">
        <f>SUM(Z140:Z141)</f>
        <v>0</v>
      </c>
      <c r="AA142" s="630">
        <f>SUM(AA140:AA141)</f>
        <v>0</v>
      </c>
      <c r="AB142" s="630">
        <f>SUM(AB140:AB141)</f>
        <v>0</v>
      </c>
      <c r="AC142" s="630">
        <f>SUM(AC140:AC141)</f>
        <v>0</v>
      </c>
      <c r="AD142" s="630">
        <f>SUM(AD140:AD141)</f>
        <v>0</v>
      </c>
      <c r="AE142" s="630">
        <f t="shared" si="82"/>
        <v>0</v>
      </c>
      <c r="AF142" s="630">
        <f t="shared" si="82"/>
        <v>0</v>
      </c>
      <c r="AG142" s="630">
        <f t="shared" si="82"/>
        <v>0</v>
      </c>
      <c r="AH142" s="630">
        <f t="shared" si="82"/>
        <v>0</v>
      </c>
      <c r="AI142" s="630">
        <f t="shared" si="82"/>
        <v>0</v>
      </c>
      <c r="AJ142" s="630">
        <f t="shared" si="82"/>
        <v>0</v>
      </c>
      <c r="AK142" s="630">
        <f>SUM(F142:AJ142)</f>
        <v>1312.8979999999999</v>
      </c>
      <c r="AM142" s="450">
        <f>SUMIFS($F$142:$AJ$142,$F$138:$AJ$138,DAY(Summary!D3))</f>
        <v>0</v>
      </c>
    </row>
    <row r="143" spans="1:45" ht="12.75" customHeight="1" thickBot="1">
      <c r="C143" s="533"/>
      <c r="D143" s="1326" t="s">
        <v>87</v>
      </c>
      <c r="E143" s="1327"/>
      <c r="F143" s="307">
        <f t="shared" ref="F143:AK143" si="83">IF(OR(F139=0,F142=0),0,F139/F142)</f>
        <v>0</v>
      </c>
      <c r="G143" s="307">
        <f t="shared" si="83"/>
        <v>0</v>
      </c>
      <c r="H143" s="307">
        <f t="shared" si="83"/>
        <v>0</v>
      </c>
      <c r="I143" s="307">
        <f t="shared" si="83"/>
        <v>0</v>
      </c>
      <c r="J143" s="307">
        <f t="shared" si="83"/>
        <v>24.030427344698523</v>
      </c>
      <c r="K143" s="307">
        <f t="shared" si="83"/>
        <v>0</v>
      </c>
      <c r="L143" s="307">
        <f t="shared" si="83"/>
        <v>0</v>
      </c>
      <c r="M143" s="307">
        <f t="shared" si="83"/>
        <v>0</v>
      </c>
      <c r="N143" s="307">
        <f t="shared" si="83"/>
        <v>0</v>
      </c>
      <c r="O143" s="307">
        <f t="shared" si="83"/>
        <v>0</v>
      </c>
      <c r="P143" s="307">
        <f t="shared" si="83"/>
        <v>0</v>
      </c>
      <c r="Q143" s="307">
        <f t="shared" si="83"/>
        <v>0</v>
      </c>
      <c r="R143" s="307">
        <f t="shared" si="83"/>
        <v>0</v>
      </c>
      <c r="S143" s="307">
        <f t="shared" si="83"/>
        <v>0</v>
      </c>
      <c r="T143" s="307">
        <f t="shared" si="83"/>
        <v>0</v>
      </c>
      <c r="U143" s="307">
        <f t="shared" si="83"/>
        <v>0</v>
      </c>
      <c r="V143" s="307">
        <f t="shared" si="83"/>
        <v>0</v>
      </c>
      <c r="W143" s="307">
        <f t="shared" si="83"/>
        <v>0</v>
      </c>
      <c r="X143" s="307">
        <f t="shared" si="83"/>
        <v>0</v>
      </c>
      <c r="Y143" s="307">
        <f t="shared" si="83"/>
        <v>0</v>
      </c>
      <c r="Z143" s="307">
        <f t="shared" si="83"/>
        <v>0</v>
      </c>
      <c r="AA143" s="307">
        <f t="shared" si="83"/>
        <v>0</v>
      </c>
      <c r="AB143" s="307">
        <f t="shared" si="83"/>
        <v>0</v>
      </c>
      <c r="AC143" s="307">
        <f t="shared" si="83"/>
        <v>0</v>
      </c>
      <c r="AD143" s="307">
        <f t="shared" si="83"/>
        <v>0</v>
      </c>
      <c r="AE143" s="307">
        <f t="shared" si="83"/>
        <v>0</v>
      </c>
      <c r="AF143" s="307">
        <f t="shared" si="83"/>
        <v>0</v>
      </c>
      <c r="AG143" s="307">
        <f t="shared" si="83"/>
        <v>0</v>
      </c>
      <c r="AH143" s="307">
        <f t="shared" si="83"/>
        <v>0</v>
      </c>
      <c r="AI143" s="307">
        <f t="shared" si="83"/>
        <v>0</v>
      </c>
      <c r="AJ143" s="307">
        <f t="shared" si="83"/>
        <v>0</v>
      </c>
      <c r="AK143" s="307">
        <f t="shared" si="83"/>
        <v>181.61521306301023</v>
      </c>
    </row>
    <row r="144" spans="1:45" ht="12.75" hidden="1" customHeight="1">
      <c r="C144" s="532"/>
      <c r="D144" s="295"/>
      <c r="E144" s="255" t="s">
        <v>230</v>
      </c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</row>
    <row r="145" spans="1:43" ht="12.75" hidden="1" customHeight="1">
      <c r="C145" s="532"/>
      <c r="D145" s="295"/>
      <c r="E145" s="79" t="s">
        <v>231</v>
      </c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</row>
    <row r="146" spans="1:43" ht="12.75" hidden="1" customHeight="1">
      <c r="C146" s="532"/>
      <c r="D146" s="295"/>
      <c r="E146" s="923" t="s">
        <v>232</v>
      </c>
      <c r="F146" s="631"/>
      <c r="G146" s="631"/>
      <c r="H146" s="631"/>
      <c r="I146" s="631"/>
      <c r="J146" s="631"/>
      <c r="K146" s="631"/>
      <c r="L146" s="631"/>
      <c r="M146" s="631"/>
      <c r="N146" s="631"/>
      <c r="O146" s="631"/>
      <c r="P146" s="631"/>
      <c r="Q146" s="631"/>
      <c r="R146" s="631"/>
      <c r="S146" s="631"/>
      <c r="T146" s="631"/>
      <c r="U146" s="631"/>
      <c r="V146" s="631"/>
      <c r="W146" s="631"/>
      <c r="X146" s="631"/>
      <c r="Y146" s="631"/>
      <c r="Z146" s="631"/>
      <c r="AA146" s="631"/>
      <c r="AB146" s="631"/>
      <c r="AC146" s="631"/>
      <c r="AD146" s="631"/>
      <c r="AE146" s="631"/>
      <c r="AF146" s="631"/>
      <c r="AG146" s="631"/>
      <c r="AH146" s="631"/>
      <c r="AI146" s="631"/>
      <c r="AJ146" s="631"/>
      <c r="AK146" s="632" t="s">
        <v>233</v>
      </c>
    </row>
    <row r="147" spans="1:43" ht="12.75" hidden="1" customHeight="1">
      <c r="C147" s="532"/>
      <c r="D147" s="295"/>
      <c r="E147" s="924" t="s">
        <v>3</v>
      </c>
      <c r="F147" s="72">
        <f t="shared" ref="F147:AK147" si="84">F139</f>
        <v>34987.5</v>
      </c>
      <c r="G147" s="72">
        <f t="shared" si="84"/>
        <v>36594</v>
      </c>
      <c r="H147" s="72">
        <f t="shared" si="84"/>
        <v>32709.75</v>
      </c>
      <c r="I147" s="72">
        <f t="shared" si="84"/>
        <v>32669.25</v>
      </c>
      <c r="J147" s="72">
        <f t="shared" si="84"/>
        <v>31549.5</v>
      </c>
      <c r="K147" s="72">
        <f t="shared" si="84"/>
        <v>33361.5</v>
      </c>
      <c r="L147" s="72">
        <f t="shared" si="84"/>
        <v>36570.75</v>
      </c>
      <c r="M147" s="72">
        <f t="shared" si="84"/>
        <v>0</v>
      </c>
      <c r="N147" s="72">
        <f t="shared" si="84"/>
        <v>0</v>
      </c>
      <c r="O147" s="72">
        <f t="shared" si="84"/>
        <v>0</v>
      </c>
      <c r="P147" s="72">
        <f t="shared" si="84"/>
        <v>0</v>
      </c>
      <c r="Q147" s="72">
        <f t="shared" si="84"/>
        <v>0</v>
      </c>
      <c r="R147" s="72">
        <f t="shared" si="84"/>
        <v>0</v>
      </c>
      <c r="S147" s="72">
        <f t="shared" si="84"/>
        <v>0</v>
      </c>
      <c r="T147" s="72">
        <f t="shared" si="84"/>
        <v>0</v>
      </c>
      <c r="U147" s="72">
        <f t="shared" si="84"/>
        <v>0</v>
      </c>
      <c r="V147" s="72">
        <f t="shared" si="84"/>
        <v>0</v>
      </c>
      <c r="W147" s="72">
        <f t="shared" si="84"/>
        <v>0</v>
      </c>
      <c r="X147" s="72">
        <f t="shared" si="84"/>
        <v>0</v>
      </c>
      <c r="Y147" s="72">
        <f t="shared" si="84"/>
        <v>0</v>
      </c>
      <c r="Z147" s="72">
        <f t="shared" si="84"/>
        <v>0</v>
      </c>
      <c r="AA147" s="72">
        <f t="shared" si="84"/>
        <v>0</v>
      </c>
      <c r="AB147" s="72">
        <f t="shared" si="84"/>
        <v>0</v>
      </c>
      <c r="AC147" s="72">
        <f t="shared" si="84"/>
        <v>0</v>
      </c>
      <c r="AD147" s="72">
        <f t="shared" si="84"/>
        <v>0</v>
      </c>
      <c r="AE147" s="72">
        <f t="shared" si="84"/>
        <v>0</v>
      </c>
      <c r="AF147" s="72">
        <f t="shared" si="84"/>
        <v>0</v>
      </c>
      <c r="AG147" s="72">
        <f t="shared" si="84"/>
        <v>0</v>
      </c>
      <c r="AH147" s="72">
        <f t="shared" si="84"/>
        <v>0</v>
      </c>
      <c r="AI147" s="72">
        <f t="shared" si="84"/>
        <v>0</v>
      </c>
      <c r="AJ147" s="72">
        <f t="shared" si="84"/>
        <v>0</v>
      </c>
      <c r="AK147" s="72">
        <f t="shared" si="84"/>
        <v>238442.25</v>
      </c>
    </row>
    <row r="148" spans="1:43" ht="12.75" hidden="1" customHeight="1">
      <c r="C148" s="532"/>
      <c r="D148" s="295"/>
      <c r="E148" s="254" t="s">
        <v>225</v>
      </c>
      <c r="F148" s="71">
        <f t="shared" ref="F148:AJ148" si="85">F142</f>
        <v>0</v>
      </c>
      <c r="G148" s="71">
        <f t="shared" si="85"/>
        <v>0</v>
      </c>
      <c r="H148" s="71">
        <f t="shared" si="85"/>
        <v>0</v>
      </c>
      <c r="I148" s="71">
        <f t="shared" si="85"/>
        <v>0</v>
      </c>
      <c r="J148" s="71">
        <f t="shared" si="85"/>
        <v>1312.8979999999999</v>
      </c>
      <c r="K148" s="71">
        <f t="shared" si="85"/>
        <v>0</v>
      </c>
      <c r="L148" s="71">
        <f t="shared" si="85"/>
        <v>0</v>
      </c>
      <c r="M148" s="71">
        <f t="shared" si="85"/>
        <v>0</v>
      </c>
      <c r="N148" s="71">
        <f t="shared" si="85"/>
        <v>0</v>
      </c>
      <c r="O148" s="71">
        <f t="shared" si="85"/>
        <v>0</v>
      </c>
      <c r="P148" s="71">
        <f t="shared" si="85"/>
        <v>0</v>
      </c>
      <c r="Q148" s="71">
        <f t="shared" si="85"/>
        <v>0</v>
      </c>
      <c r="R148" s="71">
        <f t="shared" si="85"/>
        <v>0</v>
      </c>
      <c r="S148" s="71">
        <f t="shared" si="85"/>
        <v>0</v>
      </c>
      <c r="T148" s="71">
        <f t="shared" si="85"/>
        <v>0</v>
      </c>
      <c r="U148" s="71">
        <f t="shared" si="85"/>
        <v>0</v>
      </c>
      <c r="V148" s="71">
        <f t="shared" si="85"/>
        <v>0</v>
      </c>
      <c r="W148" s="71">
        <f t="shared" si="85"/>
        <v>0</v>
      </c>
      <c r="X148" s="71">
        <f t="shared" si="85"/>
        <v>0</v>
      </c>
      <c r="Y148" s="71">
        <f t="shared" si="85"/>
        <v>0</v>
      </c>
      <c r="Z148" s="71">
        <f t="shared" si="85"/>
        <v>0</v>
      </c>
      <c r="AA148" s="71">
        <f t="shared" si="85"/>
        <v>0</v>
      </c>
      <c r="AB148" s="71">
        <f t="shared" si="85"/>
        <v>0</v>
      </c>
      <c r="AC148" s="71">
        <f t="shared" si="85"/>
        <v>0</v>
      </c>
      <c r="AD148" s="71">
        <f t="shared" si="85"/>
        <v>0</v>
      </c>
      <c r="AE148" s="71">
        <f t="shared" si="85"/>
        <v>0</v>
      </c>
      <c r="AF148" s="71">
        <f t="shared" si="85"/>
        <v>0</v>
      </c>
      <c r="AG148" s="71">
        <f t="shared" si="85"/>
        <v>0</v>
      </c>
      <c r="AH148" s="71">
        <f t="shared" si="85"/>
        <v>0</v>
      </c>
      <c r="AI148" s="71">
        <f t="shared" si="85"/>
        <v>0</v>
      </c>
      <c r="AJ148" s="71">
        <f t="shared" si="85"/>
        <v>0</v>
      </c>
      <c r="AK148" s="71" t="e">
        <f>SUM(#REF!,AK142)</f>
        <v>#REF!</v>
      </c>
    </row>
    <row r="149" spans="1:43" ht="12.75" hidden="1" customHeight="1" thickBot="1">
      <c r="C149" s="532"/>
      <c r="D149" s="295"/>
      <c r="E149" s="254" t="s">
        <v>87</v>
      </c>
      <c r="F149" s="492">
        <f t="shared" ref="F149:AK149" si="86">IF(OR(F147=0,F148=0),0,F147/F148)</f>
        <v>0</v>
      </c>
      <c r="G149" s="492">
        <f t="shared" si="86"/>
        <v>0</v>
      </c>
      <c r="H149" s="492">
        <f t="shared" si="86"/>
        <v>0</v>
      </c>
      <c r="I149" s="492">
        <f t="shared" si="86"/>
        <v>0</v>
      </c>
      <c r="J149" s="492">
        <f t="shared" si="86"/>
        <v>24.030427344698523</v>
      </c>
      <c r="K149" s="492">
        <f t="shared" si="86"/>
        <v>0</v>
      </c>
      <c r="L149" s="492">
        <f t="shared" si="86"/>
        <v>0</v>
      </c>
      <c r="M149" s="492">
        <f t="shared" si="86"/>
        <v>0</v>
      </c>
      <c r="N149" s="492">
        <f t="shared" si="86"/>
        <v>0</v>
      </c>
      <c r="O149" s="492">
        <f t="shared" si="86"/>
        <v>0</v>
      </c>
      <c r="P149" s="492">
        <f t="shared" si="86"/>
        <v>0</v>
      </c>
      <c r="Q149" s="492">
        <f t="shared" si="86"/>
        <v>0</v>
      </c>
      <c r="R149" s="492">
        <f t="shared" si="86"/>
        <v>0</v>
      </c>
      <c r="S149" s="492">
        <f t="shared" si="86"/>
        <v>0</v>
      </c>
      <c r="T149" s="492">
        <f t="shared" si="86"/>
        <v>0</v>
      </c>
      <c r="U149" s="492">
        <f t="shared" si="86"/>
        <v>0</v>
      </c>
      <c r="V149" s="492">
        <f t="shared" si="86"/>
        <v>0</v>
      </c>
      <c r="W149" s="492">
        <f t="shared" si="86"/>
        <v>0</v>
      </c>
      <c r="X149" s="492">
        <f t="shared" si="86"/>
        <v>0</v>
      </c>
      <c r="Y149" s="492">
        <f t="shared" si="86"/>
        <v>0</v>
      </c>
      <c r="Z149" s="492">
        <f t="shared" si="86"/>
        <v>0</v>
      </c>
      <c r="AA149" s="492">
        <f t="shared" si="86"/>
        <v>0</v>
      </c>
      <c r="AB149" s="492">
        <f t="shared" si="86"/>
        <v>0</v>
      </c>
      <c r="AC149" s="492">
        <f t="shared" si="86"/>
        <v>0</v>
      </c>
      <c r="AD149" s="492">
        <f t="shared" si="86"/>
        <v>0</v>
      </c>
      <c r="AE149" s="492">
        <f t="shared" si="86"/>
        <v>0</v>
      </c>
      <c r="AF149" s="492">
        <f t="shared" si="86"/>
        <v>0</v>
      </c>
      <c r="AG149" s="492">
        <f t="shared" si="86"/>
        <v>0</v>
      </c>
      <c r="AH149" s="492">
        <f t="shared" si="86"/>
        <v>0</v>
      </c>
      <c r="AI149" s="492">
        <f t="shared" si="86"/>
        <v>0</v>
      </c>
      <c r="AJ149" s="492">
        <f t="shared" si="86"/>
        <v>0</v>
      </c>
      <c r="AK149" s="492" t="e">
        <f t="shared" si="86"/>
        <v>#REF!</v>
      </c>
    </row>
    <row r="150" spans="1:43" s="301" customFormat="1" ht="12.75" customHeight="1">
      <c r="C150" s="1323" t="s">
        <v>126</v>
      </c>
      <c r="D150" s="1315" t="s">
        <v>3</v>
      </c>
      <c r="E150" s="1316"/>
      <c r="F150" s="493">
        <f>SUM(F139)</f>
        <v>34987.5</v>
      </c>
      <c r="G150" s="493">
        <f t="shared" ref="G150:AJ150" si="87">SUM(G139)</f>
        <v>36594</v>
      </c>
      <c r="H150" s="493">
        <f t="shared" si="87"/>
        <v>32709.75</v>
      </c>
      <c r="I150" s="493">
        <f t="shared" si="87"/>
        <v>32669.25</v>
      </c>
      <c r="J150" s="493">
        <f t="shared" si="87"/>
        <v>31549.5</v>
      </c>
      <c r="K150" s="493">
        <f t="shared" si="87"/>
        <v>33361.5</v>
      </c>
      <c r="L150" s="493">
        <f t="shared" si="87"/>
        <v>36570.75</v>
      </c>
      <c r="M150" s="493">
        <f t="shared" si="87"/>
        <v>0</v>
      </c>
      <c r="N150" s="493">
        <f t="shared" si="87"/>
        <v>0</v>
      </c>
      <c r="O150" s="493">
        <f t="shared" si="87"/>
        <v>0</v>
      </c>
      <c r="P150" s="493">
        <f t="shared" si="87"/>
        <v>0</v>
      </c>
      <c r="Q150" s="493">
        <f t="shared" si="87"/>
        <v>0</v>
      </c>
      <c r="R150" s="493">
        <f t="shared" si="87"/>
        <v>0</v>
      </c>
      <c r="S150" s="493">
        <f t="shared" si="87"/>
        <v>0</v>
      </c>
      <c r="T150" s="493">
        <f t="shared" si="87"/>
        <v>0</v>
      </c>
      <c r="U150" s="493">
        <f t="shared" si="87"/>
        <v>0</v>
      </c>
      <c r="V150" s="493">
        <f t="shared" si="87"/>
        <v>0</v>
      </c>
      <c r="W150" s="493">
        <f t="shared" si="87"/>
        <v>0</v>
      </c>
      <c r="X150" s="493">
        <f t="shared" si="87"/>
        <v>0</v>
      </c>
      <c r="Y150" s="493">
        <f t="shared" si="87"/>
        <v>0</v>
      </c>
      <c r="Z150" s="493">
        <f t="shared" si="87"/>
        <v>0</v>
      </c>
      <c r="AA150" s="493">
        <f t="shared" si="87"/>
        <v>0</v>
      </c>
      <c r="AB150" s="493">
        <f t="shared" si="87"/>
        <v>0</v>
      </c>
      <c r="AC150" s="493">
        <f t="shared" si="87"/>
        <v>0</v>
      </c>
      <c r="AD150" s="493">
        <f t="shared" si="87"/>
        <v>0</v>
      </c>
      <c r="AE150" s="493">
        <f t="shared" si="87"/>
        <v>0</v>
      </c>
      <c r="AF150" s="493">
        <f t="shared" si="87"/>
        <v>0</v>
      </c>
      <c r="AG150" s="493">
        <f t="shared" si="87"/>
        <v>0</v>
      </c>
      <c r="AH150" s="493">
        <f t="shared" si="87"/>
        <v>0</v>
      </c>
      <c r="AI150" s="493">
        <f t="shared" si="87"/>
        <v>0</v>
      </c>
      <c r="AJ150" s="493">
        <f t="shared" si="87"/>
        <v>0</v>
      </c>
      <c r="AK150" s="494">
        <f>SUM(F150:AJ150)</f>
        <v>238442.25</v>
      </c>
    </row>
    <row r="151" spans="1:43" s="301" customFormat="1" ht="15" customHeight="1">
      <c r="C151" s="1324"/>
      <c r="D151" s="1319" t="s">
        <v>225</v>
      </c>
      <c r="E151" s="1320"/>
      <c r="F151" s="302">
        <f>SUM(F142)</f>
        <v>0</v>
      </c>
      <c r="G151" s="302">
        <f t="shared" ref="G151:AJ151" si="88">SUM(G142)</f>
        <v>0</v>
      </c>
      <c r="H151" s="302">
        <f t="shared" si="88"/>
        <v>0</v>
      </c>
      <c r="I151" s="302">
        <f t="shared" si="88"/>
        <v>0</v>
      </c>
      <c r="J151" s="302">
        <f t="shared" si="88"/>
        <v>1312.8979999999999</v>
      </c>
      <c r="K151" s="302">
        <f t="shared" si="88"/>
        <v>0</v>
      </c>
      <c r="L151" s="302">
        <f t="shared" si="88"/>
        <v>0</v>
      </c>
      <c r="M151" s="302">
        <f t="shared" si="88"/>
        <v>0</v>
      </c>
      <c r="N151" s="302">
        <f t="shared" si="88"/>
        <v>0</v>
      </c>
      <c r="O151" s="302">
        <f t="shared" si="88"/>
        <v>0</v>
      </c>
      <c r="P151" s="302">
        <f t="shared" si="88"/>
        <v>0</v>
      </c>
      <c r="Q151" s="302">
        <f t="shared" si="88"/>
        <v>0</v>
      </c>
      <c r="R151" s="302">
        <f t="shared" si="88"/>
        <v>0</v>
      </c>
      <c r="S151" s="302">
        <f t="shared" si="88"/>
        <v>0</v>
      </c>
      <c r="T151" s="302">
        <f t="shared" si="88"/>
        <v>0</v>
      </c>
      <c r="U151" s="302">
        <f t="shared" si="88"/>
        <v>0</v>
      </c>
      <c r="V151" s="302">
        <f t="shared" si="88"/>
        <v>0</v>
      </c>
      <c r="W151" s="302">
        <f t="shared" si="88"/>
        <v>0</v>
      </c>
      <c r="X151" s="302">
        <f t="shared" si="88"/>
        <v>0</v>
      </c>
      <c r="Y151" s="302">
        <f t="shared" si="88"/>
        <v>0</v>
      </c>
      <c r="Z151" s="302">
        <f t="shared" si="88"/>
        <v>0</v>
      </c>
      <c r="AA151" s="302">
        <f t="shared" si="88"/>
        <v>0</v>
      </c>
      <c r="AB151" s="302">
        <f t="shared" si="88"/>
        <v>0</v>
      </c>
      <c r="AC151" s="302">
        <f t="shared" si="88"/>
        <v>0</v>
      </c>
      <c r="AD151" s="302">
        <f t="shared" si="88"/>
        <v>0</v>
      </c>
      <c r="AE151" s="302">
        <f t="shared" si="88"/>
        <v>0</v>
      </c>
      <c r="AF151" s="302">
        <f t="shared" si="88"/>
        <v>0</v>
      </c>
      <c r="AG151" s="302">
        <f t="shared" si="88"/>
        <v>0</v>
      </c>
      <c r="AH151" s="302">
        <f t="shared" si="88"/>
        <v>0</v>
      </c>
      <c r="AI151" s="302">
        <f t="shared" si="88"/>
        <v>0</v>
      </c>
      <c r="AJ151" s="302">
        <f t="shared" si="88"/>
        <v>0</v>
      </c>
      <c r="AK151" s="495">
        <f>SUM(F151:AJ151)</f>
        <v>1312.8979999999999</v>
      </c>
      <c r="AL151" s="303"/>
      <c r="AM151" s="304"/>
      <c r="AN151" s="305"/>
    </row>
    <row r="152" spans="1:43" ht="15" thickBot="1">
      <c r="C152" s="1325"/>
      <c r="D152" s="1321" t="s">
        <v>87</v>
      </c>
      <c r="E152" s="1322"/>
      <c r="F152" s="496">
        <f>IF(OR(F150=0,F151=0),0,F150/F151)</f>
        <v>0</v>
      </c>
      <c r="G152" s="496">
        <f t="shared" ref="G152:AK152" si="89">IF(OR(G150=0,G151=0),0,G150/G151)</f>
        <v>0</v>
      </c>
      <c r="H152" s="496">
        <f t="shared" si="89"/>
        <v>0</v>
      </c>
      <c r="I152" s="496">
        <f t="shared" si="89"/>
        <v>0</v>
      </c>
      <c r="J152" s="496">
        <f t="shared" si="89"/>
        <v>24.030427344698523</v>
      </c>
      <c r="K152" s="496">
        <f t="shared" si="89"/>
        <v>0</v>
      </c>
      <c r="L152" s="496">
        <f t="shared" si="89"/>
        <v>0</v>
      </c>
      <c r="M152" s="496">
        <f t="shared" si="89"/>
        <v>0</v>
      </c>
      <c r="N152" s="496">
        <f t="shared" si="89"/>
        <v>0</v>
      </c>
      <c r="O152" s="496">
        <f t="shared" si="89"/>
        <v>0</v>
      </c>
      <c r="P152" s="496">
        <f t="shared" si="89"/>
        <v>0</v>
      </c>
      <c r="Q152" s="496">
        <f t="shared" si="89"/>
        <v>0</v>
      </c>
      <c r="R152" s="496">
        <f t="shared" si="89"/>
        <v>0</v>
      </c>
      <c r="S152" s="496">
        <f t="shared" si="89"/>
        <v>0</v>
      </c>
      <c r="T152" s="496">
        <f t="shared" si="89"/>
        <v>0</v>
      </c>
      <c r="U152" s="496">
        <f t="shared" si="89"/>
        <v>0</v>
      </c>
      <c r="V152" s="496">
        <f t="shared" si="89"/>
        <v>0</v>
      </c>
      <c r="W152" s="496">
        <f t="shared" si="89"/>
        <v>0</v>
      </c>
      <c r="X152" s="496">
        <f t="shared" si="89"/>
        <v>0</v>
      </c>
      <c r="Y152" s="496">
        <f t="shared" si="89"/>
        <v>0</v>
      </c>
      <c r="Z152" s="496">
        <f t="shared" si="89"/>
        <v>0</v>
      </c>
      <c r="AA152" s="496">
        <f t="shared" si="89"/>
        <v>0</v>
      </c>
      <c r="AB152" s="496">
        <f t="shared" si="89"/>
        <v>0</v>
      </c>
      <c r="AC152" s="496">
        <f t="shared" si="89"/>
        <v>0</v>
      </c>
      <c r="AD152" s="496">
        <f t="shared" si="89"/>
        <v>0</v>
      </c>
      <c r="AE152" s="496">
        <f t="shared" si="89"/>
        <v>0</v>
      </c>
      <c r="AF152" s="496">
        <f t="shared" si="89"/>
        <v>0</v>
      </c>
      <c r="AG152" s="496">
        <f t="shared" si="89"/>
        <v>0</v>
      </c>
      <c r="AH152" s="496">
        <f t="shared" si="89"/>
        <v>0</v>
      </c>
      <c r="AI152" s="496">
        <f t="shared" si="89"/>
        <v>0</v>
      </c>
      <c r="AJ152" s="496">
        <f t="shared" si="89"/>
        <v>0</v>
      </c>
      <c r="AK152" s="497">
        <f t="shared" si="89"/>
        <v>181.61521306301023</v>
      </c>
      <c r="AL152" s="41"/>
    </row>
    <row r="153" spans="1:43" ht="15" customHeight="1">
      <c r="A153" s="65"/>
      <c r="C153" s="633"/>
      <c r="D153" s="633"/>
      <c r="E153" s="2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345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355"/>
      <c r="AD153" s="41"/>
    </row>
    <row r="154" spans="1:43" ht="15" customHeight="1">
      <c r="A154" s="65"/>
      <c r="C154" s="164" t="str">
        <f>"3.Actual "&amp;MID(C2,13,20)</f>
        <v>3.Actual Sep'26</v>
      </c>
      <c r="D154" s="164"/>
      <c r="F154" s="65"/>
      <c r="G154" s="82"/>
      <c r="J154" s="29"/>
      <c r="L154" s="65"/>
      <c r="P154" s="41"/>
      <c r="U154" s="65"/>
      <c r="AA154" s="41"/>
      <c r="AB154" s="41"/>
      <c r="AC154" s="41"/>
      <c r="AD154" s="1" t="s">
        <v>105</v>
      </c>
      <c r="AE154" s="65"/>
    </row>
    <row r="155" spans="1:43" ht="14.25" customHeight="1">
      <c r="A155" s="65"/>
      <c r="C155" s="1084"/>
      <c r="D155" s="1085"/>
      <c r="F155" s="519" t="s">
        <v>157</v>
      </c>
      <c r="G155" s="519" t="s">
        <v>158</v>
      </c>
      <c r="H155" s="519" t="s">
        <v>159</v>
      </c>
      <c r="I155" s="519" t="s">
        <v>160</v>
      </c>
      <c r="J155" s="519" t="s">
        <v>161</v>
      </c>
      <c r="K155" s="519" t="s">
        <v>162</v>
      </c>
      <c r="L155" s="519" t="s">
        <v>163</v>
      </c>
      <c r="M155" s="519" t="s">
        <v>164</v>
      </c>
      <c r="N155" s="519" t="s">
        <v>165</v>
      </c>
      <c r="O155" s="519" t="s">
        <v>166</v>
      </c>
      <c r="P155" s="519" t="s">
        <v>167</v>
      </c>
      <c r="Q155" s="519" t="s">
        <v>168</v>
      </c>
      <c r="R155" s="519" t="s">
        <v>169</v>
      </c>
      <c r="S155" s="519" t="s">
        <v>170</v>
      </c>
      <c r="T155" s="519" t="s">
        <v>171</v>
      </c>
      <c r="U155" s="519" t="s">
        <v>172</v>
      </c>
      <c r="V155" s="519" t="s">
        <v>173</v>
      </c>
      <c r="W155" s="519" t="s">
        <v>174</v>
      </c>
      <c r="X155" s="519" t="s">
        <v>175</v>
      </c>
      <c r="Y155" s="519" t="s">
        <v>176</v>
      </c>
      <c r="Z155" s="519" t="s">
        <v>177</v>
      </c>
      <c r="AA155" s="519" t="s">
        <v>178</v>
      </c>
      <c r="AB155" s="519" t="s">
        <v>179</v>
      </c>
      <c r="AC155" s="519" t="s">
        <v>180</v>
      </c>
      <c r="AD155" s="519" t="s">
        <v>181</v>
      </c>
      <c r="AE155" s="519" t="s">
        <v>182</v>
      </c>
      <c r="AF155" s="519" t="s">
        <v>183</v>
      </c>
      <c r="AG155" s="519" t="s">
        <v>184</v>
      </c>
      <c r="AH155" s="519" t="s">
        <v>185</v>
      </c>
      <c r="AI155" s="519" t="s">
        <v>186</v>
      </c>
      <c r="AJ155" s="519" t="s">
        <v>187</v>
      </c>
      <c r="AK155" s="634" t="s">
        <v>234</v>
      </c>
      <c r="AL155" s="837"/>
      <c r="AM155" s="65"/>
      <c r="AN155" s="28"/>
    </row>
    <row r="156" spans="1:43" ht="14.25" customHeight="1">
      <c r="A156" s="65"/>
      <c r="C156" s="1340" t="s">
        <v>235</v>
      </c>
      <c r="D156" s="1340"/>
      <c r="E156" s="1340"/>
      <c r="F156" s="1179">
        <f t="shared" ref="F156:K156" si="90">F157+F160</f>
        <v>0</v>
      </c>
      <c r="G156" s="1179">
        <f t="shared" si="90"/>
        <v>0</v>
      </c>
      <c r="H156" s="1179">
        <f t="shared" si="90"/>
        <v>0</v>
      </c>
      <c r="I156" s="1179">
        <f t="shared" si="90"/>
        <v>0</v>
      </c>
      <c r="J156" s="1179">
        <f t="shared" si="90"/>
        <v>1312.8979999999999</v>
      </c>
      <c r="K156" s="1179">
        <f t="shared" si="90"/>
        <v>0</v>
      </c>
      <c r="L156" s="1179">
        <f>L157+L160</f>
        <v>0</v>
      </c>
      <c r="M156" s="1179">
        <f>M157+M160</f>
        <v>0</v>
      </c>
      <c r="N156" s="1179">
        <f>N157+N160</f>
        <v>0</v>
      </c>
      <c r="O156" s="1179">
        <f>O157+O160</f>
        <v>0</v>
      </c>
      <c r="P156" s="1179">
        <f>P157+P160</f>
        <v>0</v>
      </c>
      <c r="Q156" s="1179">
        <f t="shared" ref="Q156:V156" si="91">Q157+Q160</f>
        <v>0</v>
      </c>
      <c r="R156" s="1179">
        <f t="shared" si="91"/>
        <v>0</v>
      </c>
      <c r="S156" s="1179">
        <f>S157+S160</f>
        <v>0</v>
      </c>
      <c r="T156" s="1179">
        <f t="shared" si="91"/>
        <v>0</v>
      </c>
      <c r="U156" s="1179">
        <f>U157+U160</f>
        <v>0</v>
      </c>
      <c r="V156" s="1179">
        <f t="shared" si="91"/>
        <v>0</v>
      </c>
      <c r="W156" s="1179">
        <f>W157+W160</f>
        <v>0</v>
      </c>
      <c r="X156" s="1179">
        <f t="shared" ref="X156:AJ156" si="92">X157+X160</f>
        <v>0</v>
      </c>
      <c r="Y156" s="1179">
        <f t="shared" si="92"/>
        <v>0</v>
      </c>
      <c r="Z156" s="1179">
        <f t="shared" si="92"/>
        <v>0</v>
      </c>
      <c r="AA156" s="1179">
        <f t="shared" si="92"/>
        <v>0</v>
      </c>
      <c r="AB156" s="1179">
        <f t="shared" si="92"/>
        <v>0</v>
      </c>
      <c r="AC156" s="1179">
        <f t="shared" si="92"/>
        <v>0</v>
      </c>
      <c r="AD156" s="1179">
        <f>AD157+AD160</f>
        <v>0</v>
      </c>
      <c r="AE156" s="1179">
        <f t="shared" si="92"/>
        <v>0</v>
      </c>
      <c r="AF156" s="1179">
        <f t="shared" si="92"/>
        <v>0</v>
      </c>
      <c r="AG156" s="1179">
        <f t="shared" si="92"/>
        <v>0</v>
      </c>
      <c r="AH156" s="1179">
        <f>AH157+AH160</f>
        <v>0</v>
      </c>
      <c r="AI156" s="1179">
        <f t="shared" si="92"/>
        <v>0</v>
      </c>
      <c r="AJ156" s="1179">
        <f t="shared" si="92"/>
        <v>0</v>
      </c>
      <c r="AK156" s="1217">
        <f>SUM(F156:AJ156)</f>
        <v>1312.8979999999999</v>
      </c>
      <c r="AL156" s="838">
        <f>HLOOKUP(LEFT(Summary!$D$3,2),$F$155:$AJ$167,2,FALSE)</f>
        <v>0</v>
      </c>
      <c r="AM156" s="65">
        <f>+AVERAGE(F156:AE156)</f>
        <v>50.49607692307692</v>
      </c>
      <c r="AN156" s="28"/>
      <c r="AP156" s="65"/>
      <c r="AQ156" s="65">
        <f>'Quality ROM'!V$38</f>
        <v>0</v>
      </c>
    </row>
    <row r="157" spans="1:43" ht="13.9" customHeight="1">
      <c r="C157" s="1340" t="s">
        <v>236</v>
      </c>
      <c r="D157" s="1340"/>
      <c r="E157" s="1340"/>
      <c r="F157" s="1180">
        <f t="shared" ref="F157:AJ157" si="93">+SUM(F51:F52,F59:F60,F63:F64,F71:F72,F75:F76,F55:F56,F67:F68,F79:F80,F83:F84,F87:F88,F91:F92,F95:F96)</f>
        <v>0</v>
      </c>
      <c r="G157" s="1180">
        <f t="shared" si="93"/>
        <v>0</v>
      </c>
      <c r="H157" s="1180">
        <f t="shared" si="93"/>
        <v>0</v>
      </c>
      <c r="I157" s="1180">
        <f t="shared" si="93"/>
        <v>0</v>
      </c>
      <c r="J157" s="1180">
        <f t="shared" si="93"/>
        <v>1312.8979999999999</v>
      </c>
      <c r="K157" s="1180">
        <f t="shared" si="93"/>
        <v>0</v>
      </c>
      <c r="L157" s="1180">
        <f t="shared" si="93"/>
        <v>0</v>
      </c>
      <c r="M157" s="1180">
        <f t="shared" si="93"/>
        <v>0</v>
      </c>
      <c r="N157" s="1180">
        <f t="shared" si="93"/>
        <v>0</v>
      </c>
      <c r="O157" s="1180">
        <f t="shared" si="93"/>
        <v>0</v>
      </c>
      <c r="P157" s="1180">
        <f t="shared" si="93"/>
        <v>0</v>
      </c>
      <c r="Q157" s="1180">
        <f t="shared" si="93"/>
        <v>0</v>
      </c>
      <c r="R157" s="1180">
        <f t="shared" si="93"/>
        <v>0</v>
      </c>
      <c r="S157" s="1180">
        <f t="shared" si="93"/>
        <v>0</v>
      </c>
      <c r="T157" s="1180">
        <f t="shared" si="93"/>
        <v>0</v>
      </c>
      <c r="U157" s="1180">
        <f t="shared" si="93"/>
        <v>0</v>
      </c>
      <c r="V157" s="1180">
        <f t="shared" si="93"/>
        <v>0</v>
      </c>
      <c r="W157" s="1180">
        <f t="shared" si="93"/>
        <v>0</v>
      </c>
      <c r="X157" s="1180">
        <f t="shared" si="93"/>
        <v>0</v>
      </c>
      <c r="Y157" s="1180">
        <f t="shared" si="93"/>
        <v>0</v>
      </c>
      <c r="Z157" s="1180">
        <f t="shared" si="93"/>
        <v>0</v>
      </c>
      <c r="AA157" s="1180">
        <f t="shared" si="93"/>
        <v>0</v>
      </c>
      <c r="AB157" s="1180">
        <f t="shared" si="93"/>
        <v>0</v>
      </c>
      <c r="AC157" s="1180">
        <f t="shared" si="93"/>
        <v>0</v>
      </c>
      <c r="AD157" s="1180">
        <f t="shared" si="93"/>
        <v>0</v>
      </c>
      <c r="AE157" s="1180">
        <f t="shared" si="93"/>
        <v>0</v>
      </c>
      <c r="AF157" s="1180">
        <f t="shared" si="93"/>
        <v>0</v>
      </c>
      <c r="AG157" s="1180">
        <f t="shared" si="93"/>
        <v>0</v>
      </c>
      <c r="AH157" s="1180">
        <f t="shared" si="93"/>
        <v>0</v>
      </c>
      <c r="AI157" s="1180">
        <f t="shared" si="93"/>
        <v>0</v>
      </c>
      <c r="AJ157" s="1180">
        <f t="shared" si="93"/>
        <v>0</v>
      </c>
      <c r="AK157" s="1181">
        <f>SUM(F157:AJ157)</f>
        <v>1312.8979999999999</v>
      </c>
      <c r="AL157" s="839">
        <f>HLOOKUP(LEFT(Summary!$D$3,2),$F$155:$AJ$167,3,FALSE)</f>
        <v>0</v>
      </c>
      <c r="AM157" s="163">
        <f>+AK157/AK156</f>
        <v>1</v>
      </c>
      <c r="AN157" s="28"/>
      <c r="AP157" s="65"/>
      <c r="AQ157" s="65">
        <f>'Quality ROM'!V$38</f>
        <v>0</v>
      </c>
    </row>
    <row r="158" spans="1:43" ht="15" customHeight="1">
      <c r="B158" s="1067">
        <f>B167+B168</f>
        <v>156864.272692</v>
      </c>
      <c r="C158" s="1340" t="s">
        <v>90</v>
      </c>
      <c r="D158" s="1340"/>
      <c r="E158" s="1340"/>
      <c r="F158" s="1182">
        <f>B158+F157-F161-F169</f>
        <v>156864.272692</v>
      </c>
      <c r="G158" s="1183">
        <f t="shared" ref="G158:AI158" si="94">F158+G157-G161-G169</f>
        <v>156864.272692</v>
      </c>
      <c r="H158" s="1183">
        <f>G158+H157-H161-H169</f>
        <v>156864.272692</v>
      </c>
      <c r="I158" s="1183">
        <f t="shared" si="94"/>
        <v>156864.272692</v>
      </c>
      <c r="J158" s="1183">
        <f t="shared" si="94"/>
        <v>158177.17069199999</v>
      </c>
      <c r="K158" s="1183">
        <f t="shared" si="94"/>
        <v>158177.17069199999</v>
      </c>
      <c r="L158" s="1183">
        <f t="shared" si="94"/>
        <v>158177.17069199999</v>
      </c>
      <c r="M158" s="1183">
        <f t="shared" si="94"/>
        <v>158177.17069199999</v>
      </c>
      <c r="N158" s="1183">
        <f>M158+N157-N161-N169</f>
        <v>158177.17069199999</v>
      </c>
      <c r="O158" s="1183">
        <f t="shared" si="94"/>
        <v>158177.17069199999</v>
      </c>
      <c r="P158" s="1183">
        <f t="shared" si="94"/>
        <v>158177.17069199999</v>
      </c>
      <c r="Q158" s="1183">
        <f t="shared" si="94"/>
        <v>158177.17069199999</v>
      </c>
      <c r="R158" s="1183">
        <f t="shared" si="94"/>
        <v>158177.17069199999</v>
      </c>
      <c r="S158" s="1183">
        <f t="shared" si="94"/>
        <v>158177.17069199999</v>
      </c>
      <c r="T158" s="1183">
        <f t="shared" si="94"/>
        <v>158177.17069199999</v>
      </c>
      <c r="U158" s="1183">
        <f t="shared" si="94"/>
        <v>158177.17069199999</v>
      </c>
      <c r="V158" s="1183">
        <f t="shared" si="94"/>
        <v>158177.17069199999</v>
      </c>
      <c r="W158" s="1183">
        <f t="shared" si="94"/>
        <v>158177.17069199999</v>
      </c>
      <c r="X158" s="1183">
        <f t="shared" si="94"/>
        <v>158177.17069199999</v>
      </c>
      <c r="Y158" s="1183">
        <f t="shared" si="94"/>
        <v>158177.17069199999</v>
      </c>
      <c r="Z158" s="1183">
        <f t="shared" si="94"/>
        <v>158177.17069199999</v>
      </c>
      <c r="AA158" s="1183">
        <f>Z158+AA157-AA161-AA169</f>
        <v>158177.17069199999</v>
      </c>
      <c r="AB158" s="1183">
        <f t="shared" si="94"/>
        <v>158177.17069199999</v>
      </c>
      <c r="AC158" s="1183">
        <f t="shared" si="94"/>
        <v>158177.17069199999</v>
      </c>
      <c r="AD158" s="1183">
        <f t="shared" si="94"/>
        <v>158177.17069199999</v>
      </c>
      <c r="AE158" s="1183">
        <f t="shared" si="94"/>
        <v>158177.17069199999</v>
      </c>
      <c r="AF158" s="1183">
        <f t="shared" si="94"/>
        <v>158177.17069199999</v>
      </c>
      <c r="AG158" s="1183">
        <f t="shared" si="94"/>
        <v>158177.17069199999</v>
      </c>
      <c r="AH158" s="1183">
        <f t="shared" si="94"/>
        <v>158177.17069199999</v>
      </c>
      <c r="AI158" s="1183">
        <f t="shared" si="94"/>
        <v>158177.17069199999</v>
      </c>
      <c r="AJ158" s="1183">
        <f>AI158+AJ157-AJ161-AJ169</f>
        <v>158177.17069199999</v>
      </c>
      <c r="AK158" s="1181">
        <f>HLOOKUP(LEFT($D$3,2),$F$155:$AJ$168,4,FALSE)</f>
        <v>158177.17069199999</v>
      </c>
      <c r="AL158" s="840">
        <f>HLOOKUP(LEFT(Summary!$D$3,2),$F$155:$AJ$168,4,FALSE)</f>
        <v>158177.17069199999</v>
      </c>
      <c r="AP158" s="65"/>
      <c r="AQ158" s="65">
        <f>'Quality ROM'!V$38</f>
        <v>0</v>
      </c>
    </row>
    <row r="159" spans="1:43" ht="15" customHeight="1">
      <c r="A159" s="65"/>
      <c r="B159" s="1068"/>
      <c r="C159" s="1340" t="s">
        <v>237</v>
      </c>
      <c r="D159" s="1340"/>
      <c r="E159" s="1340"/>
      <c r="F159" s="1180">
        <f>F160+F161+F169</f>
        <v>0</v>
      </c>
      <c r="G159" s="1180">
        <f t="shared" ref="G159:AJ159" si="95">G160+G161+G169</f>
        <v>0</v>
      </c>
      <c r="H159" s="1180">
        <f t="shared" si="95"/>
        <v>0</v>
      </c>
      <c r="I159" s="1180">
        <f t="shared" si="95"/>
        <v>0</v>
      </c>
      <c r="J159" s="1180">
        <f t="shared" si="95"/>
        <v>0</v>
      </c>
      <c r="K159" s="1180">
        <f t="shared" si="95"/>
        <v>0</v>
      </c>
      <c r="L159" s="1180">
        <f>L160+L161+L169</f>
        <v>0</v>
      </c>
      <c r="M159" s="1180">
        <f t="shared" si="95"/>
        <v>0</v>
      </c>
      <c r="N159" s="1180">
        <f t="shared" si="95"/>
        <v>0</v>
      </c>
      <c r="O159" s="1180">
        <f>O160+O161+O169</f>
        <v>0</v>
      </c>
      <c r="P159" s="1180">
        <f t="shared" si="95"/>
        <v>0</v>
      </c>
      <c r="Q159" s="1180">
        <f t="shared" si="95"/>
        <v>0</v>
      </c>
      <c r="R159" s="1180">
        <f t="shared" si="95"/>
        <v>0</v>
      </c>
      <c r="S159" s="1180">
        <f>S160+S161+S169</f>
        <v>0</v>
      </c>
      <c r="T159" s="1180">
        <f t="shared" si="95"/>
        <v>0</v>
      </c>
      <c r="U159" s="1180">
        <f t="shared" si="95"/>
        <v>0</v>
      </c>
      <c r="V159" s="1180">
        <f t="shared" si="95"/>
        <v>0</v>
      </c>
      <c r="W159" s="1180">
        <f t="shared" si="95"/>
        <v>0</v>
      </c>
      <c r="X159" s="1180">
        <f t="shared" si="95"/>
        <v>0</v>
      </c>
      <c r="Y159" s="1180">
        <f t="shared" si="95"/>
        <v>0</v>
      </c>
      <c r="Z159" s="1180">
        <f t="shared" si="95"/>
        <v>0</v>
      </c>
      <c r="AA159" s="1180">
        <f t="shared" si="95"/>
        <v>0</v>
      </c>
      <c r="AB159" s="1180">
        <f t="shared" si="95"/>
        <v>0</v>
      </c>
      <c r="AC159" s="1180">
        <f t="shared" si="95"/>
        <v>0</v>
      </c>
      <c r="AD159" s="1180">
        <f t="shared" si="95"/>
        <v>0</v>
      </c>
      <c r="AE159" s="1180">
        <f t="shared" si="95"/>
        <v>0</v>
      </c>
      <c r="AF159" s="1180">
        <f t="shared" si="95"/>
        <v>0</v>
      </c>
      <c r="AG159" s="1180">
        <f t="shared" si="95"/>
        <v>0</v>
      </c>
      <c r="AH159" s="1180">
        <f>AH160+AH161+AH169</f>
        <v>0</v>
      </c>
      <c r="AI159" s="1180">
        <f t="shared" si="95"/>
        <v>0</v>
      </c>
      <c r="AJ159" s="1180">
        <f t="shared" si="95"/>
        <v>0</v>
      </c>
      <c r="AK159" s="1181">
        <f>SUM(F159:AJ159)</f>
        <v>0</v>
      </c>
      <c r="AL159" s="840">
        <f>HLOOKUP(LEFT(Summary!$D$3,2),$F$155:$AJ$167,5,FALSE)</f>
        <v>0</v>
      </c>
      <c r="AM159" s="37" t="e">
        <f>+AK159/COUNTIF(F159:AJ159,"&gt;0")</f>
        <v>#DIV/0!</v>
      </c>
      <c r="AP159" s="65"/>
      <c r="AQ159" s="65">
        <f>'Quality ROM'!V$38</f>
        <v>0</v>
      </c>
    </row>
    <row r="160" spans="1:43" ht="15" customHeight="1">
      <c r="A160" s="65"/>
      <c r="B160" s="1068"/>
      <c r="C160" s="1340" t="s">
        <v>238</v>
      </c>
      <c r="D160" s="1340"/>
      <c r="E160" s="1340"/>
      <c r="F160" s="1191">
        <f t="shared" ref="F160:AJ160" si="96">SUM(F54,F50,F74,F70,F62,F58,F66,F82,F86,F90)</f>
        <v>0</v>
      </c>
      <c r="G160" s="1191">
        <f t="shared" si="96"/>
        <v>0</v>
      </c>
      <c r="H160" s="1191">
        <f t="shared" si="96"/>
        <v>0</v>
      </c>
      <c r="I160" s="1191">
        <f t="shared" si="96"/>
        <v>0</v>
      </c>
      <c r="J160" s="1191">
        <f t="shared" si="96"/>
        <v>0</v>
      </c>
      <c r="K160" s="1191">
        <f t="shared" si="96"/>
        <v>0</v>
      </c>
      <c r="L160" s="1191">
        <f t="shared" si="96"/>
        <v>0</v>
      </c>
      <c r="M160" s="1191">
        <f t="shared" si="96"/>
        <v>0</v>
      </c>
      <c r="N160" s="1191">
        <f t="shared" si="96"/>
        <v>0</v>
      </c>
      <c r="O160" s="1191">
        <f t="shared" si="96"/>
        <v>0</v>
      </c>
      <c r="P160" s="1191">
        <f t="shared" si="96"/>
        <v>0</v>
      </c>
      <c r="Q160" s="1192">
        <f t="shared" si="96"/>
        <v>0</v>
      </c>
      <c r="R160" s="1191">
        <f t="shared" si="96"/>
        <v>0</v>
      </c>
      <c r="S160" s="1191">
        <f t="shared" si="96"/>
        <v>0</v>
      </c>
      <c r="T160" s="1191">
        <f t="shared" si="96"/>
        <v>0</v>
      </c>
      <c r="U160" s="1191">
        <f t="shared" si="96"/>
        <v>0</v>
      </c>
      <c r="V160" s="1191">
        <f t="shared" si="96"/>
        <v>0</v>
      </c>
      <c r="W160" s="1191">
        <f t="shared" si="96"/>
        <v>0</v>
      </c>
      <c r="X160" s="1191">
        <f t="shared" si="96"/>
        <v>0</v>
      </c>
      <c r="Y160" s="1191">
        <f t="shared" si="96"/>
        <v>0</v>
      </c>
      <c r="Z160" s="1191">
        <f t="shared" si="96"/>
        <v>0</v>
      </c>
      <c r="AA160" s="1191">
        <f t="shared" si="96"/>
        <v>0</v>
      </c>
      <c r="AB160" s="1191">
        <f t="shared" si="96"/>
        <v>0</v>
      </c>
      <c r="AC160" s="1191">
        <f t="shared" si="96"/>
        <v>0</v>
      </c>
      <c r="AD160" s="1191">
        <f t="shared" si="96"/>
        <v>0</v>
      </c>
      <c r="AE160" s="1191">
        <f t="shared" si="96"/>
        <v>0</v>
      </c>
      <c r="AF160" s="1191">
        <f t="shared" si="96"/>
        <v>0</v>
      </c>
      <c r="AG160" s="1191">
        <f t="shared" si="96"/>
        <v>0</v>
      </c>
      <c r="AH160" s="1191">
        <f t="shared" si="96"/>
        <v>0</v>
      </c>
      <c r="AI160" s="1191">
        <f t="shared" si="96"/>
        <v>0</v>
      </c>
      <c r="AJ160" s="1191">
        <f t="shared" si="96"/>
        <v>0</v>
      </c>
      <c r="AK160" s="1181">
        <f>SUM(F160:AJ160)</f>
        <v>0</v>
      </c>
      <c r="AL160" s="840">
        <f>HLOOKUP(LEFT(Summary!$D$3,2),$F$155:$AJ$167,6,FALSE)</f>
        <v>0</v>
      </c>
      <c r="AM160" s="163">
        <f>+AK160/AK156</f>
        <v>0</v>
      </c>
      <c r="AN160" s="65">
        <f>AK160/1000</f>
        <v>0</v>
      </c>
      <c r="AP160" s="65"/>
      <c r="AQ160" s="65">
        <f>'Quality ROM'!V$38</f>
        <v>0</v>
      </c>
    </row>
    <row r="161" spans="1:44" ht="15" customHeight="1">
      <c r="A161" s="65"/>
      <c r="B161" s="1068"/>
      <c r="C161" s="1126" t="s">
        <v>239</v>
      </c>
      <c r="D161" s="1127"/>
      <c r="E161" s="1128"/>
      <c r="F161" s="966">
        <f>'Quality ROM'!$Q38</f>
        <v>0</v>
      </c>
      <c r="G161" s="966">
        <f>'Quality ROM'!$Q39</f>
        <v>0</v>
      </c>
      <c r="H161" s="966">
        <f>'Quality ROM'!$Q40</f>
        <v>0</v>
      </c>
      <c r="I161" s="966">
        <f>'Quality ROM'!$Q41</f>
        <v>0</v>
      </c>
      <c r="J161" s="966">
        <f>'Quality ROM'!$Q42</f>
        <v>0</v>
      </c>
      <c r="K161" s="966">
        <f>'Quality ROM'!$Q43</f>
        <v>0</v>
      </c>
      <c r="L161" s="966">
        <f>'Quality ROM'!$Q44</f>
        <v>0</v>
      </c>
      <c r="M161" s="966">
        <f>'Quality ROM'!$Q45</f>
        <v>0</v>
      </c>
      <c r="N161" s="966">
        <f>'Quality ROM'!$Q46</f>
        <v>0</v>
      </c>
      <c r="O161" s="966">
        <f>'Quality ROM'!$Q47</f>
        <v>0</v>
      </c>
      <c r="P161" s="966">
        <f>'Quality ROM'!$Q48</f>
        <v>0</v>
      </c>
      <c r="Q161" s="966">
        <f>'Quality ROM'!$Q49</f>
        <v>0</v>
      </c>
      <c r="R161" s="966">
        <f>'Quality ROM'!$Q50</f>
        <v>0</v>
      </c>
      <c r="S161" s="966">
        <f>'Quality ROM'!$Q51</f>
        <v>0</v>
      </c>
      <c r="T161" s="966">
        <f>'Quality ROM'!$Q52</f>
        <v>0</v>
      </c>
      <c r="U161" s="966">
        <f>'Quality ROM'!$Q53</f>
        <v>0</v>
      </c>
      <c r="V161" s="966">
        <f>'Quality ROM'!$Q54</f>
        <v>0</v>
      </c>
      <c r="W161" s="966">
        <f>'Quality ROM'!$Q55</f>
        <v>0</v>
      </c>
      <c r="X161" s="966">
        <f>'Quality ROM'!$Q56</f>
        <v>0</v>
      </c>
      <c r="Y161" s="966">
        <f>'Quality ROM'!$Q57</f>
        <v>0</v>
      </c>
      <c r="Z161" s="966">
        <f>'Quality ROM'!$Q58</f>
        <v>0</v>
      </c>
      <c r="AA161" s="966">
        <f>'Quality ROM'!$Q59</f>
        <v>0</v>
      </c>
      <c r="AB161" s="966">
        <f>'Quality ROM'!$Q60</f>
        <v>0</v>
      </c>
      <c r="AC161" s="966">
        <f>'Quality ROM'!$Q61</f>
        <v>0</v>
      </c>
      <c r="AD161" s="966">
        <f>'Quality ROM'!$Q62</f>
        <v>0</v>
      </c>
      <c r="AE161" s="966">
        <f>'Quality ROM'!$Q63</f>
        <v>0</v>
      </c>
      <c r="AF161" s="966">
        <f>'Quality ROM'!$Q64</f>
        <v>0</v>
      </c>
      <c r="AG161" s="966">
        <f>'Quality ROM'!$Q65</f>
        <v>0</v>
      </c>
      <c r="AH161" s="966">
        <f>'Quality ROM'!$Q66</f>
        <v>0</v>
      </c>
      <c r="AI161" s="966">
        <f>'Quality ROM'!$Q67</f>
        <v>0</v>
      </c>
      <c r="AJ161" s="966">
        <f>'Quality ROM'!$Q68</f>
        <v>0</v>
      </c>
      <c r="AK161" s="1184">
        <f>SUM(F161:AJ161)</f>
        <v>0</v>
      </c>
      <c r="AL161" s="840"/>
      <c r="AM161" s="163"/>
      <c r="AN161" s="65"/>
      <c r="AP161" s="65"/>
      <c r="AQ161" s="65">
        <f>'Quality ROM'!V$38</f>
        <v>0</v>
      </c>
    </row>
    <row r="162" spans="1:44" ht="15" customHeight="1">
      <c r="B162" s="1068"/>
      <c r="C162" s="1340" t="s">
        <v>240</v>
      </c>
      <c r="D162" s="1340"/>
      <c r="E162" s="1340"/>
      <c r="F162" s="1179">
        <f t="shared" ref="F162:AJ162" si="97">F215</f>
        <v>0</v>
      </c>
      <c r="G162" s="1179">
        <f t="shared" si="97"/>
        <v>0</v>
      </c>
      <c r="H162" s="1179">
        <f t="shared" si="97"/>
        <v>0</v>
      </c>
      <c r="I162" s="1179">
        <f t="shared" si="97"/>
        <v>0</v>
      </c>
      <c r="J162" s="1179">
        <f t="shared" si="97"/>
        <v>0</v>
      </c>
      <c r="K162" s="1179">
        <f t="shared" si="97"/>
        <v>0</v>
      </c>
      <c r="L162" s="1179">
        <f t="shared" si="97"/>
        <v>0</v>
      </c>
      <c r="M162" s="1179">
        <f t="shared" si="97"/>
        <v>0</v>
      </c>
      <c r="N162" s="1179">
        <f t="shared" si="97"/>
        <v>0</v>
      </c>
      <c r="O162" s="1179">
        <f t="shared" si="97"/>
        <v>0</v>
      </c>
      <c r="P162" s="1179">
        <f t="shared" si="97"/>
        <v>0</v>
      </c>
      <c r="Q162" s="1179">
        <f t="shared" si="97"/>
        <v>0</v>
      </c>
      <c r="R162" s="1179">
        <f t="shared" si="97"/>
        <v>0</v>
      </c>
      <c r="S162" s="1179">
        <f t="shared" si="97"/>
        <v>0</v>
      </c>
      <c r="T162" s="1179">
        <f t="shared" si="97"/>
        <v>0</v>
      </c>
      <c r="U162" s="1179">
        <f t="shared" si="97"/>
        <v>0</v>
      </c>
      <c r="V162" s="1179">
        <f t="shared" si="97"/>
        <v>0</v>
      </c>
      <c r="W162" s="1179">
        <f t="shared" si="97"/>
        <v>0</v>
      </c>
      <c r="X162" s="1179">
        <f t="shared" si="97"/>
        <v>0</v>
      </c>
      <c r="Y162" s="1179">
        <f t="shared" si="97"/>
        <v>0</v>
      </c>
      <c r="Z162" s="1179">
        <f t="shared" si="97"/>
        <v>0</v>
      </c>
      <c r="AA162" s="1179">
        <f t="shared" si="97"/>
        <v>0</v>
      </c>
      <c r="AB162" s="1179">
        <f t="shared" si="97"/>
        <v>0</v>
      </c>
      <c r="AC162" s="1179">
        <f t="shared" si="97"/>
        <v>0</v>
      </c>
      <c r="AD162" s="1179">
        <f t="shared" si="97"/>
        <v>0</v>
      </c>
      <c r="AE162" s="1179">
        <f t="shared" si="97"/>
        <v>0</v>
      </c>
      <c r="AF162" s="1179">
        <f t="shared" si="97"/>
        <v>0</v>
      </c>
      <c r="AG162" s="1179">
        <f t="shared" si="97"/>
        <v>0</v>
      </c>
      <c r="AH162" s="1179">
        <f t="shared" si="97"/>
        <v>0</v>
      </c>
      <c r="AI162" s="1179">
        <f t="shared" si="97"/>
        <v>0</v>
      </c>
      <c r="AJ162" s="1179">
        <f t="shared" si="97"/>
        <v>0</v>
      </c>
      <c r="AK162" s="1181">
        <f>SUM(F162:AJ162)</f>
        <v>0</v>
      </c>
      <c r="AL162" s="840">
        <f>HLOOKUP(LEFT(Summary!$D$3,2),$F$155:$AJ$167,8,FALSE)</f>
        <v>0</v>
      </c>
      <c r="AM162" s="37"/>
      <c r="AO162" s="65"/>
      <c r="AP162" s="65"/>
      <c r="AQ162" s="65">
        <f>'Quality ROM'!V$38</f>
        <v>0</v>
      </c>
      <c r="AR162" s="65"/>
    </row>
    <row r="163" spans="1:44">
      <c r="B163" s="1067">
        <v>53492.115105999997</v>
      </c>
      <c r="C163" s="1340" t="s">
        <v>73</v>
      </c>
      <c r="D163" s="1340"/>
      <c r="E163" s="1340"/>
      <c r="F163" s="1179">
        <f>B163+F159-F162</f>
        <v>53492.115105999997</v>
      </c>
      <c r="G163" s="1179">
        <f>F163+G159-G162</f>
        <v>53492.115105999997</v>
      </c>
      <c r="H163" s="1179">
        <f>G163+H159-H162</f>
        <v>53492.115105999997</v>
      </c>
      <c r="I163" s="1179">
        <f t="shared" ref="I163:AG163" si="98">H163+I159-I162</f>
        <v>53492.115105999997</v>
      </c>
      <c r="J163" s="1179">
        <f t="shared" si="98"/>
        <v>53492.115105999997</v>
      </c>
      <c r="K163" s="1179">
        <f>J163+K159-K162</f>
        <v>53492.115105999997</v>
      </c>
      <c r="L163" s="1179">
        <f t="shared" si="98"/>
        <v>53492.115105999997</v>
      </c>
      <c r="M163" s="1179">
        <f t="shared" si="98"/>
        <v>53492.115105999997</v>
      </c>
      <c r="N163" s="1179">
        <f>M163+N159-N162</f>
        <v>53492.115105999997</v>
      </c>
      <c r="O163" s="1179">
        <f>N163+O159-O162</f>
        <v>53492.115105999997</v>
      </c>
      <c r="P163" s="1179">
        <f>O163+P159-P162</f>
        <v>53492.115105999997</v>
      </c>
      <c r="Q163" s="1179">
        <f t="shared" si="98"/>
        <v>53492.115105999997</v>
      </c>
      <c r="R163" s="1179">
        <f t="shared" si="98"/>
        <v>53492.115105999997</v>
      </c>
      <c r="S163" s="1179">
        <f t="shared" si="98"/>
        <v>53492.115105999997</v>
      </c>
      <c r="T163" s="1179">
        <f>S163+T159-T162</f>
        <v>53492.115105999997</v>
      </c>
      <c r="U163" s="1179">
        <f t="shared" si="98"/>
        <v>53492.115105999997</v>
      </c>
      <c r="V163" s="1179">
        <f t="shared" si="98"/>
        <v>53492.115105999997</v>
      </c>
      <c r="W163" s="1179">
        <f t="shared" si="98"/>
        <v>53492.115105999997</v>
      </c>
      <c r="X163" s="1179">
        <f t="shared" si="98"/>
        <v>53492.115105999997</v>
      </c>
      <c r="Y163" s="1179">
        <f>X163+Y159-Y162</f>
        <v>53492.115105999997</v>
      </c>
      <c r="Z163" s="1179">
        <f t="shared" si="98"/>
        <v>53492.115105999997</v>
      </c>
      <c r="AA163" s="1179">
        <f t="shared" si="98"/>
        <v>53492.115105999997</v>
      </c>
      <c r="AB163" s="1179">
        <f t="shared" si="98"/>
        <v>53492.115105999997</v>
      </c>
      <c r="AC163" s="1179">
        <f t="shared" si="98"/>
        <v>53492.115105999997</v>
      </c>
      <c r="AD163" s="1179">
        <f>AC163+AD159-AD162</f>
        <v>53492.115105999997</v>
      </c>
      <c r="AE163" s="1179">
        <f>AD163+AE159-AE162</f>
        <v>53492.115105999997</v>
      </c>
      <c r="AF163" s="1179">
        <f>AE163+AF159-AF162</f>
        <v>53492.115105999997</v>
      </c>
      <c r="AG163" s="1179">
        <f t="shared" si="98"/>
        <v>53492.115105999997</v>
      </c>
      <c r="AH163" s="1179">
        <f>AG163+AH159-AH162</f>
        <v>53492.115105999997</v>
      </c>
      <c r="AI163" s="1179">
        <f>AH163+AI159-AI162</f>
        <v>53492.115105999997</v>
      </c>
      <c r="AJ163" s="1179">
        <f>AI163+AJ159-AJ162</f>
        <v>53492.115105999997</v>
      </c>
      <c r="AK163" s="1181">
        <f>+AJ163</f>
        <v>53492.115105999997</v>
      </c>
      <c r="AL163" s="840">
        <f>HLOOKUP(LEFT(Summary!$D$3,2),$F$155:$AJ$167,9,FALSE)</f>
        <v>53492.115105999997</v>
      </c>
      <c r="AO163" s="65"/>
      <c r="AP163" s="65"/>
      <c r="AQ163" s="65">
        <f>'Quality ROM'!V$38</f>
        <v>0</v>
      </c>
      <c r="AR163" s="65"/>
    </row>
    <row r="164" spans="1:44" ht="15.6">
      <c r="A164" s="354"/>
      <c r="B164" s="1069"/>
      <c r="C164" s="1340" t="s">
        <v>241</v>
      </c>
      <c r="D164" s="1340"/>
      <c r="E164" s="1340"/>
      <c r="F164" s="1185"/>
      <c r="G164" s="1185"/>
      <c r="H164" s="1185"/>
      <c r="I164" s="1185"/>
      <c r="J164" s="1185"/>
      <c r="K164" s="1185"/>
      <c r="L164" s="1185"/>
      <c r="M164" s="1185"/>
      <c r="N164" s="1185"/>
      <c r="O164" s="1185"/>
      <c r="P164" s="1185"/>
      <c r="Q164" s="1185"/>
      <c r="R164" s="1185"/>
      <c r="S164" s="1185"/>
      <c r="T164" s="1185"/>
      <c r="U164" s="1185"/>
      <c r="V164" s="1185"/>
      <c r="W164" s="1185"/>
      <c r="X164" s="1185"/>
      <c r="Y164" s="1185"/>
      <c r="Z164" s="1185"/>
      <c r="AA164" s="1185"/>
      <c r="AB164" s="1185"/>
      <c r="AC164" s="1185"/>
      <c r="AD164" s="1185">
        <v>0</v>
      </c>
      <c r="AE164" s="1185">
        <v>0</v>
      </c>
      <c r="AF164" s="1185">
        <v>0</v>
      </c>
      <c r="AG164" s="1185">
        <v>0</v>
      </c>
      <c r="AH164" s="1185">
        <v>0</v>
      </c>
      <c r="AI164" s="1185">
        <v>0</v>
      </c>
      <c r="AJ164" s="1185">
        <v>0</v>
      </c>
      <c r="AK164" s="1186">
        <f>HLOOKUP(LEFT([49]Summary!$D$3,2),$F$155:$AJ$167,10,FALSE)</f>
        <v>0</v>
      </c>
      <c r="AL164" s="840">
        <f>HLOOKUP(LEFT(Summary!$D$3,2),$F$155:$AJ$167,10,FALSE)</f>
        <v>0</v>
      </c>
      <c r="AO164" s="65"/>
      <c r="AP164" s="65"/>
      <c r="AQ164" s="65">
        <f>'Quality ROM'!V$38</f>
        <v>0</v>
      </c>
      <c r="AR164" s="65"/>
    </row>
    <row r="165" spans="1:44" ht="16.5" customHeight="1">
      <c r="B165" s="1070"/>
      <c r="C165" s="1340" t="s">
        <v>242</v>
      </c>
      <c r="D165" s="1340"/>
      <c r="E165" s="1340"/>
      <c r="F165" s="1179">
        <f t="shared" ref="F165:AJ165" si="99">+SUM(F51,F55,F59,F63,F67,F71,F75,F79,F83,F87,F91,F95)</f>
        <v>0</v>
      </c>
      <c r="G165" s="1179">
        <f t="shared" si="99"/>
        <v>0</v>
      </c>
      <c r="H165" s="1179">
        <f t="shared" si="99"/>
        <v>0</v>
      </c>
      <c r="I165" s="1179">
        <f t="shared" si="99"/>
        <v>0</v>
      </c>
      <c r="J165" s="1179">
        <f t="shared" si="99"/>
        <v>1312.8979999999999</v>
      </c>
      <c r="K165" s="1179">
        <f t="shared" si="99"/>
        <v>0</v>
      </c>
      <c r="L165" s="1179">
        <f t="shared" si="99"/>
        <v>0</v>
      </c>
      <c r="M165" s="1179">
        <f t="shared" si="99"/>
        <v>0</v>
      </c>
      <c r="N165" s="1179">
        <f t="shared" si="99"/>
        <v>0</v>
      </c>
      <c r="O165" s="1179">
        <f t="shared" si="99"/>
        <v>0</v>
      </c>
      <c r="P165" s="1179">
        <f t="shared" si="99"/>
        <v>0</v>
      </c>
      <c r="Q165" s="1179">
        <f t="shared" si="99"/>
        <v>0</v>
      </c>
      <c r="R165" s="1179">
        <f t="shared" si="99"/>
        <v>0</v>
      </c>
      <c r="S165" s="1179">
        <f t="shared" si="99"/>
        <v>0</v>
      </c>
      <c r="T165" s="1179">
        <f t="shared" si="99"/>
        <v>0</v>
      </c>
      <c r="U165" s="1179">
        <f t="shared" si="99"/>
        <v>0</v>
      </c>
      <c r="V165" s="1179">
        <f t="shared" si="99"/>
        <v>0</v>
      </c>
      <c r="W165" s="1179">
        <f t="shared" si="99"/>
        <v>0</v>
      </c>
      <c r="X165" s="1179">
        <f t="shared" si="99"/>
        <v>0</v>
      </c>
      <c r="Y165" s="1187">
        <f t="shared" si="99"/>
        <v>0</v>
      </c>
      <c r="Z165" s="1179">
        <f t="shared" si="99"/>
        <v>0</v>
      </c>
      <c r="AA165" s="1179">
        <f t="shared" si="99"/>
        <v>0</v>
      </c>
      <c r="AB165" s="1179">
        <f t="shared" si="99"/>
        <v>0</v>
      </c>
      <c r="AC165" s="1179">
        <f t="shared" si="99"/>
        <v>0</v>
      </c>
      <c r="AD165" s="1179">
        <f t="shared" si="99"/>
        <v>0</v>
      </c>
      <c r="AE165" s="1179">
        <f t="shared" si="99"/>
        <v>0</v>
      </c>
      <c r="AF165" s="1179">
        <f t="shared" si="99"/>
        <v>0</v>
      </c>
      <c r="AG165" s="1179">
        <f t="shared" si="99"/>
        <v>0</v>
      </c>
      <c r="AH165" s="1179">
        <f t="shared" si="99"/>
        <v>0</v>
      </c>
      <c r="AI165" s="1179">
        <f t="shared" si="99"/>
        <v>0</v>
      </c>
      <c r="AJ165" s="1179">
        <f t="shared" si="99"/>
        <v>0</v>
      </c>
      <c r="AK165" s="1188">
        <f>SUM(F165:AJ165)</f>
        <v>1312.8979999999999</v>
      </c>
      <c r="AL165" s="840">
        <f>HLOOKUP(LEFT(Summary!$D$3,2),$F$155:$AJ$167,7,FALSE)</f>
        <v>0</v>
      </c>
      <c r="AO165" s="65"/>
      <c r="AP165" s="65"/>
      <c r="AQ165" s="65">
        <f>'Quality ROM'!V$38</f>
        <v>0</v>
      </c>
      <c r="AR165" s="65"/>
    </row>
    <row r="166" spans="1:44">
      <c r="B166" s="1070"/>
      <c r="C166" s="1340" t="s">
        <v>243</v>
      </c>
      <c r="D166" s="1340"/>
      <c r="E166" s="1340"/>
      <c r="F166" s="1180">
        <f t="shared" ref="F166:AJ166" si="100">+SUM(F52,F56,F60,F64,F68,F72,F76,F80,F84,F88,F92,F96)</f>
        <v>0</v>
      </c>
      <c r="G166" s="1180">
        <f t="shared" si="100"/>
        <v>0</v>
      </c>
      <c r="H166" s="1180">
        <f t="shared" si="100"/>
        <v>0</v>
      </c>
      <c r="I166" s="1180">
        <f t="shared" si="100"/>
        <v>0</v>
      </c>
      <c r="J166" s="1180">
        <f t="shared" si="100"/>
        <v>0</v>
      </c>
      <c r="K166" s="1180">
        <f t="shared" si="100"/>
        <v>0</v>
      </c>
      <c r="L166" s="1180">
        <f t="shared" si="100"/>
        <v>0</v>
      </c>
      <c r="M166" s="1180">
        <f t="shared" si="100"/>
        <v>0</v>
      </c>
      <c r="N166" s="1180">
        <f t="shared" si="100"/>
        <v>0</v>
      </c>
      <c r="O166" s="1180">
        <f t="shared" si="100"/>
        <v>0</v>
      </c>
      <c r="P166" s="1180">
        <f t="shared" si="100"/>
        <v>0</v>
      </c>
      <c r="Q166" s="1180">
        <f t="shared" si="100"/>
        <v>0</v>
      </c>
      <c r="R166" s="1180">
        <f t="shared" si="100"/>
        <v>0</v>
      </c>
      <c r="S166" s="1180">
        <f t="shared" si="100"/>
        <v>0</v>
      </c>
      <c r="T166" s="1180">
        <f t="shared" si="100"/>
        <v>0</v>
      </c>
      <c r="U166" s="1180">
        <f t="shared" si="100"/>
        <v>0</v>
      </c>
      <c r="V166" s="1180">
        <f t="shared" si="100"/>
        <v>0</v>
      </c>
      <c r="W166" s="1180">
        <f t="shared" si="100"/>
        <v>0</v>
      </c>
      <c r="X166" s="1180">
        <f t="shared" si="100"/>
        <v>0</v>
      </c>
      <c r="Y166" s="1179">
        <f t="shared" si="100"/>
        <v>0</v>
      </c>
      <c r="Z166" s="1179">
        <f t="shared" si="100"/>
        <v>0</v>
      </c>
      <c r="AA166" s="1180">
        <f t="shared" si="100"/>
        <v>0</v>
      </c>
      <c r="AB166" s="1180">
        <f t="shared" si="100"/>
        <v>0</v>
      </c>
      <c r="AC166" s="1179">
        <f t="shared" si="100"/>
        <v>0</v>
      </c>
      <c r="AD166" s="1179">
        <f t="shared" si="100"/>
        <v>0</v>
      </c>
      <c r="AE166" s="1179">
        <f t="shared" si="100"/>
        <v>0</v>
      </c>
      <c r="AF166" s="1179">
        <f t="shared" si="100"/>
        <v>0</v>
      </c>
      <c r="AG166" s="1179">
        <f t="shared" si="100"/>
        <v>0</v>
      </c>
      <c r="AH166" s="1180">
        <f t="shared" si="100"/>
        <v>0</v>
      </c>
      <c r="AI166" s="1180">
        <f t="shared" si="100"/>
        <v>0</v>
      </c>
      <c r="AJ166" s="1180">
        <f t="shared" si="100"/>
        <v>0</v>
      </c>
      <c r="AK166" s="1181">
        <f>SUM(F166:AJ166)</f>
        <v>0</v>
      </c>
      <c r="AL166" s="840">
        <f>HLOOKUP(LEFT(Summary!$D$3,2),$F$155:$AJ$167,12,FALSE)</f>
        <v>0</v>
      </c>
      <c r="AO166" s="65"/>
      <c r="AP166" s="65"/>
      <c r="AQ166" s="65">
        <f>'Quality ROM'!V$38</f>
        <v>0</v>
      </c>
      <c r="AR166" s="65"/>
    </row>
    <row r="167" spans="1:44">
      <c r="A167" s="65"/>
      <c r="B167" s="1071">
        <v>100213.096468</v>
      </c>
      <c r="C167" s="1340" t="s">
        <v>244</v>
      </c>
      <c r="D167" s="1340"/>
      <c r="E167" s="1340"/>
      <c r="F167" s="1182">
        <f>B167+F165-F161</f>
        <v>100213.096468</v>
      </c>
      <c r="G167" s="1183">
        <f t="shared" ref="G167:L167" si="101">F167+G165-G161</f>
        <v>100213.096468</v>
      </c>
      <c r="H167" s="1183">
        <f t="shared" si="101"/>
        <v>100213.096468</v>
      </c>
      <c r="I167" s="1183">
        <f t="shared" si="101"/>
        <v>100213.096468</v>
      </c>
      <c r="J167" s="1189">
        <f t="shared" si="101"/>
        <v>101525.994468</v>
      </c>
      <c r="K167" s="1183">
        <f t="shared" si="101"/>
        <v>101525.994468</v>
      </c>
      <c r="L167" s="1183">
        <f t="shared" si="101"/>
        <v>101525.994468</v>
      </c>
      <c r="M167" s="1183">
        <f t="shared" ref="M167:AJ167" si="102">L167+M165-M161+M170</f>
        <v>101525.994468</v>
      </c>
      <c r="N167" s="1183">
        <f t="shared" si="102"/>
        <v>101525.994468</v>
      </c>
      <c r="O167" s="1183">
        <f t="shared" si="102"/>
        <v>101525.994468</v>
      </c>
      <c r="P167" s="1183">
        <f>O167+P165-P161+P170</f>
        <v>101525.994468</v>
      </c>
      <c r="Q167" s="1183">
        <f t="shared" si="102"/>
        <v>101525.994468</v>
      </c>
      <c r="R167" s="1183">
        <f t="shared" si="102"/>
        <v>101525.994468</v>
      </c>
      <c r="S167" s="1183">
        <f t="shared" si="102"/>
        <v>101525.994468</v>
      </c>
      <c r="T167" s="1183">
        <f t="shared" si="102"/>
        <v>101525.994468</v>
      </c>
      <c r="U167" s="1183">
        <f>T167+U165-U161+U170</f>
        <v>101525.994468</v>
      </c>
      <c r="V167" s="1183">
        <f>U167+V165-V161+V170</f>
        <v>101525.994468</v>
      </c>
      <c r="W167" s="1183">
        <f>V167+W165-W161+W170</f>
        <v>101525.994468</v>
      </c>
      <c r="X167" s="1183">
        <f>W167+X165-X161+X170</f>
        <v>101525.994468</v>
      </c>
      <c r="Y167" s="1183">
        <f t="shared" si="102"/>
        <v>101525.994468</v>
      </c>
      <c r="Z167" s="1183">
        <f t="shared" si="102"/>
        <v>101525.994468</v>
      </c>
      <c r="AA167" s="1183">
        <f t="shared" si="102"/>
        <v>101525.994468</v>
      </c>
      <c r="AB167" s="1183">
        <f t="shared" si="102"/>
        <v>101525.994468</v>
      </c>
      <c r="AC167" s="1183">
        <f t="shared" si="102"/>
        <v>101525.994468</v>
      </c>
      <c r="AD167" s="1183">
        <f t="shared" si="102"/>
        <v>101525.994468</v>
      </c>
      <c r="AE167" s="1183">
        <f t="shared" si="102"/>
        <v>101525.994468</v>
      </c>
      <c r="AF167" s="1183">
        <f t="shared" si="102"/>
        <v>101525.994468</v>
      </c>
      <c r="AG167" s="1183">
        <f t="shared" si="102"/>
        <v>101525.994468</v>
      </c>
      <c r="AH167" s="1183">
        <f t="shared" si="102"/>
        <v>101525.994468</v>
      </c>
      <c r="AI167" s="1183">
        <f t="shared" si="102"/>
        <v>101525.994468</v>
      </c>
      <c r="AJ167" s="1183">
        <f t="shared" si="102"/>
        <v>101525.994468</v>
      </c>
      <c r="AK167" s="1181">
        <f>HLOOKUP(LEFT(Summary!$D$3,2),$F$155:$AJ$167,13,FALSE)</f>
        <v>101525.994468</v>
      </c>
      <c r="AL167" s="840">
        <f>HLOOKUP(LEFT(Summary!$D$3,2),$F$155:$AJ$167,13,FALSE)</f>
        <v>101525.994468</v>
      </c>
      <c r="AM167" s="65">
        <f>AJ167/1000</f>
        <v>101.52599446800001</v>
      </c>
      <c r="AO167" s="65"/>
      <c r="AP167" s="65"/>
      <c r="AQ167" s="65">
        <f>'Quality ROM'!V$38</f>
        <v>0</v>
      </c>
      <c r="AR167" s="65"/>
    </row>
    <row r="168" spans="1:44" ht="14.65" customHeight="1">
      <c r="B168" s="1071">
        <v>56651.176224000003</v>
      </c>
      <c r="C168" s="1340" t="s">
        <v>245</v>
      </c>
      <c r="D168" s="1340"/>
      <c r="E168" s="1340"/>
      <c r="F168" s="1197">
        <f>B168+F166-F169</f>
        <v>56651.176224000003</v>
      </c>
      <c r="G168" s="1198">
        <f t="shared" ref="G168:L168" si="103">F168+G166-G169</f>
        <v>56651.176224000003</v>
      </c>
      <c r="H168" s="1198">
        <f t="shared" si="103"/>
        <v>56651.176224000003</v>
      </c>
      <c r="I168" s="1198">
        <f t="shared" si="103"/>
        <v>56651.176224000003</v>
      </c>
      <c r="J168" s="1199">
        <f t="shared" si="103"/>
        <v>56651.176224000003</v>
      </c>
      <c r="K168" s="1198">
        <f t="shared" si="103"/>
        <v>56651.176224000003</v>
      </c>
      <c r="L168" s="1198">
        <f t="shared" si="103"/>
        <v>56651.176224000003</v>
      </c>
      <c r="M168" s="1198">
        <f>L168+M166-M169-M170</f>
        <v>56651.176224000003</v>
      </c>
      <c r="N168" s="1198">
        <f t="shared" ref="N168:AJ168" si="104">M168+N166-N169-N170</f>
        <v>56651.176224000003</v>
      </c>
      <c r="O168" s="1198">
        <f t="shared" si="104"/>
        <v>56651.176224000003</v>
      </c>
      <c r="P168" s="1198">
        <f t="shared" si="104"/>
        <v>56651.176224000003</v>
      </c>
      <c r="Q168" s="1198">
        <f t="shared" si="104"/>
        <v>56651.176224000003</v>
      </c>
      <c r="R168" s="1198">
        <f t="shared" si="104"/>
        <v>56651.176224000003</v>
      </c>
      <c r="S168" s="1198">
        <f t="shared" si="104"/>
        <v>56651.176224000003</v>
      </c>
      <c r="T168" s="1198">
        <f t="shared" si="104"/>
        <v>56651.176224000003</v>
      </c>
      <c r="U168" s="1198">
        <f t="shared" si="104"/>
        <v>56651.176224000003</v>
      </c>
      <c r="V168" s="1198">
        <f>U168+V166-V169-V170</f>
        <v>56651.176224000003</v>
      </c>
      <c r="W168" s="1198">
        <f>V168+W166-W169-W170</f>
        <v>56651.176224000003</v>
      </c>
      <c r="X168" s="1198">
        <f>W168+X166-X169-X170</f>
        <v>56651.176224000003</v>
      </c>
      <c r="Y168" s="1198">
        <f>X168+Y166-Y169-Y170</f>
        <v>56651.176224000003</v>
      </c>
      <c r="Z168" s="1198">
        <f t="shared" si="104"/>
        <v>56651.176224000003</v>
      </c>
      <c r="AA168" s="1198">
        <f t="shared" si="104"/>
        <v>56651.176224000003</v>
      </c>
      <c r="AB168" s="1198">
        <f t="shared" si="104"/>
        <v>56651.176224000003</v>
      </c>
      <c r="AC168" s="1198">
        <f t="shared" si="104"/>
        <v>56651.176224000003</v>
      </c>
      <c r="AD168" s="1198">
        <f t="shared" si="104"/>
        <v>56651.176224000003</v>
      </c>
      <c r="AE168" s="1198">
        <f t="shared" si="104"/>
        <v>56651.176224000003</v>
      </c>
      <c r="AF168" s="1198">
        <f t="shared" si="104"/>
        <v>56651.176224000003</v>
      </c>
      <c r="AG168" s="1198">
        <f t="shared" si="104"/>
        <v>56651.176224000003</v>
      </c>
      <c r="AH168" s="1198">
        <f t="shared" si="104"/>
        <v>56651.176224000003</v>
      </c>
      <c r="AI168" s="1198">
        <f t="shared" si="104"/>
        <v>56651.176224000003</v>
      </c>
      <c r="AJ168" s="1198">
        <f t="shared" si="104"/>
        <v>56651.176224000003</v>
      </c>
      <c r="AK168" s="1181">
        <f>HLOOKUP(LEFT(Summary!$D$3,2),$F$155:$AJ$168,14,FALSE)</f>
        <v>56651.176224000003</v>
      </c>
      <c r="AL168" s="840">
        <f>HLOOKUP(LEFT(Summary!$D$3,2),$F$155:$AJ$169,14,FALSE)</f>
        <v>56651.176224000003</v>
      </c>
      <c r="AM168" s="65">
        <f>AJ168/1000</f>
        <v>56.651176224000004</v>
      </c>
      <c r="AO168" s="65"/>
      <c r="AP168" s="65"/>
      <c r="AQ168" s="65">
        <f>'Quality ROM'!V$38</f>
        <v>0</v>
      </c>
      <c r="AR168" s="65"/>
    </row>
    <row r="169" spans="1:44">
      <c r="C169" s="1340" t="s">
        <v>246</v>
      </c>
      <c r="D169" s="1340"/>
      <c r="E169" s="1340"/>
      <c r="F169" s="966">
        <f>'Quality ROM'!$U38</f>
        <v>0</v>
      </c>
      <c r="G169" s="966">
        <f>'Quality ROM'!$U39</f>
        <v>0</v>
      </c>
      <c r="H169" s="966">
        <f>'Quality ROM'!$U40</f>
        <v>0</v>
      </c>
      <c r="I169" s="966">
        <f>'Quality ROM'!$U41</f>
        <v>0</v>
      </c>
      <c r="J169" s="966">
        <f>'Quality ROM'!$U42</f>
        <v>0</v>
      </c>
      <c r="K169" s="966">
        <f>'Quality ROM'!$U43</f>
        <v>0</v>
      </c>
      <c r="L169" s="966">
        <f>'Quality ROM'!$U44</f>
        <v>0</v>
      </c>
      <c r="M169" s="966">
        <f>'Quality ROM'!$U45</f>
        <v>0</v>
      </c>
      <c r="N169" s="966">
        <f>'Quality ROM'!$U46</f>
        <v>0</v>
      </c>
      <c r="O169" s="966">
        <f>'Quality ROM'!$U47</f>
        <v>0</v>
      </c>
      <c r="P169" s="966">
        <f>'Quality ROM'!$U48</f>
        <v>0</v>
      </c>
      <c r="Q169" s="966">
        <f>'Quality ROM'!$U49</f>
        <v>0</v>
      </c>
      <c r="R169" s="966">
        <f>'Quality ROM'!$U50</f>
        <v>0</v>
      </c>
      <c r="S169" s="966">
        <f>'Quality ROM'!$U51</f>
        <v>0</v>
      </c>
      <c r="T169" s="966">
        <f>'Quality ROM'!$U52</f>
        <v>0</v>
      </c>
      <c r="U169" s="966">
        <f>'Quality ROM'!$U53</f>
        <v>0</v>
      </c>
      <c r="V169" s="966">
        <f>'Quality ROM'!$U54</f>
        <v>0</v>
      </c>
      <c r="W169" s="966">
        <f>'Quality ROM'!$U55</f>
        <v>0</v>
      </c>
      <c r="X169" s="966">
        <f>'Quality ROM'!$U56</f>
        <v>0</v>
      </c>
      <c r="Y169" s="966">
        <f>'Quality ROM'!$U57</f>
        <v>0</v>
      </c>
      <c r="Z169" s="966">
        <f>'Quality ROM'!$U58</f>
        <v>0</v>
      </c>
      <c r="AA169" s="966">
        <f>'Quality ROM'!$U59</f>
        <v>0</v>
      </c>
      <c r="AB169" s="966">
        <f>'Quality ROM'!$U60</f>
        <v>0</v>
      </c>
      <c r="AC169" s="966">
        <f>'Quality ROM'!$U61</f>
        <v>0</v>
      </c>
      <c r="AD169" s="966">
        <f>'Quality ROM'!$U62</f>
        <v>0</v>
      </c>
      <c r="AE169" s="966">
        <f>'Quality ROM'!$U63</f>
        <v>0</v>
      </c>
      <c r="AF169" s="966">
        <f>'Quality ROM'!$U64</f>
        <v>0</v>
      </c>
      <c r="AG169" s="966">
        <f>'Quality ROM'!$U65</f>
        <v>0</v>
      </c>
      <c r="AH169" s="966">
        <f>'Quality ROM'!$U66</f>
        <v>0</v>
      </c>
      <c r="AI169" s="966">
        <f>'Quality ROM'!$U67</f>
        <v>0</v>
      </c>
      <c r="AJ169" s="966">
        <f>'Quality ROM'!$U68</f>
        <v>0</v>
      </c>
      <c r="AK169" s="1184">
        <f>SUM(F169:AJ169)</f>
        <v>0</v>
      </c>
      <c r="AL169" s="936">
        <f>HLOOKUP(LEFT(Summary!$D$3,2),$F$155:$AJ$169,15,FALSE)</f>
        <v>0</v>
      </c>
      <c r="AM169" s="65"/>
      <c r="AO169" s="65"/>
      <c r="AP169" s="65">
        <f>AK161+AK169</f>
        <v>0</v>
      </c>
      <c r="AQ169" s="65">
        <f>'Quality ROM'!V$38</f>
        <v>0</v>
      </c>
      <c r="AR169" s="65"/>
    </row>
    <row r="170" spans="1:44">
      <c r="C170" s="1340" t="s">
        <v>247</v>
      </c>
      <c r="D170" s="1340"/>
      <c r="E170" s="1340"/>
      <c r="F170" s="966">
        <f>'Quality ROM'!V$38</f>
        <v>0</v>
      </c>
      <c r="G170" s="966">
        <f>'Quality ROM'!V$38</f>
        <v>0</v>
      </c>
      <c r="H170" s="966">
        <f>'Quality ROM'!V$38</f>
        <v>0</v>
      </c>
      <c r="I170" s="966">
        <f>'Quality ROM'!V$38</f>
        <v>0</v>
      </c>
      <c r="J170" s="966">
        <f>'Quality ROM'!V$38</f>
        <v>0</v>
      </c>
      <c r="K170" s="966">
        <f>'Quality ROM'!V$38</f>
        <v>0</v>
      </c>
      <c r="L170" s="966">
        <f>'Quality ROM'!V$38</f>
        <v>0</v>
      </c>
      <c r="M170" s="966">
        <f>'Quality ROM'!V$38</f>
        <v>0</v>
      </c>
      <c r="N170" s="966">
        <f>'Quality ROM'!V$38</f>
        <v>0</v>
      </c>
      <c r="O170" s="966">
        <f>'Quality ROM'!V$38</f>
        <v>0</v>
      </c>
      <c r="P170" s="966">
        <f>'Quality ROM'!V$38</f>
        <v>0</v>
      </c>
      <c r="Q170" s="966">
        <f>'Quality ROM'!V$38</f>
        <v>0</v>
      </c>
      <c r="R170" s="966">
        <f>'Quality ROM'!V$38</f>
        <v>0</v>
      </c>
      <c r="S170" s="966">
        <f>'Quality ROM'!V$38</f>
        <v>0</v>
      </c>
      <c r="T170" s="966">
        <f>'Quality ROM'!V$38</f>
        <v>0</v>
      </c>
      <c r="U170" s="966">
        <f>'Quality ROM'!V$38</f>
        <v>0</v>
      </c>
      <c r="V170" s="966">
        <f>'Quality ROM'!V$38</f>
        <v>0</v>
      </c>
      <c r="W170" s="966">
        <f>'Quality ROM'!V$38</f>
        <v>0</v>
      </c>
      <c r="X170" s="966">
        <f>'Quality ROM'!V$38</f>
        <v>0</v>
      </c>
      <c r="Y170" s="966">
        <f>'Quality ROM'!V$38</f>
        <v>0</v>
      </c>
      <c r="Z170" s="966">
        <f>'Quality ROM'!V$38</f>
        <v>0</v>
      </c>
      <c r="AA170" s="966">
        <f>'Quality ROM'!V$38</f>
        <v>0</v>
      </c>
      <c r="AB170" s="966">
        <f>'Quality ROM'!V$38</f>
        <v>0</v>
      </c>
      <c r="AC170" s="966">
        <f>'Quality ROM'!V$38</f>
        <v>0</v>
      </c>
      <c r="AD170" s="966">
        <f>'Quality ROM'!V$38</f>
        <v>0</v>
      </c>
      <c r="AE170" s="966">
        <f>'Quality ROM'!V$38</f>
        <v>0</v>
      </c>
      <c r="AF170" s="966">
        <f>'Quality ROM'!V$38</f>
        <v>0</v>
      </c>
      <c r="AG170" s="966">
        <f>'Quality ROM'!V$38</f>
        <v>0</v>
      </c>
      <c r="AH170" s="966">
        <f>'Quality ROM'!V$38</f>
        <v>0</v>
      </c>
      <c r="AI170" s="966">
        <f>'Quality ROM'!V$38</f>
        <v>0</v>
      </c>
      <c r="AJ170" s="966">
        <f>'Quality ROM'!V$38</f>
        <v>0</v>
      </c>
      <c r="AK170" s="1184">
        <f>SUM(F170:AJ170)</f>
        <v>0</v>
      </c>
      <c r="AL170" s="936"/>
      <c r="AM170" s="65">
        <f>AK169/1000</f>
        <v>0</v>
      </c>
      <c r="AO170" s="65"/>
      <c r="AP170" s="65"/>
      <c r="AQ170" s="65">
        <f>'Quality ROM'!V$38</f>
        <v>0</v>
      </c>
      <c r="AR170" s="65"/>
    </row>
    <row r="171" spans="1:44">
      <c r="B171" s="1072"/>
      <c r="E171" s="41"/>
      <c r="F171" s="101" t="s">
        <v>0</v>
      </c>
      <c r="G171" s="101">
        <f>G163+H159-H162</f>
        <v>53492.115105999997</v>
      </c>
      <c r="H171" s="41"/>
      <c r="I171" s="41"/>
      <c r="J171" s="175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65"/>
      <c r="Y171" s="41"/>
      <c r="Z171" s="41"/>
      <c r="AA171" s="41"/>
      <c r="AB171" s="41"/>
      <c r="AO171" s="65"/>
      <c r="AP171" s="65"/>
      <c r="AQ171" s="65">
        <f>'Quality ROM'!V$38</f>
        <v>0</v>
      </c>
      <c r="AR171" s="65"/>
    </row>
    <row r="172" spans="1:44" ht="17.45">
      <c r="A172" s="65"/>
      <c r="B172" s="65"/>
      <c r="C172" s="164" t="str">
        <f>"4.Rainfall Actual "&amp;MID(C2,13,20)</f>
        <v>4.Rainfall Actual Sep'26</v>
      </c>
      <c r="D172" s="164"/>
      <c r="G172" s="65"/>
      <c r="M172" s="29"/>
      <c r="N172" s="29"/>
      <c r="O172" s="37"/>
      <c r="V172" s="65"/>
      <c r="X172" s="65"/>
      <c r="AC172" s="65"/>
      <c r="AD172" s="65"/>
      <c r="AO172" s="65"/>
      <c r="AP172" s="65"/>
      <c r="AQ172" s="65">
        <f>'Quality ROM'!V$38</f>
        <v>0</v>
      </c>
      <c r="AR172" s="65"/>
    </row>
    <row r="173" spans="1:44">
      <c r="C173" s="1328" t="s">
        <v>248</v>
      </c>
      <c r="D173" s="1328"/>
      <c r="E173" s="1328"/>
      <c r="F173" s="519" t="s">
        <v>157</v>
      </c>
      <c r="G173" s="519" t="s">
        <v>158</v>
      </c>
      <c r="H173" s="519" t="s">
        <v>159</v>
      </c>
      <c r="I173" s="519" t="s">
        <v>160</v>
      </c>
      <c r="J173" s="519" t="s">
        <v>161</v>
      </c>
      <c r="K173" s="519" t="s">
        <v>162</v>
      </c>
      <c r="L173" s="519" t="s">
        <v>163</v>
      </c>
      <c r="M173" s="519" t="s">
        <v>164</v>
      </c>
      <c r="N173" s="519" t="s">
        <v>165</v>
      </c>
      <c r="O173" s="519" t="s">
        <v>166</v>
      </c>
      <c r="P173" s="519" t="s">
        <v>167</v>
      </c>
      <c r="Q173" s="519" t="s">
        <v>168</v>
      </c>
      <c r="R173" s="519" t="s">
        <v>169</v>
      </c>
      <c r="S173" s="519" t="s">
        <v>170</v>
      </c>
      <c r="T173" s="519" t="s">
        <v>171</v>
      </c>
      <c r="U173" s="519" t="s">
        <v>172</v>
      </c>
      <c r="V173" s="519" t="s">
        <v>173</v>
      </c>
      <c r="W173" s="519" t="s">
        <v>174</v>
      </c>
      <c r="X173" s="519" t="s">
        <v>175</v>
      </c>
      <c r="Y173" s="519" t="s">
        <v>176</v>
      </c>
      <c r="Z173" s="519" t="s">
        <v>177</v>
      </c>
      <c r="AA173" s="519" t="s">
        <v>178</v>
      </c>
      <c r="AB173" s="519" t="s">
        <v>179</v>
      </c>
      <c r="AC173" s="519" t="s">
        <v>180</v>
      </c>
      <c r="AD173" s="519" t="s">
        <v>181</v>
      </c>
      <c r="AE173" s="519" t="s">
        <v>182</v>
      </c>
      <c r="AF173" s="519" t="s">
        <v>183</v>
      </c>
      <c r="AG173" s="519" t="s">
        <v>184</v>
      </c>
      <c r="AH173" s="519" t="s">
        <v>185</v>
      </c>
      <c r="AI173" s="519" t="s">
        <v>186</v>
      </c>
      <c r="AJ173" s="519" t="s">
        <v>187</v>
      </c>
      <c r="AK173" s="627" t="s">
        <v>249</v>
      </c>
      <c r="AO173" s="65"/>
      <c r="AP173" s="65"/>
      <c r="AQ173" s="65">
        <f>'Quality ROM'!V$38</f>
        <v>0</v>
      </c>
      <c r="AR173" s="65"/>
    </row>
    <row r="174" spans="1:44" ht="15" hidden="1" customHeight="1">
      <c r="C174" s="1083" t="s">
        <v>250</v>
      </c>
      <c r="D174" s="1083"/>
      <c r="E174" s="1079"/>
      <c r="F174" s="635">
        <v>0</v>
      </c>
      <c r="G174" s="63">
        <v>0</v>
      </c>
      <c r="H174" s="63">
        <v>0</v>
      </c>
      <c r="I174" s="63">
        <v>0</v>
      </c>
      <c r="J174" s="63">
        <v>0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0</v>
      </c>
      <c r="Q174" s="63">
        <v>0</v>
      </c>
      <c r="R174" s="63">
        <v>0</v>
      </c>
      <c r="S174" s="63">
        <v>0</v>
      </c>
      <c r="T174" s="63">
        <v>0</v>
      </c>
      <c r="U174" s="63">
        <v>0</v>
      </c>
      <c r="V174" s="63">
        <v>0</v>
      </c>
      <c r="W174" s="63">
        <v>0</v>
      </c>
      <c r="X174" s="63">
        <v>0</v>
      </c>
      <c r="Y174" s="63">
        <v>0</v>
      </c>
      <c r="Z174" s="63">
        <v>0</v>
      </c>
      <c r="AA174" s="63">
        <v>0</v>
      </c>
      <c r="AB174" s="63">
        <v>0</v>
      </c>
      <c r="AC174" s="63">
        <v>0</v>
      </c>
      <c r="AD174" s="63">
        <v>0</v>
      </c>
      <c r="AE174" s="63">
        <v>0</v>
      </c>
      <c r="AF174" s="63">
        <v>0</v>
      </c>
      <c r="AG174" s="63">
        <v>0</v>
      </c>
      <c r="AH174" s="63">
        <v>0</v>
      </c>
      <c r="AI174" s="63">
        <v>0</v>
      </c>
      <c r="AJ174" s="63">
        <v>0</v>
      </c>
      <c r="AK174" s="91">
        <f>SUM(F174:AJ174)</f>
        <v>0</v>
      </c>
      <c r="AO174" s="65"/>
      <c r="AP174" s="65"/>
      <c r="AQ174" s="65">
        <f>'Quality ROM'!V$38</f>
        <v>0</v>
      </c>
      <c r="AR174" s="65"/>
    </row>
    <row r="175" spans="1:44">
      <c r="B175" s="65"/>
      <c r="C175" s="1298" t="s">
        <v>211</v>
      </c>
      <c r="D175" s="1298"/>
      <c r="E175" s="1298"/>
      <c r="F175" s="402"/>
      <c r="G175" s="402"/>
      <c r="H175" s="402"/>
      <c r="I175" s="402"/>
      <c r="J175" s="402"/>
      <c r="K175" s="402"/>
      <c r="L175" s="402"/>
      <c r="M175" s="402"/>
      <c r="N175" s="402"/>
      <c r="O175" s="402"/>
      <c r="P175" s="402"/>
      <c r="Q175" s="402"/>
      <c r="R175" s="402"/>
      <c r="S175" s="402"/>
      <c r="T175" s="402"/>
      <c r="U175" s="402"/>
      <c r="V175" s="402"/>
      <c r="W175" s="402"/>
      <c r="X175" s="402"/>
      <c r="Y175" s="402"/>
      <c r="Z175" s="402"/>
      <c r="AA175" s="402"/>
      <c r="AB175" s="402"/>
      <c r="AC175" s="402"/>
      <c r="AD175" s="402"/>
      <c r="AE175" s="402"/>
      <c r="AF175" s="402"/>
      <c r="AG175" s="402"/>
      <c r="AH175" s="402"/>
      <c r="AI175" s="402"/>
      <c r="AJ175" s="402"/>
      <c r="AK175" s="91">
        <f>SUM(F175:AJ175)</f>
        <v>0</v>
      </c>
      <c r="AO175" s="65"/>
      <c r="AP175" s="65"/>
      <c r="AQ175" s="65">
        <f>'Quality ROM'!V$38</f>
        <v>0</v>
      </c>
      <c r="AR175" s="65"/>
    </row>
    <row r="176" spans="1:44">
      <c r="B176" s="65"/>
      <c r="C176" s="1298" t="s">
        <v>251</v>
      </c>
      <c r="D176" s="1298"/>
      <c r="E176" s="1298"/>
      <c r="F176" s="402"/>
      <c r="G176" s="402"/>
      <c r="H176" s="402"/>
      <c r="I176" s="402"/>
      <c r="J176" s="402"/>
      <c r="K176" s="402"/>
      <c r="L176" s="402"/>
      <c r="M176" s="402"/>
      <c r="N176" s="402"/>
      <c r="O176" s="402"/>
      <c r="P176" s="402"/>
      <c r="Q176" s="402"/>
      <c r="R176" s="402"/>
      <c r="S176" s="402"/>
      <c r="T176" s="402"/>
      <c r="U176" s="402"/>
      <c r="V176" s="402"/>
      <c r="W176" s="402"/>
      <c r="X176" s="402"/>
      <c r="Y176" s="402"/>
      <c r="Z176" s="402"/>
      <c r="AA176" s="402"/>
      <c r="AB176" s="402"/>
      <c r="AC176" s="402"/>
      <c r="AD176" s="402"/>
      <c r="AE176" s="402"/>
      <c r="AF176" s="402"/>
      <c r="AG176" s="402"/>
      <c r="AH176" s="402"/>
      <c r="AI176" s="402"/>
      <c r="AJ176" s="402"/>
      <c r="AK176" s="636">
        <f>SUM(F176:AJ176)</f>
        <v>0</v>
      </c>
      <c r="AO176" s="65"/>
      <c r="AP176" s="65"/>
      <c r="AQ176" s="65">
        <f>'Quality ROM'!V$38</f>
        <v>0</v>
      </c>
      <c r="AR176" s="65"/>
    </row>
    <row r="177" spans="1:44">
      <c r="A177" s="65"/>
      <c r="B177" s="65"/>
      <c r="C177" s="1299" t="s">
        <v>252</v>
      </c>
      <c r="D177" s="1299"/>
      <c r="E177" s="1299"/>
      <c r="F177" s="252">
        <f>MAX(F175:F176)</f>
        <v>0</v>
      </c>
      <c r="G177" s="252">
        <f t="shared" ref="G177:AJ177" si="105">MAX(G175:G176)</f>
        <v>0</v>
      </c>
      <c r="H177" s="252">
        <f t="shared" si="105"/>
        <v>0</v>
      </c>
      <c r="I177" s="252">
        <f t="shared" si="105"/>
        <v>0</v>
      </c>
      <c r="J177" s="252">
        <f t="shared" si="105"/>
        <v>0</v>
      </c>
      <c r="K177" s="252">
        <f t="shared" si="105"/>
        <v>0</v>
      </c>
      <c r="L177" s="252">
        <f>MAX(L175:L176)</f>
        <v>0</v>
      </c>
      <c r="M177" s="252">
        <f t="shared" si="105"/>
        <v>0</v>
      </c>
      <c r="N177" s="252">
        <f t="shared" si="105"/>
        <v>0</v>
      </c>
      <c r="O177" s="252">
        <f t="shared" si="105"/>
        <v>0</v>
      </c>
      <c r="P177" s="252">
        <f t="shared" si="105"/>
        <v>0</v>
      </c>
      <c r="Q177" s="252">
        <f t="shared" si="105"/>
        <v>0</v>
      </c>
      <c r="R177" s="252">
        <f t="shared" si="105"/>
        <v>0</v>
      </c>
      <c r="S177" s="252">
        <f>MAX(S175:S176)</f>
        <v>0</v>
      </c>
      <c r="T177" s="252">
        <f t="shared" si="105"/>
        <v>0</v>
      </c>
      <c r="U177" s="252">
        <f t="shared" si="105"/>
        <v>0</v>
      </c>
      <c r="V177" s="252">
        <f t="shared" si="105"/>
        <v>0</v>
      </c>
      <c r="W177" s="252">
        <f t="shared" si="105"/>
        <v>0</v>
      </c>
      <c r="X177" s="252">
        <f t="shared" si="105"/>
        <v>0</v>
      </c>
      <c r="Y177" s="252">
        <f t="shared" si="105"/>
        <v>0</v>
      </c>
      <c r="Z177" s="252">
        <f t="shared" si="105"/>
        <v>0</v>
      </c>
      <c r="AA177" s="252">
        <f t="shared" si="105"/>
        <v>0</v>
      </c>
      <c r="AB177" s="252">
        <f t="shared" si="105"/>
        <v>0</v>
      </c>
      <c r="AC177" s="252">
        <f t="shared" si="105"/>
        <v>0</v>
      </c>
      <c r="AD177" s="252">
        <f t="shared" si="105"/>
        <v>0</v>
      </c>
      <c r="AE177" s="252">
        <f t="shared" si="105"/>
        <v>0</v>
      </c>
      <c r="AF177" s="252">
        <f t="shared" si="105"/>
        <v>0</v>
      </c>
      <c r="AG177" s="252">
        <f t="shared" si="105"/>
        <v>0</v>
      </c>
      <c r="AH177" s="252">
        <f t="shared" si="105"/>
        <v>0</v>
      </c>
      <c r="AI177" s="252">
        <f t="shared" si="105"/>
        <v>0</v>
      </c>
      <c r="AJ177" s="252">
        <f t="shared" si="105"/>
        <v>0</v>
      </c>
      <c r="AK177" s="637">
        <f>SUM(F177:AJ177)</f>
        <v>0</v>
      </c>
      <c r="AL177" s="101">
        <f>SUM(F177:AJ177)</f>
        <v>0</v>
      </c>
      <c r="AO177" s="65"/>
      <c r="AP177" s="65"/>
      <c r="AQ177" s="65">
        <f>'Quality ROM'!V$38</f>
        <v>0</v>
      </c>
      <c r="AR177" s="65"/>
    </row>
    <row r="178" spans="1:44">
      <c r="A178" s="65"/>
      <c r="H178" s="50"/>
      <c r="L178" s="65"/>
      <c r="X178" s="41"/>
      <c r="AK178" s="1065">
        <f>HLOOKUP(LEFT(Summary!D3,2),Actual!F173:AJ177,5,FALSE)</f>
        <v>0</v>
      </c>
      <c r="AL178" s="74" t="s">
        <v>0</v>
      </c>
      <c r="AP178" s="65"/>
      <c r="AQ178" s="65">
        <f>'Quality ROM'!V$38</f>
        <v>0</v>
      </c>
      <c r="AR178" s="65"/>
    </row>
    <row r="179" spans="1:44" ht="17.45">
      <c r="A179" s="65"/>
      <c r="C179" s="164" t="str">
        <f>"5.Rain Duration Actual "&amp;MID(C2,13,20)</f>
        <v>5.Rain Duration Actual Sep'26</v>
      </c>
      <c r="D179" s="164"/>
      <c r="F179" s="65"/>
      <c r="I179" s="65"/>
      <c r="AE179" s="65"/>
      <c r="AF179" s="65"/>
      <c r="AL179" s="74"/>
      <c r="AP179" s="65"/>
      <c r="AQ179" s="65">
        <f>'Quality ROM'!V$38</f>
        <v>0</v>
      </c>
      <c r="AR179" s="65"/>
    </row>
    <row r="180" spans="1:44">
      <c r="A180" s="41"/>
      <c r="C180" s="1328" t="s">
        <v>248</v>
      </c>
      <c r="D180" s="1328"/>
      <c r="E180" s="1328"/>
      <c r="F180" s="519" t="s">
        <v>157</v>
      </c>
      <c r="G180" s="519" t="s">
        <v>158</v>
      </c>
      <c r="H180" s="519" t="s">
        <v>159</v>
      </c>
      <c r="I180" s="519" t="s">
        <v>160</v>
      </c>
      <c r="J180" s="519" t="s">
        <v>161</v>
      </c>
      <c r="K180" s="519" t="s">
        <v>162</v>
      </c>
      <c r="L180" s="519" t="s">
        <v>163</v>
      </c>
      <c r="M180" s="519" t="s">
        <v>164</v>
      </c>
      <c r="N180" s="519" t="s">
        <v>165</v>
      </c>
      <c r="O180" s="519" t="s">
        <v>166</v>
      </c>
      <c r="P180" s="519" t="s">
        <v>167</v>
      </c>
      <c r="Q180" s="519" t="s">
        <v>168</v>
      </c>
      <c r="R180" s="519" t="s">
        <v>169</v>
      </c>
      <c r="S180" s="519" t="s">
        <v>170</v>
      </c>
      <c r="T180" s="519" t="s">
        <v>171</v>
      </c>
      <c r="U180" s="519" t="s">
        <v>172</v>
      </c>
      <c r="V180" s="519" t="s">
        <v>173</v>
      </c>
      <c r="W180" s="519" t="s">
        <v>174</v>
      </c>
      <c r="X180" s="519" t="s">
        <v>175</v>
      </c>
      <c r="Y180" s="519" t="s">
        <v>176</v>
      </c>
      <c r="Z180" s="519" t="s">
        <v>177</v>
      </c>
      <c r="AA180" s="519" t="s">
        <v>178</v>
      </c>
      <c r="AB180" s="519" t="s">
        <v>179</v>
      </c>
      <c r="AC180" s="519" t="s">
        <v>180</v>
      </c>
      <c r="AD180" s="519" t="s">
        <v>181</v>
      </c>
      <c r="AE180" s="519" t="s">
        <v>182</v>
      </c>
      <c r="AF180" s="519" t="s">
        <v>183</v>
      </c>
      <c r="AG180" s="519" t="s">
        <v>184</v>
      </c>
      <c r="AH180" s="519" t="s">
        <v>185</v>
      </c>
      <c r="AI180" s="519" t="s">
        <v>186</v>
      </c>
      <c r="AJ180" s="519" t="s">
        <v>187</v>
      </c>
      <c r="AK180" s="627" t="s">
        <v>249</v>
      </c>
      <c r="AL180" s="74"/>
      <c r="AP180" s="65"/>
      <c r="AQ180" s="65">
        <f>'Quality ROM'!V$38</f>
        <v>0</v>
      </c>
      <c r="AR180" s="65"/>
    </row>
    <row r="181" spans="1:44" ht="14.45" hidden="1" customHeight="1">
      <c r="C181" s="1083" t="s">
        <v>250</v>
      </c>
      <c r="D181" s="1083"/>
      <c r="E181" s="1079"/>
      <c r="F181" s="63">
        <v>0</v>
      </c>
      <c r="G181" s="63">
        <v>0</v>
      </c>
      <c r="H181" s="63">
        <v>0</v>
      </c>
      <c r="I181" s="63">
        <v>0</v>
      </c>
      <c r="J181" s="63">
        <v>0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0</v>
      </c>
      <c r="Q181" s="63">
        <v>0</v>
      </c>
      <c r="R181" s="63">
        <v>0</v>
      </c>
      <c r="S181" s="63">
        <v>0</v>
      </c>
      <c r="T181" s="63">
        <v>0</v>
      </c>
      <c r="U181" s="63">
        <v>0</v>
      </c>
      <c r="V181" s="63">
        <v>0</v>
      </c>
      <c r="W181" s="63">
        <v>0</v>
      </c>
      <c r="X181" s="63">
        <v>0</v>
      </c>
      <c r="Y181" s="63">
        <v>0</v>
      </c>
      <c r="Z181" s="63">
        <v>0</v>
      </c>
      <c r="AA181" s="63">
        <v>0</v>
      </c>
      <c r="AB181" s="63">
        <v>0</v>
      </c>
      <c r="AC181" s="63">
        <v>0</v>
      </c>
      <c r="AD181" s="63">
        <v>0</v>
      </c>
      <c r="AE181" s="63">
        <v>0</v>
      </c>
      <c r="AF181" s="63">
        <v>0</v>
      </c>
      <c r="AG181" s="63">
        <v>0</v>
      </c>
      <c r="AH181" s="63">
        <v>0</v>
      </c>
      <c r="AI181" s="63">
        <v>0</v>
      </c>
      <c r="AJ181" s="63">
        <v>0</v>
      </c>
      <c r="AK181" s="91">
        <f>SUM(F181:AJ181)</f>
        <v>0</v>
      </c>
      <c r="AL181" s="74"/>
      <c r="AP181" s="65"/>
      <c r="AQ181" s="65">
        <f>'Quality ROM'!V$38</f>
        <v>0</v>
      </c>
    </row>
    <row r="182" spans="1:44">
      <c r="A182" s="448"/>
      <c r="C182" s="1298" t="s">
        <v>211</v>
      </c>
      <c r="D182" s="1298"/>
      <c r="E182" s="1298"/>
      <c r="F182" s="789"/>
      <c r="G182" s="789"/>
      <c r="H182" s="789"/>
      <c r="I182" s="789"/>
      <c r="J182" s="789"/>
      <c r="K182" s="789"/>
      <c r="L182" s="789"/>
      <c r="M182" s="789"/>
      <c r="N182" s="789"/>
      <c r="O182" s="789"/>
      <c r="P182" s="789"/>
      <c r="Q182" s="789"/>
      <c r="R182" s="789"/>
      <c r="S182" s="402"/>
      <c r="T182" s="402"/>
      <c r="U182" s="402"/>
      <c r="V182" s="402"/>
      <c r="W182" s="402"/>
      <c r="X182" s="402"/>
      <c r="Y182" s="402"/>
      <c r="Z182" s="402"/>
      <c r="AA182" s="402"/>
      <c r="AB182" s="402"/>
      <c r="AC182" s="402"/>
      <c r="AD182" s="402"/>
      <c r="AE182" s="402"/>
      <c r="AF182" s="402"/>
      <c r="AG182" s="402"/>
      <c r="AH182" s="402"/>
      <c r="AI182" s="402"/>
      <c r="AJ182" s="402"/>
      <c r="AK182" s="91">
        <f>SUM(F182:AJ182)</f>
        <v>0</v>
      </c>
      <c r="AL182" s="74"/>
      <c r="AP182" s="65"/>
      <c r="AQ182" s="65">
        <f>'Quality ROM'!V$38</f>
        <v>0</v>
      </c>
    </row>
    <row r="183" spans="1:44">
      <c r="C183" s="1298" t="s">
        <v>251</v>
      </c>
      <c r="D183" s="1298"/>
      <c r="E183" s="1298"/>
      <c r="F183" s="789"/>
      <c r="G183" s="789"/>
      <c r="H183" s="789"/>
      <c r="I183" s="789"/>
      <c r="J183" s="789"/>
      <c r="K183" s="789"/>
      <c r="L183" s="402"/>
      <c r="M183" s="402"/>
      <c r="N183" s="402"/>
      <c r="O183" s="789"/>
      <c r="P183" s="789"/>
      <c r="Q183" s="789"/>
      <c r="R183" s="789"/>
      <c r="S183" s="402"/>
      <c r="T183" s="402"/>
      <c r="U183" s="402"/>
      <c r="V183" s="402"/>
      <c r="W183" s="402"/>
      <c r="X183" s="402"/>
      <c r="Y183" s="402"/>
      <c r="Z183" s="402"/>
      <c r="AA183" s="402"/>
      <c r="AB183" s="402"/>
      <c r="AC183" s="402"/>
      <c r="AD183" s="402"/>
      <c r="AE183" s="402"/>
      <c r="AF183" s="402"/>
      <c r="AG183" s="402"/>
      <c r="AH183" s="402"/>
      <c r="AI183" s="402"/>
      <c r="AJ183" s="402"/>
      <c r="AK183" s="636">
        <f>SUM(F183:AJ183)</f>
        <v>0</v>
      </c>
      <c r="AL183" s="284"/>
      <c r="AP183" s="65"/>
      <c r="AQ183" s="65">
        <f>'Quality ROM'!V$38</f>
        <v>0</v>
      </c>
    </row>
    <row r="184" spans="1:44" ht="15" customHeight="1">
      <c r="B184" s="41"/>
      <c r="C184" s="1299" t="s">
        <v>253</v>
      </c>
      <c r="D184" s="1299"/>
      <c r="E184" s="1299"/>
      <c r="F184" s="791">
        <f>MAX(F182:F183)</f>
        <v>0</v>
      </c>
      <c r="G184" s="791">
        <f t="shared" ref="G184:AJ184" si="106">MAX(G182:G183)</f>
        <v>0</v>
      </c>
      <c r="H184" s="791">
        <f t="shared" si="106"/>
        <v>0</v>
      </c>
      <c r="I184" s="791">
        <f t="shared" si="106"/>
        <v>0</v>
      </c>
      <c r="J184" s="791">
        <f t="shared" si="106"/>
        <v>0</v>
      </c>
      <c r="K184" s="791">
        <f t="shared" si="106"/>
        <v>0</v>
      </c>
      <c r="L184" s="407">
        <f t="shared" si="106"/>
        <v>0</v>
      </c>
      <c r="M184" s="407">
        <f t="shared" si="106"/>
        <v>0</v>
      </c>
      <c r="N184" s="407">
        <f t="shared" si="106"/>
        <v>0</v>
      </c>
      <c r="O184" s="407">
        <f t="shared" si="106"/>
        <v>0</v>
      </c>
      <c r="P184" s="407">
        <f t="shared" si="106"/>
        <v>0</v>
      </c>
      <c r="Q184" s="407">
        <f t="shared" si="106"/>
        <v>0</v>
      </c>
      <c r="R184" s="407">
        <f t="shared" si="106"/>
        <v>0</v>
      </c>
      <c r="S184" s="407">
        <f t="shared" si="106"/>
        <v>0</v>
      </c>
      <c r="T184" s="407">
        <f t="shared" si="106"/>
        <v>0</v>
      </c>
      <c r="U184" s="407">
        <f t="shared" si="106"/>
        <v>0</v>
      </c>
      <c r="V184" s="407">
        <f t="shared" si="106"/>
        <v>0</v>
      </c>
      <c r="W184" s="407">
        <f t="shared" si="106"/>
        <v>0</v>
      </c>
      <c r="X184" s="407">
        <f t="shared" si="106"/>
        <v>0</v>
      </c>
      <c r="Y184" s="407">
        <f t="shared" si="106"/>
        <v>0</v>
      </c>
      <c r="Z184" s="407">
        <f t="shared" si="106"/>
        <v>0</v>
      </c>
      <c r="AA184" s="407">
        <f t="shared" si="106"/>
        <v>0</v>
      </c>
      <c r="AB184" s="407">
        <f t="shared" si="106"/>
        <v>0</v>
      </c>
      <c r="AC184" s="407">
        <f t="shared" si="106"/>
        <v>0</v>
      </c>
      <c r="AD184" s="407">
        <f t="shared" si="106"/>
        <v>0</v>
      </c>
      <c r="AE184" s="407">
        <f t="shared" si="106"/>
        <v>0</v>
      </c>
      <c r="AF184" s="407">
        <f t="shared" si="106"/>
        <v>0</v>
      </c>
      <c r="AG184" s="407">
        <f t="shared" si="106"/>
        <v>0</v>
      </c>
      <c r="AH184" s="407">
        <f t="shared" si="106"/>
        <v>0</v>
      </c>
      <c r="AI184" s="407">
        <f t="shared" si="106"/>
        <v>0</v>
      </c>
      <c r="AJ184" s="407">
        <f t="shared" si="106"/>
        <v>0</v>
      </c>
      <c r="AK184" s="637">
        <f>SUM(F184:AJ184)</f>
        <v>0</v>
      </c>
      <c r="AL184" s="101">
        <f>SUM(G184:Q184)</f>
        <v>0</v>
      </c>
      <c r="AP184" s="65"/>
      <c r="AQ184" s="65">
        <f>'Quality ROM'!V$38</f>
        <v>0</v>
      </c>
    </row>
    <row r="185" spans="1:44">
      <c r="F185" s="41"/>
      <c r="G185" s="41"/>
      <c r="H185" s="1063"/>
      <c r="K185" s="65"/>
      <c r="M185" s="41"/>
      <c r="S185" s="41"/>
      <c r="V185" s="65"/>
      <c r="Z185" s="41"/>
      <c r="AB185" s="41"/>
      <c r="AC185" s="61"/>
      <c r="AF185" s="41"/>
      <c r="AH185" s="41"/>
      <c r="AK185" s="788">
        <f>HLOOKUP(LEFT(Summary!D3,2),Actual!F180:AJ184,5,FALSE)</f>
        <v>0</v>
      </c>
      <c r="AL185" s="101">
        <f>SUM(F184:AJ184)</f>
        <v>0</v>
      </c>
      <c r="AP185" s="65"/>
      <c r="AQ185" s="65">
        <f>'Quality ROM'!V$38</f>
        <v>0</v>
      </c>
    </row>
    <row r="186" spans="1:44" ht="17.45">
      <c r="C186" s="164" t="str">
        <f>"6.Slippery time Actual "&amp;MID(C2,13,20)</f>
        <v>6.Slippery time Actual Sep'26</v>
      </c>
      <c r="D186" s="164"/>
      <c r="Q186" s="65"/>
      <c r="R186" s="65"/>
      <c r="V186" s="65"/>
      <c r="X186" s="65"/>
      <c r="Y186" s="65"/>
      <c r="Z186" s="41"/>
      <c r="AL186" s="74"/>
      <c r="AP186" s="65"/>
      <c r="AQ186" s="65">
        <f>'Quality ROM'!V$38</f>
        <v>0</v>
      </c>
    </row>
    <row r="187" spans="1:44">
      <c r="C187" s="1328" t="s">
        <v>248</v>
      </c>
      <c r="D187" s="1328"/>
      <c r="E187" s="1328"/>
      <c r="F187" s="519" t="s">
        <v>157</v>
      </c>
      <c r="G187" s="519" t="s">
        <v>158</v>
      </c>
      <c r="H187" s="519" t="s">
        <v>159</v>
      </c>
      <c r="I187" s="519" t="s">
        <v>160</v>
      </c>
      <c r="J187" s="519" t="s">
        <v>161</v>
      </c>
      <c r="K187" s="519" t="s">
        <v>162</v>
      </c>
      <c r="L187" s="519" t="s">
        <v>163</v>
      </c>
      <c r="M187" s="519" t="s">
        <v>164</v>
      </c>
      <c r="N187" s="519" t="s">
        <v>165</v>
      </c>
      <c r="O187" s="519" t="s">
        <v>166</v>
      </c>
      <c r="P187" s="519" t="s">
        <v>167</v>
      </c>
      <c r="Q187" s="519" t="s">
        <v>168</v>
      </c>
      <c r="R187" s="519" t="s">
        <v>169</v>
      </c>
      <c r="S187" s="519" t="s">
        <v>170</v>
      </c>
      <c r="T187" s="519" t="s">
        <v>171</v>
      </c>
      <c r="U187" s="519" t="s">
        <v>172</v>
      </c>
      <c r="V187" s="519" t="s">
        <v>173</v>
      </c>
      <c r="W187" s="519" t="s">
        <v>174</v>
      </c>
      <c r="X187" s="1114" t="s">
        <v>175</v>
      </c>
      <c r="Y187" s="519" t="s">
        <v>176</v>
      </c>
      <c r="Z187" s="519" t="s">
        <v>177</v>
      </c>
      <c r="AA187" s="519" t="s">
        <v>178</v>
      </c>
      <c r="AB187" s="519" t="s">
        <v>179</v>
      </c>
      <c r="AC187" s="519" t="s">
        <v>180</v>
      </c>
      <c r="AD187" s="519" t="s">
        <v>181</v>
      </c>
      <c r="AE187" s="519" t="s">
        <v>182</v>
      </c>
      <c r="AF187" s="519" t="s">
        <v>183</v>
      </c>
      <c r="AG187" s="519" t="s">
        <v>184</v>
      </c>
      <c r="AH187" s="519" t="s">
        <v>185</v>
      </c>
      <c r="AI187" s="519" t="s">
        <v>186</v>
      </c>
      <c r="AJ187" s="519" t="s">
        <v>187</v>
      </c>
      <c r="AK187" s="627" t="s">
        <v>249</v>
      </c>
      <c r="AL187" s="74"/>
    </row>
    <row r="188" spans="1:44" hidden="1">
      <c r="C188" s="1083" t="s">
        <v>250</v>
      </c>
      <c r="D188" s="1083"/>
      <c r="E188" s="1079"/>
      <c r="F188" s="63">
        <v>0</v>
      </c>
      <c r="G188" s="63">
        <v>0</v>
      </c>
      <c r="H188" s="63">
        <v>0</v>
      </c>
      <c r="I188" s="63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3">
        <v>0</v>
      </c>
      <c r="Y188" s="63">
        <v>0</v>
      </c>
      <c r="Z188" s="63">
        <v>0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3">
        <v>0</v>
      </c>
      <c r="AH188" s="63">
        <v>0</v>
      </c>
      <c r="AI188" s="63">
        <v>0</v>
      </c>
      <c r="AJ188" s="63">
        <v>0</v>
      </c>
      <c r="AK188" s="64">
        <f>SUM(F188:AJ188)</f>
        <v>0</v>
      </c>
      <c r="AL188" s="74"/>
    </row>
    <row r="189" spans="1:44">
      <c r="C189" s="1298" t="s">
        <v>211</v>
      </c>
      <c r="D189" s="1298"/>
      <c r="E189" s="1298"/>
      <c r="F189" s="789"/>
      <c r="G189" s="789"/>
      <c r="H189" s="789"/>
      <c r="I189" s="789"/>
      <c r="J189" s="789"/>
      <c r="K189" s="789"/>
      <c r="L189" s="789"/>
      <c r="M189" s="789"/>
      <c r="N189" s="789"/>
      <c r="O189" s="402"/>
      <c r="P189" s="789"/>
      <c r="Q189" s="789"/>
      <c r="R189" s="789"/>
      <c r="S189" s="402"/>
      <c r="T189" s="402"/>
      <c r="U189" s="402"/>
      <c r="V189" s="402"/>
      <c r="W189" s="402"/>
      <c r="X189" s="402"/>
      <c r="Y189" s="402"/>
      <c r="Z189" s="402"/>
      <c r="AA189" s="402"/>
      <c r="AB189" s="402"/>
      <c r="AC189" s="402"/>
      <c r="AD189" s="402"/>
      <c r="AE189" s="402"/>
      <c r="AF189" s="402"/>
      <c r="AG189" s="402"/>
      <c r="AH189" s="402"/>
      <c r="AI189" s="402"/>
      <c r="AJ189" s="402"/>
      <c r="AK189" s="91">
        <f>SUM(F189:AJ189)</f>
        <v>0</v>
      </c>
      <c r="AL189" s="173" t="e">
        <f>AK189/AK182</f>
        <v>#DIV/0!</v>
      </c>
    </row>
    <row r="190" spans="1:44">
      <c r="C190" s="1298" t="s">
        <v>251</v>
      </c>
      <c r="D190" s="1298"/>
      <c r="E190" s="1298"/>
      <c r="F190" s="789"/>
      <c r="G190" s="789"/>
      <c r="H190" s="789"/>
      <c r="I190" s="789"/>
      <c r="J190" s="789"/>
      <c r="K190" s="789"/>
      <c r="L190" s="402"/>
      <c r="M190" s="402"/>
      <c r="N190" s="402"/>
      <c r="O190" s="402"/>
      <c r="P190" s="402"/>
      <c r="Q190" s="402"/>
      <c r="R190" s="402"/>
      <c r="S190" s="402"/>
      <c r="T190" s="402"/>
      <c r="U190" s="402"/>
      <c r="V190" s="402"/>
      <c r="W190" s="402"/>
      <c r="X190" s="402"/>
      <c r="Y190" s="402"/>
      <c r="Z190" s="402"/>
      <c r="AA190" s="402"/>
      <c r="AB190" s="402"/>
      <c r="AC190" s="402"/>
      <c r="AD190" s="402"/>
      <c r="AE190" s="402"/>
      <c r="AF190" s="402"/>
      <c r="AG190" s="402"/>
      <c r="AH190" s="402"/>
      <c r="AI190" s="402"/>
      <c r="AJ190" s="402"/>
      <c r="AK190" s="638">
        <f>SUM(F190:AJ190)</f>
        <v>0</v>
      </c>
      <c r="AL190" s="74"/>
    </row>
    <row r="191" spans="1:44">
      <c r="C191" s="1299" t="s">
        <v>254</v>
      </c>
      <c r="D191" s="1299"/>
      <c r="E191" s="1299"/>
      <c r="F191" s="792">
        <f>MAX(F189:F190)</f>
        <v>0</v>
      </c>
      <c r="G191" s="792">
        <f>MAX(G189:G190)</f>
        <v>0</v>
      </c>
      <c r="H191" s="792">
        <f t="shared" ref="H191:AJ191" si="107">MAX(H189:H190)</f>
        <v>0</v>
      </c>
      <c r="I191" s="792">
        <f t="shared" si="107"/>
        <v>0</v>
      </c>
      <c r="J191" s="792">
        <f t="shared" si="107"/>
        <v>0</v>
      </c>
      <c r="K191" s="792">
        <f t="shared" si="107"/>
        <v>0</v>
      </c>
      <c r="L191" s="380">
        <f t="shared" si="107"/>
        <v>0</v>
      </c>
      <c r="M191" s="380">
        <f t="shared" si="107"/>
        <v>0</v>
      </c>
      <c r="N191" s="380">
        <f t="shared" si="107"/>
        <v>0</v>
      </c>
      <c r="O191" s="380">
        <f t="shared" si="107"/>
        <v>0</v>
      </c>
      <c r="P191" s="380">
        <f t="shared" si="107"/>
        <v>0</v>
      </c>
      <c r="Q191" s="380">
        <f t="shared" si="107"/>
        <v>0</v>
      </c>
      <c r="R191" s="380">
        <f t="shared" si="107"/>
        <v>0</v>
      </c>
      <c r="S191" s="380">
        <f t="shared" si="107"/>
        <v>0</v>
      </c>
      <c r="T191" s="380">
        <f t="shared" si="107"/>
        <v>0</v>
      </c>
      <c r="U191" s="380">
        <f t="shared" si="107"/>
        <v>0</v>
      </c>
      <c r="V191" s="380">
        <f t="shared" si="107"/>
        <v>0</v>
      </c>
      <c r="W191" s="380">
        <f t="shared" si="107"/>
        <v>0</v>
      </c>
      <c r="X191" s="380">
        <f t="shared" si="107"/>
        <v>0</v>
      </c>
      <c r="Y191" s="380">
        <f t="shared" si="107"/>
        <v>0</v>
      </c>
      <c r="Z191" s="380">
        <f t="shared" si="107"/>
        <v>0</v>
      </c>
      <c r="AA191" s="380">
        <f t="shared" si="107"/>
        <v>0</v>
      </c>
      <c r="AB191" s="380">
        <f t="shared" si="107"/>
        <v>0</v>
      </c>
      <c r="AC191" s="380">
        <f t="shared" si="107"/>
        <v>0</v>
      </c>
      <c r="AD191" s="380">
        <f t="shared" si="107"/>
        <v>0</v>
      </c>
      <c r="AE191" s="380">
        <f t="shared" si="107"/>
        <v>0</v>
      </c>
      <c r="AF191" s="380">
        <f t="shared" si="107"/>
        <v>0</v>
      </c>
      <c r="AG191" s="380">
        <f t="shared" si="107"/>
        <v>0</v>
      </c>
      <c r="AH191" s="380">
        <f t="shared" si="107"/>
        <v>0</v>
      </c>
      <c r="AI191" s="380">
        <f t="shared" si="107"/>
        <v>0</v>
      </c>
      <c r="AJ191" s="380">
        <f t="shared" si="107"/>
        <v>0</v>
      </c>
      <c r="AK191" s="637">
        <f>SUM(F191:AJ191)</f>
        <v>0</v>
      </c>
      <c r="AL191" s="74"/>
    </row>
    <row r="192" spans="1:44">
      <c r="H192" s="163"/>
      <c r="I192" s="163"/>
      <c r="J192" s="163"/>
      <c r="K192" s="163"/>
      <c r="L192" s="163"/>
      <c r="M192" s="163"/>
      <c r="N192" s="163"/>
      <c r="Y192" s="41"/>
      <c r="AK192" s="106">
        <f>HLOOKUP(LEFT(Summary!D3,2),Actual!F187:AJ191,5,FALSE)</f>
        <v>0</v>
      </c>
      <c r="AL192" s="101">
        <f>SUM(F191:AJ191)</f>
        <v>0</v>
      </c>
    </row>
    <row r="193" spans="1:41" ht="17.45">
      <c r="C193" s="164" t="str">
        <f>"7.Loss time Actual "&amp;MID(C2,13,20)</f>
        <v>7.Loss time Actual Sep'26</v>
      </c>
      <c r="D193" s="164"/>
      <c r="Z193" s="41"/>
      <c r="AL193" s="74"/>
    </row>
    <row r="194" spans="1:41">
      <c r="C194" s="1328" t="s">
        <v>248</v>
      </c>
      <c r="D194" s="1328"/>
      <c r="E194" s="1328"/>
      <c r="F194" s="519" t="s">
        <v>157</v>
      </c>
      <c r="G194" s="519" t="s">
        <v>158</v>
      </c>
      <c r="H194" s="519" t="s">
        <v>159</v>
      </c>
      <c r="I194" s="519" t="s">
        <v>160</v>
      </c>
      <c r="J194" s="519" t="s">
        <v>161</v>
      </c>
      <c r="K194" s="519" t="s">
        <v>162</v>
      </c>
      <c r="L194" s="519" t="s">
        <v>163</v>
      </c>
      <c r="M194" s="519" t="s">
        <v>164</v>
      </c>
      <c r="N194" s="519" t="s">
        <v>165</v>
      </c>
      <c r="O194" s="519" t="s">
        <v>166</v>
      </c>
      <c r="P194" s="519" t="s">
        <v>167</v>
      </c>
      <c r="Q194" s="519" t="s">
        <v>168</v>
      </c>
      <c r="R194" s="519" t="s">
        <v>169</v>
      </c>
      <c r="S194" s="519" t="s">
        <v>170</v>
      </c>
      <c r="T194" s="519" t="s">
        <v>171</v>
      </c>
      <c r="U194" s="519" t="s">
        <v>172</v>
      </c>
      <c r="V194" s="519" t="s">
        <v>173</v>
      </c>
      <c r="W194" s="519" t="s">
        <v>174</v>
      </c>
      <c r="X194" s="519" t="s">
        <v>175</v>
      </c>
      <c r="Y194" s="519" t="s">
        <v>176</v>
      </c>
      <c r="Z194" s="519" t="s">
        <v>177</v>
      </c>
      <c r="AA194" s="519" t="s">
        <v>178</v>
      </c>
      <c r="AB194" s="519" t="s">
        <v>179</v>
      </c>
      <c r="AC194" s="519" t="s">
        <v>180</v>
      </c>
      <c r="AD194" s="519" t="s">
        <v>181</v>
      </c>
      <c r="AE194" s="519" t="s">
        <v>182</v>
      </c>
      <c r="AF194" s="519" t="s">
        <v>183</v>
      </c>
      <c r="AG194" s="519" t="s">
        <v>184</v>
      </c>
      <c r="AH194" s="519" t="s">
        <v>185</v>
      </c>
      <c r="AI194" s="519" t="s">
        <v>186</v>
      </c>
      <c r="AJ194" s="519" t="s">
        <v>187</v>
      </c>
      <c r="AK194" s="627" t="s">
        <v>249</v>
      </c>
      <c r="AL194" s="74"/>
    </row>
    <row r="195" spans="1:41">
      <c r="C195" s="1298" t="s">
        <v>211</v>
      </c>
      <c r="D195" s="1298"/>
      <c r="E195" s="1298"/>
      <c r="F195" s="402">
        <f>+F182+F189</f>
        <v>0</v>
      </c>
      <c r="G195" s="402">
        <f t="shared" ref="G195:AJ195" si="108">+G182+G189</f>
        <v>0</v>
      </c>
      <c r="H195" s="402">
        <f t="shared" si="108"/>
        <v>0</v>
      </c>
      <c r="I195" s="402">
        <f t="shared" si="108"/>
        <v>0</v>
      </c>
      <c r="J195" s="402">
        <f t="shared" si="108"/>
        <v>0</v>
      </c>
      <c r="K195" s="402">
        <f t="shared" si="108"/>
        <v>0</v>
      </c>
      <c r="L195" s="402">
        <f t="shared" si="108"/>
        <v>0</v>
      </c>
      <c r="M195" s="402">
        <f t="shared" si="108"/>
        <v>0</v>
      </c>
      <c r="N195" s="402">
        <f t="shared" si="108"/>
        <v>0</v>
      </c>
      <c r="O195" s="402">
        <f t="shared" si="108"/>
        <v>0</v>
      </c>
      <c r="P195" s="402">
        <f t="shared" si="108"/>
        <v>0</v>
      </c>
      <c r="Q195" s="402">
        <f t="shared" si="108"/>
        <v>0</v>
      </c>
      <c r="R195" s="402">
        <f t="shared" si="108"/>
        <v>0</v>
      </c>
      <c r="S195" s="402">
        <f t="shared" si="108"/>
        <v>0</v>
      </c>
      <c r="T195" s="402">
        <f t="shared" si="108"/>
        <v>0</v>
      </c>
      <c r="U195" s="402">
        <f t="shared" si="108"/>
        <v>0</v>
      </c>
      <c r="V195" s="402">
        <f t="shared" si="108"/>
        <v>0</v>
      </c>
      <c r="W195" s="402">
        <f t="shared" si="108"/>
        <v>0</v>
      </c>
      <c r="X195" s="402">
        <f t="shared" si="108"/>
        <v>0</v>
      </c>
      <c r="Y195" s="402">
        <f t="shared" si="108"/>
        <v>0</v>
      </c>
      <c r="Z195" s="402">
        <f t="shared" si="108"/>
        <v>0</v>
      </c>
      <c r="AA195" s="402">
        <f t="shared" si="108"/>
        <v>0</v>
      </c>
      <c r="AB195" s="402">
        <f t="shared" si="108"/>
        <v>0</v>
      </c>
      <c r="AC195" s="402">
        <f t="shared" si="108"/>
        <v>0</v>
      </c>
      <c r="AD195" s="402">
        <f t="shared" si="108"/>
        <v>0</v>
      </c>
      <c r="AE195" s="402">
        <f t="shared" si="108"/>
        <v>0</v>
      </c>
      <c r="AF195" s="402">
        <f t="shared" si="108"/>
        <v>0</v>
      </c>
      <c r="AG195" s="402">
        <f t="shared" si="108"/>
        <v>0</v>
      </c>
      <c r="AH195" s="402">
        <f t="shared" si="108"/>
        <v>0</v>
      </c>
      <c r="AI195" s="402">
        <f t="shared" si="108"/>
        <v>0</v>
      </c>
      <c r="AJ195" s="402">
        <f t="shared" si="108"/>
        <v>0</v>
      </c>
      <c r="AK195" s="91">
        <f>SUM(F195:AJ195)</f>
        <v>0</v>
      </c>
      <c r="AL195" s="173">
        <f>+AK195/(24*30)</f>
        <v>0</v>
      </c>
    </row>
    <row r="196" spans="1:41">
      <c r="C196" s="1298" t="s">
        <v>251</v>
      </c>
      <c r="D196" s="1298"/>
      <c r="E196" s="1298"/>
      <c r="F196" s="402">
        <f>F183+F190</f>
        <v>0</v>
      </c>
      <c r="G196" s="402">
        <f t="shared" ref="G196:AJ196" si="109">G183+G190</f>
        <v>0</v>
      </c>
      <c r="H196" s="402">
        <f t="shared" si="109"/>
        <v>0</v>
      </c>
      <c r="I196" s="402">
        <f t="shared" si="109"/>
        <v>0</v>
      </c>
      <c r="J196" s="402">
        <f t="shared" si="109"/>
        <v>0</v>
      </c>
      <c r="K196" s="402">
        <f t="shared" si="109"/>
        <v>0</v>
      </c>
      <c r="L196" s="402">
        <f t="shared" si="109"/>
        <v>0</v>
      </c>
      <c r="M196" s="402">
        <f t="shared" si="109"/>
        <v>0</v>
      </c>
      <c r="N196" s="402">
        <f t="shared" si="109"/>
        <v>0</v>
      </c>
      <c r="O196" s="402">
        <f t="shared" si="109"/>
        <v>0</v>
      </c>
      <c r="P196" s="402">
        <f t="shared" si="109"/>
        <v>0</v>
      </c>
      <c r="Q196" s="402">
        <f t="shared" si="109"/>
        <v>0</v>
      </c>
      <c r="R196" s="402">
        <f t="shared" si="109"/>
        <v>0</v>
      </c>
      <c r="S196" s="402">
        <f t="shared" si="109"/>
        <v>0</v>
      </c>
      <c r="T196" s="402">
        <f t="shared" si="109"/>
        <v>0</v>
      </c>
      <c r="U196" s="402">
        <f t="shared" si="109"/>
        <v>0</v>
      </c>
      <c r="V196" s="402">
        <f t="shared" si="109"/>
        <v>0</v>
      </c>
      <c r="W196" s="402">
        <f t="shared" si="109"/>
        <v>0</v>
      </c>
      <c r="X196" s="402">
        <f t="shared" si="109"/>
        <v>0</v>
      </c>
      <c r="Y196" s="402">
        <f t="shared" si="109"/>
        <v>0</v>
      </c>
      <c r="Z196" s="402">
        <f t="shared" si="109"/>
        <v>0</v>
      </c>
      <c r="AA196" s="402">
        <f t="shared" si="109"/>
        <v>0</v>
      </c>
      <c r="AB196" s="402">
        <f t="shared" si="109"/>
        <v>0</v>
      </c>
      <c r="AC196" s="402">
        <f t="shared" si="109"/>
        <v>0</v>
      </c>
      <c r="AD196" s="402">
        <f t="shared" si="109"/>
        <v>0</v>
      </c>
      <c r="AE196" s="402">
        <f t="shared" si="109"/>
        <v>0</v>
      </c>
      <c r="AF196" s="402">
        <f t="shared" si="109"/>
        <v>0</v>
      </c>
      <c r="AG196" s="402">
        <f t="shared" si="109"/>
        <v>0</v>
      </c>
      <c r="AH196" s="402">
        <f t="shared" si="109"/>
        <v>0</v>
      </c>
      <c r="AI196" s="402">
        <f t="shared" si="109"/>
        <v>0</v>
      </c>
      <c r="AJ196" s="402">
        <f t="shared" si="109"/>
        <v>0</v>
      </c>
      <c r="AK196" s="638">
        <f>SUM(F196:AJ196)</f>
        <v>0</v>
      </c>
      <c r="AL196" s="74"/>
    </row>
    <row r="197" spans="1:41">
      <c r="C197" s="1299" t="s">
        <v>254</v>
      </c>
      <c r="D197" s="1299"/>
      <c r="E197" s="1299"/>
      <c r="F197" s="792">
        <f>MAX(F195:F196)</f>
        <v>0</v>
      </c>
      <c r="G197" s="792">
        <f t="shared" ref="G197:AJ197" si="110">MAX(G195:G196)</f>
        <v>0</v>
      </c>
      <c r="H197" s="792">
        <f t="shared" si="110"/>
        <v>0</v>
      </c>
      <c r="I197" s="792">
        <f t="shared" si="110"/>
        <v>0</v>
      </c>
      <c r="J197" s="792">
        <f t="shared" si="110"/>
        <v>0</v>
      </c>
      <c r="K197" s="792">
        <f t="shared" si="110"/>
        <v>0</v>
      </c>
      <c r="L197" s="981">
        <f t="shared" si="110"/>
        <v>0</v>
      </c>
      <c r="M197" s="981">
        <f t="shared" si="110"/>
        <v>0</v>
      </c>
      <c r="N197" s="981">
        <f t="shared" si="110"/>
        <v>0</v>
      </c>
      <c r="O197" s="981">
        <f t="shared" si="110"/>
        <v>0</v>
      </c>
      <c r="P197" s="981">
        <f t="shared" si="110"/>
        <v>0</v>
      </c>
      <c r="Q197" s="981">
        <f t="shared" si="110"/>
        <v>0</v>
      </c>
      <c r="R197" s="981">
        <f t="shared" si="110"/>
        <v>0</v>
      </c>
      <c r="S197" s="380">
        <f t="shared" si="110"/>
        <v>0</v>
      </c>
      <c r="T197" s="380">
        <f t="shared" si="110"/>
        <v>0</v>
      </c>
      <c r="U197" s="380">
        <f t="shared" si="110"/>
        <v>0</v>
      </c>
      <c r="V197" s="380">
        <f t="shared" si="110"/>
        <v>0</v>
      </c>
      <c r="W197" s="380">
        <f t="shared" si="110"/>
        <v>0</v>
      </c>
      <c r="X197" s="380">
        <f t="shared" si="110"/>
        <v>0</v>
      </c>
      <c r="Y197" s="380">
        <f t="shared" si="110"/>
        <v>0</v>
      </c>
      <c r="Z197" s="380">
        <f t="shared" si="110"/>
        <v>0</v>
      </c>
      <c r="AA197" s="380">
        <f t="shared" si="110"/>
        <v>0</v>
      </c>
      <c r="AB197" s="380">
        <f t="shared" si="110"/>
        <v>0</v>
      </c>
      <c r="AC197" s="380">
        <f t="shared" si="110"/>
        <v>0</v>
      </c>
      <c r="AD197" s="380">
        <f t="shared" si="110"/>
        <v>0</v>
      </c>
      <c r="AE197" s="380">
        <f t="shared" si="110"/>
        <v>0</v>
      </c>
      <c r="AF197" s="380">
        <f t="shared" si="110"/>
        <v>0</v>
      </c>
      <c r="AG197" s="380">
        <f t="shared" si="110"/>
        <v>0</v>
      </c>
      <c r="AH197" s="380">
        <f t="shared" si="110"/>
        <v>0</v>
      </c>
      <c r="AI197" s="380">
        <f t="shared" si="110"/>
        <v>0</v>
      </c>
      <c r="AJ197" s="380">
        <f t="shared" si="110"/>
        <v>0</v>
      </c>
      <c r="AK197" s="637">
        <f>SUM(F197:AJ197)</f>
        <v>0</v>
      </c>
      <c r="AL197" s="74"/>
    </row>
    <row r="198" spans="1:41">
      <c r="G198" s="65"/>
      <c r="I198" s="65"/>
      <c r="J198" s="65"/>
      <c r="O198" s="65"/>
      <c r="P198" s="65"/>
      <c r="Q198" s="65"/>
      <c r="T198" s="65"/>
      <c r="U198" s="65"/>
      <c r="V198" s="41"/>
      <c r="Y198" s="41"/>
      <c r="AB198" s="65"/>
      <c r="AC198" s="65"/>
      <c r="AD198" s="65"/>
      <c r="AE198" s="65"/>
      <c r="AG198" s="65"/>
      <c r="AK198" s="101"/>
      <c r="AL198" s="101">
        <v>1.8333333333333348</v>
      </c>
    </row>
    <row r="199" spans="1:41">
      <c r="G199" s="65"/>
      <c r="I199" s="65"/>
      <c r="J199" s="65"/>
      <c r="L199" s="65"/>
      <c r="N199" s="65"/>
      <c r="O199" s="65"/>
      <c r="P199" s="65"/>
      <c r="Q199" s="65"/>
      <c r="R199" s="448"/>
      <c r="T199" s="65"/>
      <c r="U199" s="65"/>
      <c r="V199" s="65"/>
      <c r="Y199" s="41"/>
      <c r="AB199" s="65"/>
      <c r="AC199" s="65"/>
      <c r="AD199" s="65"/>
      <c r="AE199" s="65"/>
      <c r="AG199" s="65"/>
      <c r="AI199" s="65"/>
      <c r="AK199" s="101"/>
      <c r="AL199" s="101"/>
    </row>
    <row r="200" spans="1:41" ht="17.45">
      <c r="C200" s="165" t="str">
        <f>"8. Barge Loading Actual "&amp;MID(C2,13,20)</f>
        <v>8. Barge Loading Actual Sep'26</v>
      </c>
      <c r="D200" s="165"/>
      <c r="G200" s="65"/>
      <c r="I200" s="65"/>
      <c r="J200" s="65"/>
      <c r="K200" s="41"/>
      <c r="L200" s="65"/>
      <c r="N200" s="65"/>
      <c r="O200" s="65"/>
      <c r="P200" s="65"/>
      <c r="Q200" s="65"/>
      <c r="R200" s="448"/>
      <c r="T200" s="65"/>
      <c r="U200" s="65"/>
      <c r="Y200" s="41"/>
      <c r="AB200" s="65"/>
      <c r="AC200" s="65"/>
      <c r="AD200" s="65"/>
      <c r="AE200" s="65"/>
      <c r="AF200" s="346"/>
      <c r="AG200" s="65"/>
      <c r="AL200" s="41"/>
    </row>
    <row r="201" spans="1:41">
      <c r="G201" s="101">
        <v>11261.05</v>
      </c>
      <c r="K201" s="65"/>
      <c r="L201" s="65"/>
      <c r="N201" s="65"/>
      <c r="Y201" s="50"/>
      <c r="Z201" s="41"/>
      <c r="AL201" s="41"/>
    </row>
    <row r="202" spans="1:41">
      <c r="C202" s="1297" t="s">
        <v>255</v>
      </c>
      <c r="D202" s="1297"/>
      <c r="E202" s="1297"/>
      <c r="F202" s="639" t="s">
        <v>157</v>
      </c>
      <c r="G202" s="639" t="s">
        <v>158</v>
      </c>
      <c r="H202" s="639" t="s">
        <v>159</v>
      </c>
      <c r="I202" s="639" t="s">
        <v>160</v>
      </c>
      <c r="J202" s="639" t="s">
        <v>161</v>
      </c>
      <c r="K202" s="639" t="s">
        <v>162</v>
      </c>
      <c r="L202" s="639" t="s">
        <v>163</v>
      </c>
      <c r="M202" s="639" t="s">
        <v>164</v>
      </c>
      <c r="N202" s="639" t="s">
        <v>165</v>
      </c>
      <c r="O202" s="639" t="s">
        <v>166</v>
      </c>
      <c r="P202" s="639" t="s">
        <v>167</v>
      </c>
      <c r="Q202" s="639" t="s">
        <v>168</v>
      </c>
      <c r="R202" s="639" t="s">
        <v>169</v>
      </c>
      <c r="S202" s="639" t="s">
        <v>170</v>
      </c>
      <c r="T202" s="639" t="s">
        <v>171</v>
      </c>
      <c r="U202" s="639" t="s">
        <v>172</v>
      </c>
      <c r="V202" s="639" t="s">
        <v>173</v>
      </c>
      <c r="W202" s="639" t="s">
        <v>174</v>
      </c>
      <c r="X202" s="639" t="s">
        <v>175</v>
      </c>
      <c r="Y202" s="639" t="s">
        <v>176</v>
      </c>
      <c r="Z202" s="639" t="s">
        <v>177</v>
      </c>
      <c r="AA202" s="639" t="s">
        <v>178</v>
      </c>
      <c r="AB202" s="639" t="s">
        <v>179</v>
      </c>
      <c r="AC202" s="639" t="s">
        <v>180</v>
      </c>
      <c r="AD202" s="639" t="s">
        <v>181</v>
      </c>
      <c r="AE202" s="639" t="s">
        <v>182</v>
      </c>
      <c r="AF202" s="639" t="s">
        <v>183</v>
      </c>
      <c r="AG202" s="639" t="s">
        <v>184</v>
      </c>
      <c r="AH202" s="639" t="s">
        <v>185</v>
      </c>
      <c r="AI202" s="639" t="s">
        <v>186</v>
      </c>
      <c r="AJ202" s="639" t="s">
        <v>187</v>
      </c>
      <c r="AK202" s="640" t="s">
        <v>256</v>
      </c>
      <c r="AL202" s="41"/>
    </row>
    <row r="203" spans="1:41" ht="14.45" hidden="1" customHeight="1">
      <c r="C203" s="641" t="s">
        <v>257</v>
      </c>
      <c r="D203" s="641"/>
      <c r="E203" s="1079"/>
      <c r="F203" s="642">
        <v>0</v>
      </c>
      <c r="G203" s="642">
        <v>0</v>
      </c>
      <c r="H203" s="642">
        <v>0</v>
      </c>
      <c r="I203" s="642">
        <v>0</v>
      </c>
      <c r="J203" s="642">
        <v>0</v>
      </c>
      <c r="K203" s="642">
        <v>0</v>
      </c>
      <c r="L203" s="642">
        <v>0</v>
      </c>
      <c r="M203" s="642">
        <v>0</v>
      </c>
      <c r="N203" s="642">
        <v>0</v>
      </c>
      <c r="O203" s="642">
        <v>0</v>
      </c>
      <c r="P203" s="642">
        <v>0</v>
      </c>
      <c r="Q203" s="642">
        <v>0</v>
      </c>
      <c r="R203" s="642">
        <v>0</v>
      </c>
      <c r="S203" s="642">
        <v>0</v>
      </c>
      <c r="T203" s="642">
        <v>0</v>
      </c>
      <c r="U203" s="642">
        <v>0</v>
      </c>
      <c r="V203" s="642">
        <v>0</v>
      </c>
      <c r="W203" s="642">
        <v>0</v>
      </c>
      <c r="X203" s="642">
        <v>0</v>
      </c>
      <c r="Y203" s="642">
        <v>0</v>
      </c>
      <c r="Z203" s="642">
        <v>0</v>
      </c>
      <c r="AA203" s="642">
        <v>0</v>
      </c>
      <c r="AB203" s="642">
        <v>0</v>
      </c>
      <c r="AC203" s="642">
        <v>0</v>
      </c>
      <c r="AD203" s="642">
        <v>0</v>
      </c>
      <c r="AE203" s="642">
        <v>0</v>
      </c>
      <c r="AF203" s="642">
        <v>0</v>
      </c>
      <c r="AG203" s="642">
        <v>0</v>
      </c>
      <c r="AH203" s="642">
        <v>0</v>
      </c>
      <c r="AI203" s="642">
        <v>0</v>
      </c>
      <c r="AJ203" s="642">
        <v>0</v>
      </c>
      <c r="AK203" s="643">
        <f t="shared" ref="AK203:AK215" si="111">SUM(F203:AJ203)</f>
        <v>0</v>
      </c>
      <c r="AL203" s="41"/>
    </row>
    <row r="204" spans="1:41">
      <c r="C204" s="1295" t="s">
        <v>258</v>
      </c>
      <c r="D204" s="1295"/>
      <c r="E204" s="1295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42"/>
      <c r="AB204" s="642"/>
      <c r="AC204" s="642"/>
      <c r="AD204" s="642"/>
      <c r="AE204" s="642"/>
      <c r="AF204" s="642"/>
      <c r="AG204" s="642"/>
      <c r="AH204" s="642"/>
      <c r="AI204" s="642"/>
      <c r="AJ204" s="642"/>
      <c r="AK204" s="643">
        <f>SUM(F204:AJ204)</f>
        <v>0</v>
      </c>
      <c r="AL204" s="41"/>
      <c r="AM204" s="65"/>
      <c r="AN204" s="65"/>
      <c r="AO204" s="65"/>
    </row>
    <row r="205" spans="1:41">
      <c r="B205" s="65"/>
      <c r="C205" s="1295" t="s">
        <v>259</v>
      </c>
      <c r="D205" s="1295"/>
      <c r="E205" s="1295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42"/>
      <c r="AB205" s="642"/>
      <c r="AC205" s="642"/>
      <c r="AD205" s="642"/>
      <c r="AE205" s="642"/>
      <c r="AF205" s="642"/>
      <c r="AG205" s="642"/>
      <c r="AH205" s="642"/>
      <c r="AI205" s="642"/>
      <c r="AJ205" s="642"/>
      <c r="AK205" s="643">
        <f t="shared" si="111"/>
        <v>0</v>
      </c>
      <c r="AL205" s="41"/>
      <c r="AM205" s="65"/>
      <c r="AN205" s="65"/>
      <c r="AO205" s="65"/>
    </row>
    <row r="206" spans="1:41">
      <c r="B206" s="65"/>
      <c r="C206" s="1296" t="s">
        <v>260</v>
      </c>
      <c r="D206" s="1296"/>
      <c r="E206" s="1296"/>
      <c r="F206" s="642"/>
      <c r="G206" s="642"/>
      <c r="H206" s="642"/>
      <c r="I206" s="642"/>
      <c r="J206" s="642"/>
      <c r="K206" s="642"/>
      <c r="L206" s="642"/>
      <c r="M206" s="642"/>
      <c r="N206" s="642"/>
      <c r="O206" s="642"/>
      <c r="P206" s="642"/>
      <c r="Q206" s="642"/>
      <c r="R206" s="642"/>
      <c r="S206" s="642"/>
      <c r="T206" s="642"/>
      <c r="U206" s="642"/>
      <c r="V206" s="642"/>
      <c r="W206" s="642"/>
      <c r="X206" s="642"/>
      <c r="Y206" s="642"/>
      <c r="Z206" s="642"/>
      <c r="AA206" s="642"/>
      <c r="AB206" s="528"/>
      <c r="AC206" s="642"/>
      <c r="AD206" s="642"/>
      <c r="AE206" s="642"/>
      <c r="AF206" s="642"/>
      <c r="AG206" s="642"/>
      <c r="AH206" s="642"/>
      <c r="AI206" s="642"/>
      <c r="AJ206" s="642"/>
      <c r="AK206" s="643">
        <f t="shared" si="111"/>
        <v>0</v>
      </c>
      <c r="AL206" s="41"/>
      <c r="AM206" s="65"/>
      <c r="AN206" s="65"/>
      <c r="AO206" s="65"/>
    </row>
    <row r="207" spans="1:41">
      <c r="C207" s="1295" t="s">
        <v>261</v>
      </c>
      <c r="D207" s="1295"/>
      <c r="E207" s="1295"/>
      <c r="F207" s="642"/>
      <c r="G207" s="642"/>
      <c r="H207" s="642"/>
      <c r="I207" s="642"/>
      <c r="J207" s="642"/>
      <c r="K207" s="642"/>
      <c r="L207" s="642"/>
      <c r="M207" s="642"/>
      <c r="N207" s="642"/>
      <c r="O207" s="642"/>
      <c r="P207" s="642"/>
      <c r="Q207" s="642"/>
      <c r="R207" s="642"/>
      <c r="S207" s="642"/>
      <c r="T207" s="642"/>
      <c r="U207" s="642"/>
      <c r="V207" s="642"/>
      <c r="W207" s="642"/>
      <c r="X207" s="642"/>
      <c r="Y207" s="642"/>
      <c r="Z207" s="642"/>
      <c r="AA207" s="642"/>
      <c r="AB207" s="642"/>
      <c r="AC207" s="642"/>
      <c r="AD207" s="642"/>
      <c r="AE207" s="642"/>
      <c r="AF207" s="642"/>
      <c r="AG207" s="642"/>
      <c r="AH207" s="642"/>
      <c r="AI207" s="642"/>
      <c r="AJ207" s="642"/>
      <c r="AK207" s="643">
        <f t="shared" si="111"/>
        <v>0</v>
      </c>
      <c r="AL207" s="41"/>
      <c r="AM207" s="65"/>
      <c r="AN207" s="65"/>
      <c r="AO207" s="65"/>
    </row>
    <row r="208" spans="1:41">
      <c r="A208" s="65"/>
      <c r="C208" s="1295" t="s">
        <v>262</v>
      </c>
      <c r="D208" s="1295"/>
      <c r="E208" s="1295"/>
      <c r="F208" s="642"/>
      <c r="G208" s="642"/>
      <c r="H208" s="642"/>
      <c r="I208" s="642"/>
      <c r="J208" s="642"/>
      <c r="K208" s="642"/>
      <c r="L208" s="642"/>
      <c r="M208" s="642"/>
      <c r="N208" s="642"/>
      <c r="O208" s="642"/>
      <c r="P208" s="642"/>
      <c r="Q208" s="642"/>
      <c r="R208" s="642"/>
      <c r="S208" s="642"/>
      <c r="T208" s="642"/>
      <c r="U208" s="642"/>
      <c r="V208" s="642"/>
      <c r="W208" s="642"/>
      <c r="X208" s="642"/>
      <c r="Y208" s="642"/>
      <c r="Z208" s="642"/>
      <c r="AA208" s="642"/>
      <c r="AB208" s="642"/>
      <c r="AC208" s="642"/>
      <c r="AD208" s="642"/>
      <c r="AE208" s="642"/>
      <c r="AF208" s="642"/>
      <c r="AG208" s="642"/>
      <c r="AH208" s="642"/>
      <c r="AI208" s="642"/>
      <c r="AJ208" s="644"/>
      <c r="AK208" s="643">
        <f t="shared" si="111"/>
        <v>0</v>
      </c>
      <c r="AL208" s="41"/>
      <c r="AM208" s="65"/>
      <c r="AN208" s="65"/>
      <c r="AO208" s="65"/>
    </row>
    <row r="209" spans="1:40">
      <c r="A209" s="65"/>
      <c r="C209" s="1295" t="s">
        <v>263</v>
      </c>
      <c r="D209" s="1295"/>
      <c r="E209" s="1295"/>
      <c r="F209" s="642"/>
      <c r="G209" s="642"/>
      <c r="H209" s="642"/>
      <c r="I209" s="642"/>
      <c r="J209" s="642"/>
      <c r="K209" s="642"/>
      <c r="L209" s="642"/>
      <c r="M209" s="642"/>
      <c r="N209" s="642"/>
      <c r="O209" s="642"/>
      <c r="P209" s="642"/>
      <c r="Q209" s="642"/>
      <c r="R209" s="642"/>
      <c r="S209" s="642"/>
      <c r="T209" s="642"/>
      <c r="U209" s="642"/>
      <c r="V209" s="642"/>
      <c r="W209" s="642"/>
      <c r="X209" s="642"/>
      <c r="Y209" s="642"/>
      <c r="Z209" s="642"/>
      <c r="AA209" s="642"/>
      <c r="AB209" s="642"/>
      <c r="AC209" s="642"/>
      <c r="AD209" s="642"/>
      <c r="AE209" s="642"/>
      <c r="AF209" s="642"/>
      <c r="AG209" s="642"/>
      <c r="AH209" s="642"/>
      <c r="AI209" s="642"/>
      <c r="AJ209" s="642"/>
      <c r="AK209" s="643">
        <f t="shared" si="111"/>
        <v>0</v>
      </c>
      <c r="AL209" s="106"/>
      <c r="AN209" s="65"/>
    </row>
    <row r="210" spans="1:40">
      <c r="A210" s="65"/>
      <c r="C210" s="1295" t="s">
        <v>264</v>
      </c>
      <c r="D210" s="1295"/>
      <c r="E210" s="1295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42"/>
      <c r="AB210" s="642"/>
      <c r="AC210" s="642"/>
      <c r="AD210" s="642"/>
      <c r="AE210" s="642"/>
      <c r="AF210" s="642"/>
      <c r="AG210" s="642"/>
      <c r="AH210" s="642"/>
      <c r="AI210" s="642"/>
      <c r="AJ210" s="642"/>
      <c r="AK210" s="643">
        <f t="shared" si="111"/>
        <v>0</v>
      </c>
      <c r="AL210" s="106"/>
      <c r="AN210" s="65"/>
    </row>
    <row r="211" spans="1:40">
      <c r="A211" s="65"/>
      <c r="C211" s="1295" t="s">
        <v>265</v>
      </c>
      <c r="D211" s="1295"/>
      <c r="E211" s="1295"/>
      <c r="F211" s="642"/>
      <c r="G211" s="642"/>
      <c r="H211" s="642"/>
      <c r="I211" s="642"/>
      <c r="J211" s="642"/>
      <c r="K211" s="642"/>
      <c r="L211" s="642"/>
      <c r="M211" s="642"/>
      <c r="N211" s="642"/>
      <c r="O211" s="642"/>
      <c r="P211" s="642"/>
      <c r="Q211" s="642"/>
      <c r="R211" s="642"/>
      <c r="S211" s="642"/>
      <c r="T211" s="642"/>
      <c r="U211" s="642"/>
      <c r="V211" s="642"/>
      <c r="W211" s="642"/>
      <c r="X211" s="642"/>
      <c r="Y211" s="642"/>
      <c r="Z211" s="642"/>
      <c r="AA211" s="642"/>
      <c r="AB211" s="642"/>
      <c r="AC211" s="642"/>
      <c r="AD211" s="642"/>
      <c r="AE211" s="642"/>
      <c r="AF211" s="642"/>
      <c r="AG211" s="642"/>
      <c r="AH211" s="642"/>
      <c r="AI211" s="642"/>
      <c r="AJ211" s="642"/>
      <c r="AK211" s="643"/>
      <c r="AL211" s="106"/>
      <c r="AN211" s="65"/>
    </row>
    <row r="212" spans="1:40">
      <c r="A212" s="65"/>
      <c r="C212" s="1295" t="s">
        <v>266</v>
      </c>
      <c r="D212" s="1295"/>
      <c r="E212" s="1295"/>
      <c r="F212" s="642"/>
      <c r="G212" s="642"/>
      <c r="H212" s="642"/>
      <c r="I212" s="642"/>
      <c r="J212" s="642"/>
      <c r="K212" s="642"/>
      <c r="L212" s="642"/>
      <c r="M212" s="642"/>
      <c r="N212" s="642"/>
      <c r="O212" s="642"/>
      <c r="P212" s="642"/>
      <c r="Q212" s="642"/>
      <c r="R212" s="642"/>
      <c r="S212" s="642"/>
      <c r="T212" s="642"/>
      <c r="U212" s="642"/>
      <c r="V212" s="642"/>
      <c r="W212" s="642"/>
      <c r="X212" s="642"/>
      <c r="Y212" s="642"/>
      <c r="Z212" s="642"/>
      <c r="AA212" s="642"/>
      <c r="AB212" s="642"/>
      <c r="AC212" s="642"/>
      <c r="AD212" s="642"/>
      <c r="AE212" s="642"/>
      <c r="AF212" s="642"/>
      <c r="AG212" s="642"/>
      <c r="AH212" s="642"/>
      <c r="AI212" s="642"/>
      <c r="AJ212" s="642"/>
      <c r="AK212" s="643">
        <f t="shared" si="111"/>
        <v>0</v>
      </c>
      <c r="AL212" s="106"/>
    </row>
    <row r="213" spans="1:40">
      <c r="A213" s="65"/>
      <c r="C213" s="1295" t="s">
        <v>267</v>
      </c>
      <c r="D213" s="1295"/>
      <c r="E213" s="1295"/>
      <c r="F213" s="642"/>
      <c r="G213" s="642"/>
      <c r="H213" s="642"/>
      <c r="I213" s="642"/>
      <c r="J213" s="642"/>
      <c r="K213" s="642"/>
      <c r="L213" s="642"/>
      <c r="M213" s="642"/>
      <c r="N213" s="642"/>
      <c r="O213" s="642"/>
      <c r="P213" s="642"/>
      <c r="Q213" s="642"/>
      <c r="R213" s="642"/>
      <c r="S213" s="642"/>
      <c r="T213" s="642"/>
      <c r="U213" s="642"/>
      <c r="V213" s="642"/>
      <c r="W213" s="642"/>
      <c r="X213" s="642"/>
      <c r="Y213" s="642"/>
      <c r="Z213" s="642"/>
      <c r="AA213" s="642"/>
      <c r="AB213" s="642"/>
      <c r="AC213" s="642"/>
      <c r="AD213" s="642"/>
      <c r="AE213" s="642"/>
      <c r="AF213" s="642"/>
      <c r="AG213" s="642"/>
      <c r="AH213" s="642"/>
      <c r="AI213" s="642"/>
      <c r="AJ213" s="642"/>
      <c r="AK213" s="643">
        <f>SUM(F213:AJ213)</f>
        <v>0</v>
      </c>
      <c r="AL213" s="101">
        <f>AK215-161347.03</f>
        <v>-161347.03</v>
      </c>
    </row>
    <row r="214" spans="1:40">
      <c r="A214" s="65"/>
      <c r="C214" s="1295" t="s">
        <v>268</v>
      </c>
      <c r="D214" s="1295"/>
      <c r="E214" s="1295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42"/>
      <c r="AB214" s="642"/>
      <c r="AC214" s="642"/>
      <c r="AD214" s="642"/>
      <c r="AE214" s="642"/>
      <c r="AF214" s="642"/>
      <c r="AG214" s="642"/>
      <c r="AH214" s="642"/>
      <c r="AI214" s="642"/>
      <c r="AJ214" s="642"/>
      <c r="AK214" s="643">
        <f>SUM(F214:AJ214)</f>
        <v>0</v>
      </c>
      <c r="AL214" s="101"/>
    </row>
    <row r="215" spans="1:40">
      <c r="A215" s="65"/>
      <c r="B215" s="41"/>
      <c r="C215" s="1297" t="s">
        <v>72</v>
      </c>
      <c r="D215" s="1297"/>
      <c r="E215" s="1297"/>
      <c r="F215" s="645">
        <f>SUM(F203:F214)</f>
        <v>0</v>
      </c>
      <c r="G215" s="645">
        <f t="shared" ref="G215:AJ215" si="112">SUM(G203:G214)</f>
        <v>0</v>
      </c>
      <c r="H215" s="645">
        <f t="shared" si="112"/>
        <v>0</v>
      </c>
      <c r="I215" s="645">
        <f t="shared" si="112"/>
        <v>0</v>
      </c>
      <c r="J215" s="645">
        <f t="shared" si="112"/>
        <v>0</v>
      </c>
      <c r="K215" s="645">
        <f t="shared" si="112"/>
        <v>0</v>
      </c>
      <c r="L215" s="645">
        <f t="shared" si="112"/>
        <v>0</v>
      </c>
      <c r="M215" s="645">
        <f t="shared" si="112"/>
        <v>0</v>
      </c>
      <c r="N215" s="645">
        <f t="shared" si="112"/>
        <v>0</v>
      </c>
      <c r="O215" s="645">
        <f t="shared" si="112"/>
        <v>0</v>
      </c>
      <c r="P215" s="645">
        <f t="shared" si="112"/>
        <v>0</v>
      </c>
      <c r="Q215" s="645">
        <f t="shared" si="112"/>
        <v>0</v>
      </c>
      <c r="R215" s="645">
        <f t="shared" si="112"/>
        <v>0</v>
      </c>
      <c r="S215" s="645">
        <f t="shared" si="112"/>
        <v>0</v>
      </c>
      <c r="T215" s="645">
        <f t="shared" si="112"/>
        <v>0</v>
      </c>
      <c r="U215" s="645">
        <f t="shared" si="112"/>
        <v>0</v>
      </c>
      <c r="V215" s="645">
        <f t="shared" si="112"/>
        <v>0</v>
      </c>
      <c r="W215" s="645">
        <f t="shared" si="112"/>
        <v>0</v>
      </c>
      <c r="X215" s="645">
        <f t="shared" si="112"/>
        <v>0</v>
      </c>
      <c r="Y215" s="645">
        <f t="shared" si="112"/>
        <v>0</v>
      </c>
      <c r="Z215" s="645">
        <f t="shared" si="112"/>
        <v>0</v>
      </c>
      <c r="AA215" s="645">
        <f t="shared" si="112"/>
        <v>0</v>
      </c>
      <c r="AB215" s="645">
        <f t="shared" si="112"/>
        <v>0</v>
      </c>
      <c r="AC215" s="645">
        <f t="shared" si="112"/>
        <v>0</v>
      </c>
      <c r="AD215" s="645">
        <f t="shared" si="112"/>
        <v>0</v>
      </c>
      <c r="AE215" s="645">
        <f t="shared" si="112"/>
        <v>0</v>
      </c>
      <c r="AF215" s="645">
        <f t="shared" si="112"/>
        <v>0</v>
      </c>
      <c r="AG215" s="645">
        <f t="shared" si="112"/>
        <v>0</v>
      </c>
      <c r="AH215" s="645">
        <f t="shared" si="112"/>
        <v>0</v>
      </c>
      <c r="AI215" s="645">
        <f t="shared" si="112"/>
        <v>0</v>
      </c>
      <c r="AJ215" s="645">
        <f t="shared" si="112"/>
        <v>0</v>
      </c>
      <c r="AK215" s="643">
        <f t="shared" si="111"/>
        <v>0</v>
      </c>
      <c r="AL215" s="382"/>
    </row>
    <row r="216" spans="1:40">
      <c r="B216" s="41"/>
      <c r="C216" s="101" t="s">
        <v>269</v>
      </c>
      <c r="D216" s="101"/>
      <c r="F216" s="101">
        <v>11261.052</v>
      </c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156"/>
      <c r="AJ216" s="90"/>
      <c r="AK216" s="90"/>
      <c r="AL216" s="41"/>
    </row>
    <row r="217" spans="1:40" ht="17.45">
      <c r="B217" s="41"/>
      <c r="C217" s="164" t="str">
        <f>"9 Distance OB Actual "&amp;MID($C$2,13,20)</f>
        <v>9 Distance OB Actual Sep'26</v>
      </c>
      <c r="D217" s="164"/>
      <c r="G217" s="65"/>
      <c r="Z217" s="41"/>
      <c r="AL217" s="41"/>
    </row>
    <row r="218" spans="1:40">
      <c r="B218" s="41"/>
      <c r="C218" s="1328" t="s">
        <v>248</v>
      </c>
      <c r="D218" s="1328"/>
      <c r="E218" s="1328"/>
      <c r="F218" s="1080" t="s">
        <v>157</v>
      </c>
      <c r="G218" s="519" t="s">
        <v>158</v>
      </c>
      <c r="H218" s="519" t="s">
        <v>159</v>
      </c>
      <c r="I218" s="519" t="s">
        <v>160</v>
      </c>
      <c r="J218" s="519" t="s">
        <v>161</v>
      </c>
      <c r="K218" s="519" t="s">
        <v>162</v>
      </c>
      <c r="L218" s="519" t="s">
        <v>163</v>
      </c>
      <c r="M218" s="519" t="s">
        <v>164</v>
      </c>
      <c r="N218" s="519" t="s">
        <v>165</v>
      </c>
      <c r="O218" s="519" t="s">
        <v>166</v>
      </c>
      <c r="P218" s="519" t="s">
        <v>167</v>
      </c>
      <c r="Q218" s="519" t="s">
        <v>168</v>
      </c>
      <c r="R218" s="519" t="s">
        <v>169</v>
      </c>
      <c r="S218" s="519" t="s">
        <v>170</v>
      </c>
      <c r="T218" s="519" t="s">
        <v>171</v>
      </c>
      <c r="U218" s="519" t="s">
        <v>172</v>
      </c>
      <c r="V218" s="519" t="s">
        <v>173</v>
      </c>
      <c r="W218" s="519" t="s">
        <v>174</v>
      </c>
      <c r="X218" s="519" t="s">
        <v>175</v>
      </c>
      <c r="Y218" s="519" t="s">
        <v>176</v>
      </c>
      <c r="Z218" s="519" t="s">
        <v>177</v>
      </c>
      <c r="AA218" s="519" t="s">
        <v>178</v>
      </c>
      <c r="AB218" s="519" t="s">
        <v>179</v>
      </c>
      <c r="AC218" s="519" t="s">
        <v>180</v>
      </c>
      <c r="AD218" s="519" t="s">
        <v>181</v>
      </c>
      <c r="AE218" s="519" t="s">
        <v>182</v>
      </c>
      <c r="AF218" s="519" t="s">
        <v>183</v>
      </c>
      <c r="AG218" s="519" t="s">
        <v>184</v>
      </c>
      <c r="AH218" s="519" t="s">
        <v>185</v>
      </c>
      <c r="AI218" s="519" t="s">
        <v>186</v>
      </c>
      <c r="AJ218" s="519" t="s">
        <v>187</v>
      </c>
      <c r="AK218" s="627" t="s">
        <v>270</v>
      </c>
      <c r="AL218" s="606" t="s">
        <v>189</v>
      </c>
    </row>
    <row r="219" spans="1:40" ht="13.9" customHeight="1">
      <c r="B219" s="41"/>
      <c r="C219" s="1298" t="s">
        <v>211</v>
      </c>
      <c r="D219" s="1298"/>
      <c r="E219" s="1298"/>
      <c r="F219" s="585">
        <v>0.93787709959271204</v>
      </c>
      <c r="G219" s="586">
        <v>1.10813550250041</v>
      </c>
      <c r="H219" s="586">
        <f>1054.9736195859/1000</f>
        <v>1.0549736195859001</v>
      </c>
      <c r="I219" s="586">
        <f>1127.89236784631/1000</f>
        <v>1.12789236784631</v>
      </c>
      <c r="J219" s="586">
        <v>1.3897226864062699</v>
      </c>
      <c r="K219" s="586">
        <v>1.0419867721932401</v>
      </c>
      <c r="L219" s="586">
        <v>1.0845163362933501</v>
      </c>
      <c r="M219" s="586"/>
      <c r="N219" s="586"/>
      <c r="O219" s="586"/>
      <c r="P219" s="586"/>
      <c r="Q219" s="586"/>
      <c r="R219" s="586"/>
      <c r="S219" s="586"/>
      <c r="T219" s="586"/>
      <c r="U219" s="586"/>
      <c r="V219" s="586"/>
      <c r="W219" s="586"/>
      <c r="X219" s="586"/>
      <c r="Y219" s="586"/>
      <c r="Z219" s="586"/>
      <c r="AA219" s="586"/>
      <c r="AB219" s="586"/>
      <c r="AC219" s="586"/>
      <c r="AD219" s="586"/>
      <c r="AE219" s="586"/>
      <c r="AF219" s="586"/>
      <c r="AG219" s="586"/>
      <c r="AH219" s="586"/>
      <c r="AI219" s="586"/>
      <c r="AJ219" s="586"/>
      <c r="AK219" s="91">
        <f>IFERROR(SUMPRODUCT($F$219:$AJ$219,$F$9:$AJ$9)/$AK$9,0)</f>
        <v>1.1029474855769581</v>
      </c>
      <c r="AL219" s="608">
        <f>HLOOKUP(LEFT(Summary!$D$3,2),Actual!F218:AJ221,2,FALSE)</f>
        <v>1.0845163362933501</v>
      </c>
      <c r="AM219" s="65"/>
    </row>
    <row r="220" spans="1:40" ht="13.9" hidden="1" customHeight="1">
      <c r="C220" s="1298"/>
      <c r="D220" s="1298"/>
      <c r="E220" s="1079"/>
      <c r="F220" s="1081">
        <f>F203</f>
        <v>0</v>
      </c>
      <c r="G220" s="1081">
        <f t="shared" ref="G220:AJ220" si="113">G203</f>
        <v>0</v>
      </c>
      <c r="H220" s="1081">
        <f t="shared" si="113"/>
        <v>0</v>
      </c>
      <c r="I220" s="1081">
        <f t="shared" si="113"/>
        <v>0</v>
      </c>
      <c r="J220" s="1081">
        <f t="shared" si="113"/>
        <v>0</v>
      </c>
      <c r="K220" s="1081">
        <f t="shared" si="113"/>
        <v>0</v>
      </c>
      <c r="L220" s="1081">
        <f t="shared" si="113"/>
        <v>0</v>
      </c>
      <c r="M220" s="1081">
        <f t="shared" si="113"/>
        <v>0</v>
      </c>
      <c r="N220" s="1081">
        <f t="shared" si="113"/>
        <v>0</v>
      </c>
      <c r="O220" s="1081">
        <f t="shared" si="113"/>
        <v>0</v>
      </c>
      <c r="P220" s="1081">
        <f t="shared" si="113"/>
        <v>0</v>
      </c>
      <c r="Q220" s="1081">
        <f t="shared" si="113"/>
        <v>0</v>
      </c>
      <c r="R220" s="1081">
        <f t="shared" si="113"/>
        <v>0</v>
      </c>
      <c r="S220" s="1081">
        <f t="shared" si="113"/>
        <v>0</v>
      </c>
      <c r="T220" s="1081">
        <f t="shared" si="113"/>
        <v>0</v>
      </c>
      <c r="U220" s="1081">
        <f t="shared" si="113"/>
        <v>0</v>
      </c>
      <c r="V220" s="1081">
        <f t="shared" si="113"/>
        <v>0</v>
      </c>
      <c r="W220" s="1081">
        <f t="shared" si="113"/>
        <v>0</v>
      </c>
      <c r="X220" s="1081">
        <f t="shared" si="113"/>
        <v>0</v>
      </c>
      <c r="Y220" s="1081">
        <f t="shared" si="113"/>
        <v>0</v>
      </c>
      <c r="Z220" s="1081">
        <f t="shared" si="113"/>
        <v>0</v>
      </c>
      <c r="AA220" s="1081">
        <f t="shared" si="113"/>
        <v>0</v>
      </c>
      <c r="AB220" s="1081">
        <f t="shared" si="113"/>
        <v>0</v>
      </c>
      <c r="AC220" s="1081">
        <f t="shared" si="113"/>
        <v>0</v>
      </c>
      <c r="AD220" s="1081">
        <f t="shared" si="113"/>
        <v>0</v>
      </c>
      <c r="AE220" s="1081">
        <f t="shared" si="113"/>
        <v>0</v>
      </c>
      <c r="AF220" s="1081">
        <f t="shared" si="113"/>
        <v>0</v>
      </c>
      <c r="AG220" s="1081">
        <f t="shared" si="113"/>
        <v>0</v>
      </c>
      <c r="AH220" s="1081">
        <f t="shared" si="113"/>
        <v>0</v>
      </c>
      <c r="AI220" s="1081">
        <f t="shared" si="113"/>
        <v>0</v>
      </c>
      <c r="AJ220" s="1081">
        <f t="shared" si="113"/>
        <v>0</v>
      </c>
      <c r="AK220" s="638">
        <f>SUM(F220:AJ220)</f>
        <v>0</v>
      </c>
    </row>
    <row r="221" spans="1:40" ht="13.9" customHeight="1">
      <c r="C221" s="1299" t="s">
        <v>271</v>
      </c>
      <c r="D221" s="1299"/>
      <c r="E221" s="1299"/>
      <c r="F221" s="1082">
        <f>MAX(F219:F220)</f>
        <v>0.93787709959271204</v>
      </c>
      <c r="G221" s="380">
        <f>MAX(G219:G220)</f>
        <v>1.10813550250041</v>
      </c>
      <c r="H221" s="380">
        <f t="shared" ref="H221:AJ221" si="114">MAX(H219:H220)</f>
        <v>1.0549736195859001</v>
      </c>
      <c r="I221" s="380">
        <f t="shared" si="114"/>
        <v>1.12789236784631</v>
      </c>
      <c r="J221" s="380">
        <f t="shared" si="114"/>
        <v>1.3897226864062699</v>
      </c>
      <c r="K221" s="380">
        <f t="shared" si="114"/>
        <v>1.0419867721932401</v>
      </c>
      <c r="L221" s="380">
        <f t="shared" si="114"/>
        <v>1.0845163362933501</v>
      </c>
      <c r="M221" s="380">
        <f t="shared" si="114"/>
        <v>0</v>
      </c>
      <c r="N221" s="380">
        <f t="shared" si="114"/>
        <v>0</v>
      </c>
      <c r="O221" s="380">
        <f t="shared" si="114"/>
        <v>0</v>
      </c>
      <c r="P221" s="380">
        <f t="shared" si="114"/>
        <v>0</v>
      </c>
      <c r="Q221" s="380">
        <f t="shared" si="114"/>
        <v>0</v>
      </c>
      <c r="R221" s="380">
        <f t="shared" si="114"/>
        <v>0</v>
      </c>
      <c r="S221" s="380">
        <f t="shared" si="114"/>
        <v>0</v>
      </c>
      <c r="T221" s="380">
        <f t="shared" si="114"/>
        <v>0</v>
      </c>
      <c r="U221" s="380">
        <f t="shared" si="114"/>
        <v>0</v>
      </c>
      <c r="V221" s="380">
        <f t="shared" si="114"/>
        <v>0</v>
      </c>
      <c r="W221" s="380">
        <f t="shared" si="114"/>
        <v>0</v>
      </c>
      <c r="X221" s="380">
        <f t="shared" si="114"/>
        <v>0</v>
      </c>
      <c r="Y221" s="380">
        <f t="shared" si="114"/>
        <v>0</v>
      </c>
      <c r="Z221" s="380">
        <f t="shared" si="114"/>
        <v>0</v>
      </c>
      <c r="AA221" s="380">
        <f t="shared" si="114"/>
        <v>0</v>
      </c>
      <c r="AB221" s="380">
        <f t="shared" si="114"/>
        <v>0</v>
      </c>
      <c r="AC221" s="380">
        <f t="shared" si="114"/>
        <v>0</v>
      </c>
      <c r="AD221" s="380">
        <f>MAX(AD219:AD220)</f>
        <v>0</v>
      </c>
      <c r="AE221" s="380">
        <f t="shared" si="114"/>
        <v>0</v>
      </c>
      <c r="AF221" s="380">
        <f t="shared" si="114"/>
        <v>0</v>
      </c>
      <c r="AG221" s="380">
        <f t="shared" si="114"/>
        <v>0</v>
      </c>
      <c r="AH221" s="380">
        <f t="shared" si="114"/>
        <v>0</v>
      </c>
      <c r="AI221" s="380">
        <f t="shared" si="114"/>
        <v>0</v>
      </c>
      <c r="AJ221" s="380">
        <f t="shared" si="114"/>
        <v>0</v>
      </c>
      <c r="AK221" s="637">
        <f>IFERROR(SUMPRODUCT($F$139:$AJ$139,$F$219:$AJ$219)/$AK$139,0)</f>
        <v>1.1029474855769581</v>
      </c>
    </row>
    <row r="222" spans="1:40">
      <c r="C222" s="76"/>
      <c r="D222" s="76"/>
      <c r="F222" s="41"/>
      <c r="G222" s="65"/>
      <c r="H222" s="65"/>
      <c r="I222" s="41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29"/>
      <c r="AB222" s="29"/>
      <c r="AC222" s="41"/>
      <c r="AD222" s="41"/>
      <c r="AE222" s="65"/>
      <c r="AF222" s="65"/>
      <c r="AG222" s="65"/>
      <c r="AH222" s="65"/>
      <c r="AI222" s="65"/>
      <c r="AJ222" s="41"/>
    </row>
    <row r="223" spans="1:40" ht="17.45">
      <c r="C223" s="164" t="str">
        <f>"10 Distance COAL Actual "&amp;MID($C$2,13,20)</f>
        <v>10 Distance COAL Actual Sep'26</v>
      </c>
      <c r="D223" s="164"/>
      <c r="Z223" s="41"/>
    </row>
    <row r="224" spans="1:40">
      <c r="C224" s="1328" t="s">
        <v>248</v>
      </c>
      <c r="D224" s="1328"/>
      <c r="E224" s="1328"/>
      <c r="F224" s="519" t="s">
        <v>157</v>
      </c>
      <c r="G224" s="519" t="s">
        <v>158</v>
      </c>
      <c r="H224" s="519" t="s">
        <v>159</v>
      </c>
      <c r="I224" s="519" t="s">
        <v>160</v>
      </c>
      <c r="J224" s="519" t="s">
        <v>161</v>
      </c>
      <c r="K224" s="519" t="s">
        <v>162</v>
      </c>
      <c r="L224" s="519" t="s">
        <v>163</v>
      </c>
      <c r="M224" s="519" t="s">
        <v>164</v>
      </c>
      <c r="N224" s="519" t="s">
        <v>165</v>
      </c>
      <c r="O224" s="519" t="s">
        <v>166</v>
      </c>
      <c r="P224" s="519" t="s">
        <v>167</v>
      </c>
      <c r="Q224" s="519" t="s">
        <v>168</v>
      </c>
      <c r="R224" s="519" t="s">
        <v>169</v>
      </c>
      <c r="S224" s="519" t="s">
        <v>170</v>
      </c>
      <c r="T224" s="519" t="s">
        <v>171</v>
      </c>
      <c r="U224" s="519" t="s">
        <v>172</v>
      </c>
      <c r="V224" s="519" t="s">
        <v>173</v>
      </c>
      <c r="W224" s="519" t="s">
        <v>174</v>
      </c>
      <c r="X224" s="519" t="s">
        <v>175</v>
      </c>
      <c r="Y224" s="519" t="s">
        <v>176</v>
      </c>
      <c r="Z224" s="519" t="s">
        <v>177</v>
      </c>
      <c r="AA224" s="519" t="s">
        <v>178</v>
      </c>
      <c r="AB224" s="519" t="s">
        <v>179</v>
      </c>
      <c r="AC224" s="519" t="s">
        <v>180</v>
      </c>
      <c r="AD224" s="519" t="s">
        <v>181</v>
      </c>
      <c r="AE224" s="519" t="s">
        <v>182</v>
      </c>
      <c r="AF224" s="519" t="s">
        <v>183</v>
      </c>
      <c r="AG224" s="519" t="s">
        <v>184</v>
      </c>
      <c r="AH224" s="519" t="s">
        <v>185</v>
      </c>
      <c r="AI224" s="519" t="s">
        <v>186</v>
      </c>
      <c r="AJ224" s="519" t="s">
        <v>187</v>
      </c>
      <c r="AK224" s="627" t="s">
        <v>270</v>
      </c>
      <c r="AL224" s="606" t="s">
        <v>189</v>
      </c>
    </row>
    <row r="225" spans="3:38" ht="13.9" customHeight="1">
      <c r="C225" s="1298" t="s">
        <v>211</v>
      </c>
      <c r="D225" s="1298"/>
      <c r="E225" s="1298"/>
      <c r="F225" s="945"/>
      <c r="G225" s="945"/>
      <c r="H225" s="945"/>
      <c r="I225" s="945"/>
      <c r="J225" s="945">
        <f>12908.824/1000</f>
        <v>12.908824000000001</v>
      </c>
      <c r="K225" s="945"/>
      <c r="L225" s="945"/>
      <c r="M225" s="945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  <c r="AA225" s="945"/>
      <c r="AB225" s="945"/>
      <c r="AC225" s="945"/>
      <c r="AD225" s="945"/>
      <c r="AE225" s="945"/>
      <c r="AF225" s="945"/>
      <c r="AG225" s="945"/>
      <c r="AH225" s="945"/>
      <c r="AI225" s="945"/>
      <c r="AJ225" s="945"/>
      <c r="AK225" s="91">
        <f>IFERROR(SUMPRODUCT($F$225:$AJ$225,$F$109:$AJ$109)/$AK$109,0)</f>
        <v>12.908824000000001</v>
      </c>
      <c r="AL225" s="608">
        <f>HLOOKUP(LEFT(Summary!$D$3,2),Actual!E224:AJ228,2,FALSE)</f>
        <v>0</v>
      </c>
    </row>
    <row r="226" spans="3:38" ht="16.899999999999999" hidden="1" customHeight="1">
      <c r="C226" s="1298"/>
      <c r="D226" s="1298"/>
      <c r="E226" s="1079"/>
      <c r="F226" s="402"/>
      <c r="G226" s="402"/>
      <c r="H226" s="402"/>
      <c r="I226" s="402"/>
      <c r="J226" s="402"/>
      <c r="K226" s="402"/>
      <c r="L226" s="402"/>
      <c r="M226" s="402"/>
      <c r="N226" s="402"/>
      <c r="O226" s="402"/>
      <c r="P226" s="402"/>
      <c r="Q226" s="402"/>
      <c r="R226" s="402"/>
      <c r="S226" s="402"/>
      <c r="T226" s="402"/>
      <c r="U226" s="402"/>
      <c r="V226" s="402"/>
      <c r="W226" s="402"/>
      <c r="X226" s="402"/>
      <c r="Y226" s="402"/>
      <c r="Z226" s="402"/>
      <c r="AA226" s="402"/>
      <c r="AB226" s="402"/>
      <c r="AC226" s="402"/>
      <c r="AD226" s="402"/>
      <c r="AE226" s="402"/>
      <c r="AF226" s="402"/>
      <c r="AG226" s="402"/>
      <c r="AH226" s="402"/>
      <c r="AI226" s="402"/>
      <c r="AJ226" s="402"/>
      <c r="AK226" s="638">
        <f>SUM(F226:AJ226)</f>
        <v>0</v>
      </c>
    </row>
    <row r="227" spans="3:38" ht="16.899999999999999" customHeight="1">
      <c r="C227" s="1299" t="s">
        <v>272</v>
      </c>
      <c r="D227" s="1299"/>
      <c r="E227" s="1299"/>
      <c r="F227" s="380">
        <f>MAX(F225:F226)</f>
        <v>0</v>
      </c>
      <c r="G227" s="380">
        <f t="shared" ref="G227:AJ227" si="115">MAX(G225:G226)</f>
        <v>0</v>
      </c>
      <c r="H227" s="380">
        <f t="shared" si="115"/>
        <v>0</v>
      </c>
      <c r="I227" s="380">
        <f t="shared" si="115"/>
        <v>0</v>
      </c>
      <c r="J227" s="380">
        <f t="shared" si="115"/>
        <v>12.908824000000001</v>
      </c>
      <c r="K227" s="380">
        <f t="shared" si="115"/>
        <v>0</v>
      </c>
      <c r="L227" s="380">
        <f t="shared" si="115"/>
        <v>0</v>
      </c>
      <c r="M227" s="380">
        <f t="shared" si="115"/>
        <v>0</v>
      </c>
      <c r="N227" s="380">
        <f t="shared" si="115"/>
        <v>0</v>
      </c>
      <c r="O227" s="380">
        <f t="shared" si="115"/>
        <v>0</v>
      </c>
      <c r="P227" s="380">
        <f t="shared" si="115"/>
        <v>0</v>
      </c>
      <c r="Q227" s="380">
        <f t="shared" si="115"/>
        <v>0</v>
      </c>
      <c r="R227" s="380">
        <f t="shared" si="115"/>
        <v>0</v>
      </c>
      <c r="S227" s="380">
        <f t="shared" si="115"/>
        <v>0</v>
      </c>
      <c r="T227" s="380">
        <f t="shared" si="115"/>
        <v>0</v>
      </c>
      <c r="U227" s="380">
        <f t="shared" si="115"/>
        <v>0</v>
      </c>
      <c r="V227" s="380">
        <f t="shared" si="115"/>
        <v>0</v>
      </c>
      <c r="W227" s="380">
        <f t="shared" si="115"/>
        <v>0</v>
      </c>
      <c r="X227" s="380">
        <f t="shared" si="115"/>
        <v>0</v>
      </c>
      <c r="Y227" s="380">
        <f t="shared" si="115"/>
        <v>0</v>
      </c>
      <c r="Z227" s="380">
        <f t="shared" si="115"/>
        <v>0</v>
      </c>
      <c r="AA227" s="380">
        <f t="shared" si="115"/>
        <v>0</v>
      </c>
      <c r="AB227" s="380">
        <f t="shared" si="115"/>
        <v>0</v>
      </c>
      <c r="AC227" s="380">
        <f t="shared" si="115"/>
        <v>0</v>
      </c>
      <c r="AD227" s="380">
        <f t="shared" si="115"/>
        <v>0</v>
      </c>
      <c r="AE227" s="380">
        <f t="shared" si="115"/>
        <v>0</v>
      </c>
      <c r="AF227" s="380">
        <f t="shared" si="115"/>
        <v>0</v>
      </c>
      <c r="AG227" s="380">
        <f t="shared" si="115"/>
        <v>0</v>
      </c>
      <c r="AH227" s="380">
        <f t="shared" si="115"/>
        <v>0</v>
      </c>
      <c r="AI227" s="380">
        <f t="shared" si="115"/>
        <v>0</v>
      </c>
      <c r="AJ227" s="380">
        <f t="shared" si="115"/>
        <v>0</v>
      </c>
      <c r="AK227" s="637">
        <f>IFERROR(SUMPRODUCT($F$156:$AJ$156,$F$225:$AJ$225)/$AK$156,0)</f>
        <v>12.908824000000001</v>
      </c>
    </row>
    <row r="228" spans="3:38">
      <c r="E228" s="65"/>
      <c r="F228" s="65"/>
      <c r="G228" s="65"/>
      <c r="I228" s="65"/>
      <c r="K228" s="65"/>
      <c r="O228" s="65"/>
      <c r="AA228" s="65"/>
      <c r="AD228" s="65"/>
      <c r="AE228" s="65"/>
      <c r="AF228" s="65"/>
      <c r="AG228" s="65"/>
    </row>
    <row r="229" spans="3:38"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</row>
    <row r="230" spans="3:38">
      <c r="F230" s="448"/>
      <c r="G230" s="448"/>
      <c r="H230" s="448"/>
      <c r="I230" s="448"/>
      <c r="J230" s="448"/>
      <c r="K230" s="448"/>
      <c r="L230" s="448"/>
      <c r="M230" s="448"/>
      <c r="N230" s="448"/>
      <c r="O230" s="448"/>
      <c r="P230" s="448"/>
      <c r="Q230" s="448"/>
      <c r="R230" s="448"/>
      <c r="S230" s="448"/>
      <c r="T230" s="448"/>
      <c r="U230" s="448"/>
      <c r="V230" s="448"/>
      <c r="W230" s="448"/>
      <c r="X230" s="448"/>
      <c r="Y230" s="448"/>
      <c r="Z230" s="448"/>
      <c r="AA230" s="448"/>
      <c r="AB230" s="448"/>
      <c r="AC230" s="448"/>
      <c r="AD230" s="448"/>
      <c r="AE230" s="448"/>
      <c r="AF230" s="448"/>
      <c r="AG230" s="448"/>
      <c r="AH230" s="448"/>
      <c r="AI230" s="448"/>
      <c r="AJ230" s="448"/>
    </row>
    <row r="231" spans="3:38"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</row>
    <row r="232" spans="3:38" ht="14.45" hidden="1" customHeight="1">
      <c r="J232" s="174"/>
      <c r="K232" s="174"/>
      <c r="L232" s="174"/>
      <c r="M232" s="174"/>
      <c r="N232" s="834"/>
      <c r="O232" s="834"/>
      <c r="P232" s="174"/>
      <c r="Q232" s="174"/>
      <c r="R232" s="174"/>
      <c r="S232" s="174"/>
      <c r="T232" s="174"/>
      <c r="U232" s="174"/>
      <c r="Z232" s="1">
        <v>7602.34</v>
      </c>
    </row>
    <row r="233" spans="3:38" ht="14.45" hidden="1" customHeight="1">
      <c r="J233" s="646"/>
      <c r="K233" s="646"/>
      <c r="L233" s="646"/>
      <c r="M233" s="646"/>
      <c r="N233" s="835"/>
      <c r="O233" s="836"/>
      <c r="P233" s="646"/>
      <c r="Q233" s="646"/>
      <c r="R233" s="646"/>
      <c r="S233" s="646"/>
      <c r="T233" s="646"/>
      <c r="U233" s="646"/>
      <c r="V233" s="646"/>
    </row>
    <row r="234" spans="3:38" hidden="1">
      <c r="H234" s="1306"/>
      <c r="I234" s="1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3:38" ht="15" hidden="1" customHeight="1">
      <c r="H235" s="1309"/>
      <c r="I235" s="20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2"/>
    </row>
    <row r="236" spans="3:38" hidden="1">
      <c r="H236" s="1309"/>
      <c r="I236" s="16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</row>
    <row r="237" spans="3:38" hidden="1">
      <c r="H237" s="1310"/>
      <c r="I237" s="17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7"/>
    </row>
    <row r="238" spans="3:38" hidden="1">
      <c r="H238" s="1306"/>
      <c r="I238" s="18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19"/>
    </row>
    <row r="239" spans="3:38" hidden="1">
      <c r="H239" s="1307"/>
      <c r="I239" s="20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24"/>
    </row>
    <row r="240" spans="3:38" hidden="1">
      <c r="H240" s="1307"/>
      <c r="I240" s="16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</row>
    <row r="241" spans="6:37" hidden="1">
      <c r="H241" s="1308"/>
      <c r="I241" s="17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7"/>
    </row>
    <row r="242" spans="6:37" hidden="1">
      <c r="H242" s="1306"/>
      <c r="I242" s="18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19"/>
    </row>
    <row r="243" spans="6:37" ht="15" hidden="1" customHeight="1">
      <c r="H243" s="1307"/>
      <c r="I243" s="20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24"/>
    </row>
    <row r="244" spans="6:37" hidden="1">
      <c r="H244" s="1307"/>
      <c r="I244" s="16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</row>
    <row r="245" spans="6:37" hidden="1">
      <c r="H245" s="1308"/>
      <c r="I245" s="17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7"/>
    </row>
    <row r="246" spans="6:37" hidden="1">
      <c r="H246" s="12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5"/>
    </row>
    <row r="247" spans="6:37" hidden="1">
      <c r="H247" s="647"/>
      <c r="I247" s="647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9"/>
    </row>
    <row r="248" spans="6:37" hidden="1">
      <c r="H248" s="647"/>
      <c r="I248" s="647"/>
      <c r="J248" s="649"/>
      <c r="K248" s="649"/>
      <c r="L248" s="649"/>
      <c r="M248" s="649"/>
      <c r="N248" s="649"/>
      <c r="O248" s="649"/>
      <c r="P248" s="649"/>
      <c r="Q248" s="649"/>
      <c r="R248" s="649"/>
      <c r="S248" s="649"/>
      <c r="T248" s="649"/>
      <c r="U248" s="649"/>
      <c r="V248" s="649"/>
    </row>
    <row r="249" spans="6:37">
      <c r="Y249" s="65"/>
      <c r="AB249" s="65"/>
    </row>
    <row r="250" spans="6:37">
      <c r="P250" s="163"/>
      <c r="Y250" s="65"/>
      <c r="AB250" s="65"/>
      <c r="AK250" s="1035"/>
    </row>
    <row r="251" spans="6:37">
      <c r="F251" s="65"/>
      <c r="M251" s="65"/>
      <c r="Q251" s="89"/>
      <c r="V251" s="65"/>
      <c r="Z251" s="65"/>
      <c r="AB251" s="65"/>
    </row>
    <row r="252" spans="6:37">
      <c r="M252" s="65"/>
      <c r="Z252" s="65"/>
    </row>
    <row r="253" spans="6:37">
      <c r="M253" s="65"/>
      <c r="Z253" s="65"/>
    </row>
    <row r="264" spans="10:16">
      <c r="J264" s="65"/>
      <c r="K264" s="65"/>
      <c r="L264" s="65"/>
    </row>
    <row r="265" spans="10:16">
      <c r="J265" s="65"/>
      <c r="K265" s="65"/>
      <c r="L265" s="65"/>
    </row>
    <row r="266" spans="10:16">
      <c r="K266" s="41"/>
      <c r="L266" s="41"/>
      <c r="M266" s="41"/>
      <c r="N266" s="41"/>
      <c r="O266" s="41"/>
      <c r="P266" s="41"/>
    </row>
    <row r="267" spans="10:16">
      <c r="K267" s="41"/>
      <c r="L267" s="41"/>
      <c r="M267" s="41"/>
      <c r="N267" s="41"/>
      <c r="O267" s="41"/>
      <c r="P267" s="41"/>
    </row>
    <row r="268" spans="10:16">
      <c r="K268" s="41"/>
      <c r="L268" s="41"/>
      <c r="M268" s="41"/>
      <c r="N268" s="41"/>
      <c r="O268" s="41"/>
      <c r="P268" s="41"/>
    </row>
    <row r="269" spans="10:16">
      <c r="K269" s="41"/>
      <c r="L269" s="41"/>
      <c r="M269" s="41"/>
      <c r="N269" s="41"/>
      <c r="O269" s="41"/>
      <c r="P269" s="41"/>
    </row>
    <row r="270" spans="10:16">
      <c r="K270" s="41"/>
      <c r="L270" s="41"/>
      <c r="M270" s="41"/>
      <c r="N270" s="41"/>
      <c r="O270" s="41"/>
      <c r="P270" s="41"/>
    </row>
    <row r="271" spans="10:16">
      <c r="K271" s="41"/>
      <c r="L271" s="41"/>
      <c r="M271" s="41"/>
      <c r="N271" s="41"/>
      <c r="O271" s="41"/>
      <c r="P271" s="41"/>
    </row>
    <row r="272" spans="10:16">
      <c r="K272" s="41"/>
      <c r="L272" s="41"/>
      <c r="M272" s="41"/>
      <c r="N272" s="41"/>
      <c r="O272" s="41"/>
      <c r="P272" s="41"/>
    </row>
    <row r="273" spans="11:16">
      <c r="K273" s="41"/>
      <c r="L273" s="41"/>
      <c r="M273" s="41"/>
      <c r="N273" s="41"/>
      <c r="O273" s="41"/>
      <c r="P273" s="41"/>
    </row>
    <row r="274" spans="11:16">
      <c r="K274" s="41"/>
      <c r="L274" s="41"/>
      <c r="M274" s="41"/>
      <c r="N274" s="41"/>
      <c r="O274" s="41"/>
      <c r="P274" s="41"/>
    </row>
    <row r="275" spans="11:16">
      <c r="K275" s="41"/>
      <c r="L275" s="41"/>
      <c r="M275" s="41"/>
      <c r="N275" s="41"/>
      <c r="O275" s="41"/>
      <c r="P275" s="41"/>
    </row>
    <row r="276" spans="11:16">
      <c r="K276" s="41"/>
      <c r="L276" s="41"/>
      <c r="M276" s="41"/>
      <c r="N276" s="41"/>
      <c r="O276" s="41"/>
      <c r="P276" s="41"/>
    </row>
    <row r="277" spans="11:16">
      <c r="K277" s="41"/>
      <c r="L277" s="41"/>
      <c r="M277" s="41"/>
      <c r="N277" s="41"/>
      <c r="O277" s="41"/>
      <c r="P277" s="41"/>
    </row>
    <row r="278" spans="11:16">
      <c r="K278" s="41"/>
      <c r="L278" s="41"/>
      <c r="M278" s="41"/>
      <c r="N278" s="41"/>
      <c r="O278" s="41"/>
      <c r="P278" s="41"/>
    </row>
    <row r="279" spans="11:16">
      <c r="K279" s="41"/>
      <c r="L279" s="41"/>
      <c r="M279" s="41"/>
      <c r="N279" s="41"/>
      <c r="O279" s="41"/>
      <c r="P279" s="41"/>
    </row>
    <row r="280" spans="11:16">
      <c r="K280" s="41"/>
      <c r="L280" s="41"/>
      <c r="M280" s="41"/>
      <c r="N280" s="41"/>
      <c r="O280" s="41"/>
      <c r="P280" s="41"/>
    </row>
    <row r="281" spans="11:16">
      <c r="K281" s="41"/>
      <c r="L281" s="41"/>
      <c r="M281" s="41"/>
      <c r="N281" s="41"/>
      <c r="O281" s="41"/>
      <c r="P281" s="41"/>
    </row>
    <row r="282" spans="11:16">
      <c r="K282" s="41"/>
      <c r="L282" s="41"/>
      <c r="M282" s="41"/>
      <c r="N282" s="41"/>
      <c r="O282" s="41"/>
      <c r="P282" s="41"/>
    </row>
    <row r="283" spans="11:16">
      <c r="K283" s="41"/>
      <c r="L283" s="41"/>
      <c r="M283" s="41"/>
      <c r="N283" s="41"/>
      <c r="O283" s="41"/>
      <c r="P283" s="41"/>
    </row>
  </sheetData>
  <sheetProtection formatCells="0" formatColumns="0" formatRows="0"/>
  <mergeCells count="75"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C166:E166"/>
    <mergeCell ref="C167:E167"/>
    <mergeCell ref="C187:E187"/>
    <mergeCell ref="C184:E184"/>
    <mergeCell ref="C183:E183"/>
    <mergeCell ref="C182:E182"/>
    <mergeCell ref="C180:E180"/>
    <mergeCell ref="C168:E168"/>
    <mergeCell ref="C169:E169"/>
    <mergeCell ref="C170:E170"/>
    <mergeCell ref="C177:E177"/>
    <mergeCell ref="C176:E176"/>
    <mergeCell ref="C175:E175"/>
    <mergeCell ref="C173:E173"/>
    <mergeCell ref="C195:E195"/>
    <mergeCell ref="C194:E194"/>
    <mergeCell ref="C191:E191"/>
    <mergeCell ref="C190:E190"/>
    <mergeCell ref="C189:E189"/>
    <mergeCell ref="C205:E205"/>
    <mergeCell ref="C204:E204"/>
    <mergeCell ref="C202:E202"/>
    <mergeCell ref="C197:E197"/>
    <mergeCell ref="C196:E196"/>
    <mergeCell ref="C10:D15"/>
    <mergeCell ref="AL132:AL134"/>
    <mergeCell ref="C38:C41"/>
    <mergeCell ref="AL129:AL131"/>
    <mergeCell ref="C129:C131"/>
    <mergeCell ref="C42:C45"/>
    <mergeCell ref="AL42:AL45"/>
    <mergeCell ref="C109:D109"/>
    <mergeCell ref="B28:D34"/>
    <mergeCell ref="C16:D21"/>
    <mergeCell ref="C22:D27"/>
    <mergeCell ref="C4:D9"/>
    <mergeCell ref="H242:H245"/>
    <mergeCell ref="H234:H237"/>
    <mergeCell ref="C132:C134"/>
    <mergeCell ref="D138:E138"/>
    <mergeCell ref="D140:D142"/>
    <mergeCell ref="H238:H241"/>
    <mergeCell ref="D150:E150"/>
    <mergeCell ref="D139:E139"/>
    <mergeCell ref="D151:E151"/>
    <mergeCell ref="D152:E152"/>
    <mergeCell ref="C150:C152"/>
    <mergeCell ref="D143:E143"/>
    <mergeCell ref="C220:D220"/>
    <mergeCell ref="C224:E224"/>
    <mergeCell ref="C218:E218"/>
    <mergeCell ref="C219:E219"/>
    <mergeCell ref="C221:E221"/>
    <mergeCell ref="C225:E225"/>
    <mergeCell ref="C227:E227"/>
    <mergeCell ref="C226:D226"/>
    <mergeCell ref="C209:E209"/>
    <mergeCell ref="C208:E208"/>
    <mergeCell ref="C207:E207"/>
    <mergeCell ref="C206:E206"/>
    <mergeCell ref="C215:E215"/>
    <mergeCell ref="C214:E214"/>
    <mergeCell ref="C213:E213"/>
    <mergeCell ref="C212:E212"/>
    <mergeCell ref="C210:E210"/>
    <mergeCell ref="C211:E211"/>
  </mergeCells>
  <phoneticPr fontId="22" type="noConversion"/>
  <pageMargins left="0.7" right="0.7" top="0.75" bottom="0.75" header="0.3" footer="0.3"/>
  <pageSetup paperSize="256" scale="14" orientation="landscape" horizontalDpi="300" verticalDpi="300" r:id="rId1"/>
  <ignoredErrors>
    <ignoredError sqref="AK149" formula="1"/>
    <ignoredError sqref="F114" formulaRange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C00000"/>
  </sheetPr>
  <dimension ref="A2:AO58"/>
  <sheetViews>
    <sheetView showGridLines="0" zoomScaleNormal="100" zoomScaleSheetLayoutView="85" workbookViewId="0">
      <pane xSplit="1" ySplit="5" topLeftCell="B15" activePane="bottomRight" state="frozen"/>
      <selection pane="bottomRight" activeCell="R12" sqref="R12:U12"/>
      <selection pane="bottomLeft" activeCell="J203" sqref="J203"/>
      <selection pane="topRight" activeCell="J203" sqref="J203"/>
    </sheetView>
  </sheetViews>
  <sheetFormatPr defaultColWidth="8" defaultRowHeight="13.15"/>
  <cols>
    <col min="1" max="1" width="11.7109375" style="45" customWidth="1"/>
    <col min="2" max="9" width="9.28515625" style="45" customWidth="1"/>
    <col min="10" max="10" width="12.7109375" style="45" customWidth="1"/>
    <col min="11" max="19" width="9.28515625" style="45" customWidth="1"/>
    <col min="20" max="20" width="10.7109375" style="45" bestFit="1" customWidth="1"/>
    <col min="21" max="21" width="9.28515625" style="45" customWidth="1"/>
    <col min="22" max="22" width="8.28515625" style="45" bestFit="1" customWidth="1"/>
    <col min="23" max="23" width="15.28515625" style="45" customWidth="1"/>
    <col min="24" max="24" width="13.28515625" style="45" bestFit="1" customWidth="1"/>
    <col min="25" max="25" width="10.7109375" style="45" customWidth="1"/>
    <col min="26" max="26" width="8.28515625" style="45" customWidth="1"/>
    <col min="27" max="27" width="8" style="45" customWidth="1"/>
    <col min="28" max="29" width="8.28515625" style="45" hidden="1" customWidth="1"/>
    <col min="30" max="31" width="9.28515625" style="45" bestFit="1" customWidth="1"/>
    <col min="32" max="32" width="8" style="45"/>
    <col min="33" max="33" width="8.7109375" style="45" bestFit="1" customWidth="1"/>
    <col min="34" max="34" width="9.28515625" style="45" customWidth="1"/>
    <col min="35" max="36" width="15.28515625" style="45" customWidth="1"/>
    <col min="37" max="37" width="19.140625" style="1094" customWidth="1"/>
    <col min="38" max="38" width="11.28515625" style="45" customWidth="1"/>
    <col min="39" max="39" width="11.28515625" style="45" bestFit="1" customWidth="1"/>
    <col min="40" max="16384" width="8" style="45"/>
  </cols>
  <sheetData>
    <row r="2" spans="1:41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41" ht="14.1" customHeight="1">
      <c r="A3" s="1347" t="s">
        <v>5</v>
      </c>
      <c r="B3" s="1350" t="s">
        <v>273</v>
      </c>
      <c r="C3" s="1350"/>
      <c r="D3" s="1350"/>
      <c r="E3" s="1350"/>
      <c r="F3" s="1350"/>
      <c r="G3" s="1350"/>
      <c r="H3" s="1350"/>
      <c r="I3" s="1350"/>
      <c r="J3" s="1350"/>
      <c r="K3" s="1350"/>
      <c r="L3" s="1350"/>
      <c r="M3" s="1350"/>
      <c r="N3" s="1350"/>
      <c r="O3" s="1350"/>
      <c r="P3" s="1350"/>
      <c r="Q3" s="1350"/>
      <c r="R3" s="1350"/>
      <c r="S3" s="1350"/>
      <c r="T3" s="1350"/>
      <c r="U3" s="1350"/>
      <c r="V3" s="47"/>
    </row>
    <row r="4" spans="1:41" ht="14.1" customHeight="1">
      <c r="A4" s="1348"/>
      <c r="B4" s="1359" t="s">
        <v>274</v>
      </c>
      <c r="C4" s="1359"/>
      <c r="D4" s="1359"/>
      <c r="E4" s="1359"/>
      <c r="F4" s="1359"/>
      <c r="G4" s="1359"/>
      <c r="H4" s="1359"/>
      <c r="I4" s="1359"/>
      <c r="J4" s="1359"/>
      <c r="K4" s="1359"/>
      <c r="L4" s="1360" t="s">
        <v>275</v>
      </c>
      <c r="M4" s="1360"/>
      <c r="N4" s="1360"/>
      <c r="O4" s="1360"/>
      <c r="P4" s="1360"/>
      <c r="Q4" s="1360"/>
      <c r="R4" s="1360"/>
      <c r="S4" s="1360"/>
      <c r="T4" s="1360"/>
      <c r="U4" s="1360"/>
      <c r="V4" s="47"/>
      <c r="Y4" s="1357" t="s">
        <v>5</v>
      </c>
      <c r="Z4" s="1351" t="s">
        <v>276</v>
      </c>
      <c r="AA4" s="1352"/>
      <c r="AB4" s="1353" t="s">
        <v>277</v>
      </c>
      <c r="AC4" s="1354"/>
      <c r="AD4" s="1355" t="s">
        <v>278</v>
      </c>
      <c r="AE4" s="1356"/>
      <c r="AF4" s="1342" t="s">
        <v>126</v>
      </c>
      <c r="AG4" s="1343"/>
      <c r="AH4" s="1344" t="s">
        <v>279</v>
      </c>
      <c r="AI4" s="1346" t="s">
        <v>280</v>
      </c>
      <c r="AJ4" s="1341" t="s">
        <v>281</v>
      </c>
    </row>
    <row r="5" spans="1:41" ht="25.5" customHeight="1">
      <c r="A5" s="1349"/>
      <c r="B5" s="538" t="s">
        <v>282</v>
      </c>
      <c r="C5" s="538" t="s">
        <v>283</v>
      </c>
      <c r="D5" s="538" t="s">
        <v>284</v>
      </c>
      <c r="E5" s="538" t="s">
        <v>285</v>
      </c>
      <c r="F5" s="538" t="s">
        <v>286</v>
      </c>
      <c r="G5" s="538" t="s">
        <v>287</v>
      </c>
      <c r="H5" s="538" t="s">
        <v>288</v>
      </c>
      <c r="I5" s="538" t="s">
        <v>289</v>
      </c>
      <c r="J5" s="538" t="s">
        <v>290</v>
      </c>
      <c r="K5" s="538" t="s">
        <v>291</v>
      </c>
      <c r="L5" s="679" t="s">
        <v>292</v>
      </c>
      <c r="M5" s="679" t="s">
        <v>283</v>
      </c>
      <c r="N5" s="679" t="s">
        <v>284</v>
      </c>
      <c r="O5" s="679" t="s">
        <v>285</v>
      </c>
      <c r="P5" s="679" t="s">
        <v>286</v>
      </c>
      <c r="Q5" s="679" t="s">
        <v>287</v>
      </c>
      <c r="R5" s="679" t="s">
        <v>288</v>
      </c>
      <c r="S5" s="679" t="s">
        <v>289</v>
      </c>
      <c r="T5" s="679" t="s">
        <v>290</v>
      </c>
      <c r="U5" s="679" t="s">
        <v>291</v>
      </c>
      <c r="V5" s="47"/>
      <c r="Y5" s="1358"/>
      <c r="Z5" s="1098" t="s">
        <v>293</v>
      </c>
      <c r="AA5" s="1098" t="s">
        <v>294</v>
      </c>
      <c r="AB5" s="1099" t="s">
        <v>293</v>
      </c>
      <c r="AC5" s="1099" t="s">
        <v>294</v>
      </c>
      <c r="AD5" s="1100" t="s">
        <v>293</v>
      </c>
      <c r="AE5" s="1100" t="s">
        <v>294</v>
      </c>
      <c r="AF5" s="1101" t="s">
        <v>293</v>
      </c>
      <c r="AG5" s="1101" t="s">
        <v>294</v>
      </c>
      <c r="AH5" s="1345"/>
      <c r="AI5" s="1346"/>
      <c r="AJ5" s="1341"/>
    </row>
    <row r="6" spans="1:41" ht="13.9">
      <c r="A6" s="721" t="s">
        <v>295</v>
      </c>
      <c r="B6" s="829">
        <f>3.11902537103542+1.2362257689716</f>
        <v>4.3552511400070202</v>
      </c>
      <c r="C6" s="829"/>
      <c r="D6" s="829">
        <v>13.294140189520592</v>
      </c>
      <c r="E6" s="829">
        <v>0.85294117647065115</v>
      </c>
      <c r="F6" s="829">
        <v>0</v>
      </c>
      <c r="G6" s="680">
        <f t="shared" ref="G6:G36" si="0">AB6+AD6+Z6</f>
        <v>0</v>
      </c>
      <c r="H6" s="829">
        <v>2.6495559038662631</v>
      </c>
      <c r="I6" s="829">
        <v>0.93333333333339397</v>
      </c>
      <c r="J6" s="829">
        <v>0</v>
      </c>
      <c r="K6" s="829">
        <v>1.6749999999999545</v>
      </c>
      <c r="L6" s="830">
        <f>1.78333333333345+1.66269994027849</f>
        <v>3.4460332736119401</v>
      </c>
      <c r="M6" s="830"/>
      <c r="N6" s="830">
        <v>13.983967149956262</v>
      </c>
      <c r="O6" s="830">
        <v>0.91666666666666663</v>
      </c>
      <c r="P6" s="830">
        <v>0</v>
      </c>
      <c r="Q6" s="681">
        <f t="shared" ref="Q6:Q36" si="1">AC6+AE6+AA6</f>
        <v>0</v>
      </c>
      <c r="R6" s="830">
        <v>2.68695652173915</v>
      </c>
      <c r="S6" s="830">
        <v>0.96666666666654544</v>
      </c>
      <c r="T6" s="830">
        <v>0</v>
      </c>
      <c r="U6" s="830">
        <v>1.4833333333333676</v>
      </c>
      <c r="V6" s="47"/>
      <c r="Y6" s="1087" t="str">
        <f>A6</f>
        <v>01-Sep-26</v>
      </c>
      <c r="Z6" s="1088"/>
      <c r="AA6" s="1088"/>
      <c r="AB6" s="1089"/>
      <c r="AC6" s="1089"/>
      <c r="AD6" s="1090"/>
      <c r="AE6" s="1090"/>
      <c r="AF6" s="1091">
        <f>Z6+AB6+AD6</f>
        <v>0</v>
      </c>
      <c r="AG6" s="1091">
        <f>AA6+AC6+AE6</f>
        <v>0</v>
      </c>
      <c r="AH6" s="1102">
        <f>+MAX(VLOOKUP(A6,'Equipment '!$A$3:$U$36,6,FALSE),VLOOKUP(Y6,'Equipment '!$A$3:$U$36,16,FALSE))</f>
        <v>0</v>
      </c>
      <c r="AI6" s="1103">
        <f>Actual!$F$156</f>
        <v>0</v>
      </c>
      <c r="AJ6" s="1109">
        <f>AI6</f>
        <v>0</v>
      </c>
      <c r="AM6" s="48"/>
    </row>
    <row r="7" spans="1:41" ht="13.9">
      <c r="A7" s="721" t="s">
        <v>296</v>
      </c>
      <c r="B7" s="829">
        <v>3.9073318420847301</v>
      </c>
      <c r="C7" s="829"/>
      <c r="D7" s="829">
        <v>14.152725467489885</v>
      </c>
      <c r="E7" s="829">
        <v>0.875</v>
      </c>
      <c r="F7" s="829">
        <v>0</v>
      </c>
      <c r="G7" s="680">
        <f t="shared" si="0"/>
        <v>0</v>
      </c>
      <c r="H7" s="829">
        <v>2.6719696969697577</v>
      </c>
      <c r="I7" s="829">
        <v>0.86956521739130432</v>
      </c>
      <c r="J7" s="829">
        <v>0</v>
      </c>
      <c r="K7" s="829">
        <v>2.5416666666666479</v>
      </c>
      <c r="L7" s="830">
        <f>2.20989751887846+1.81046497212361</f>
        <v>4.0203624910020697</v>
      </c>
      <c r="M7" s="830"/>
      <c r="N7" s="830">
        <v>15.050079849362604</v>
      </c>
      <c r="O7" s="830">
        <v>1.7112745098039239</v>
      </c>
      <c r="P7" s="830">
        <v>0</v>
      </c>
      <c r="Q7" s="681">
        <f t="shared" si="1"/>
        <v>0</v>
      </c>
      <c r="R7" s="830">
        <v>2.7231996824136537</v>
      </c>
      <c r="S7" s="830">
        <v>0.9500000000001213</v>
      </c>
      <c r="T7" s="830">
        <v>0</v>
      </c>
      <c r="U7" s="830">
        <v>1.474999999999985</v>
      </c>
      <c r="V7" s="47"/>
      <c r="Y7" s="1087" t="str">
        <f t="shared" ref="Y7:Y36" si="2">A7</f>
        <v>02-Sep-26</v>
      </c>
      <c r="Z7" s="1088"/>
      <c r="AA7" s="1088"/>
      <c r="AB7" s="1089"/>
      <c r="AC7" s="1089"/>
      <c r="AD7" s="1090"/>
      <c r="AE7" s="1090"/>
      <c r="AF7" s="1091">
        <f t="shared" ref="AF7:AF36" si="3">Z7+AB7+AD7</f>
        <v>0</v>
      </c>
      <c r="AG7" s="1091">
        <f t="shared" ref="AG7:AG36" si="4">AA7+AC7+AE7</f>
        <v>0</v>
      </c>
      <c r="AH7" s="1102">
        <f>+MAX(VLOOKUP(A7,'Equipment '!$A$3:$U$36,6,FALSE),VLOOKUP(Y7,'Equipment '!$A$3:$U$36,16,FALSE))</f>
        <v>0</v>
      </c>
      <c r="AI7" s="1103">
        <f>Actual!$G$156</f>
        <v>0</v>
      </c>
      <c r="AJ7" s="1109">
        <f>AJ6+AI7</f>
        <v>0</v>
      </c>
      <c r="AK7" s="1229"/>
      <c r="AL7" s="1105"/>
    </row>
    <row r="8" spans="1:41" ht="13.9">
      <c r="A8" s="721" t="s">
        <v>297</v>
      </c>
      <c r="B8" s="829">
        <f>3.01868686868651+1.22154589269854</f>
        <v>4.2402327613850499</v>
      </c>
      <c r="C8" s="829"/>
      <c r="D8" s="829">
        <v>14.120055369633375</v>
      </c>
      <c r="E8" s="829">
        <v>1.7086280056576872</v>
      </c>
      <c r="F8" s="829">
        <v>0</v>
      </c>
      <c r="G8" s="680">
        <f t="shared" si="0"/>
        <v>0</v>
      </c>
      <c r="H8" s="829">
        <v>1.8125</v>
      </c>
      <c r="I8" s="829">
        <v>0.87288135593219551</v>
      </c>
      <c r="J8" s="829">
        <v>0.41666666666666669</v>
      </c>
      <c r="K8" s="829">
        <v>2.5750000000000264</v>
      </c>
      <c r="L8" s="830">
        <f>2.03173568396455+1.79608057196674</f>
        <v>3.8278162559312903</v>
      </c>
      <c r="M8" s="830"/>
      <c r="N8" s="830">
        <v>14.823690070454774</v>
      </c>
      <c r="O8" s="830">
        <v>0.84042553191491831</v>
      </c>
      <c r="P8" s="830">
        <v>0</v>
      </c>
      <c r="Q8" s="681">
        <f t="shared" si="1"/>
        <v>0</v>
      </c>
      <c r="R8" s="830">
        <v>1.841666666666697</v>
      </c>
      <c r="S8" s="830">
        <v>0.94166666666660603</v>
      </c>
      <c r="T8" s="830">
        <v>0</v>
      </c>
      <c r="U8" s="830">
        <v>1.3666666666666742</v>
      </c>
      <c r="V8" s="47"/>
      <c r="Y8" s="1087" t="str">
        <f t="shared" si="2"/>
        <v>03-Sep-26</v>
      </c>
      <c r="Z8" s="1088"/>
      <c r="AA8" s="1088"/>
      <c r="AB8" s="1089"/>
      <c r="AC8" s="1089"/>
      <c r="AD8" s="1090"/>
      <c r="AE8" s="1090"/>
      <c r="AF8" s="1091">
        <f t="shared" si="3"/>
        <v>0</v>
      </c>
      <c r="AG8" s="1091">
        <f t="shared" si="4"/>
        <v>0</v>
      </c>
      <c r="AH8" s="1102">
        <f>+MAX(VLOOKUP(A8,'Equipment '!$A$3:$U$36,6,FALSE),VLOOKUP(Y8,'Equipment '!$A$3:$U$36,16,FALSE))</f>
        <v>0</v>
      </c>
      <c r="AI8" s="1103">
        <f>Actual!$H$156</f>
        <v>0</v>
      </c>
      <c r="AJ8" s="1109">
        <f t="shared" ref="AJ8:AJ36" si="5">AJ7+AI8</f>
        <v>0</v>
      </c>
      <c r="AK8" s="45"/>
      <c r="AL8" s="1105"/>
    </row>
    <row r="9" spans="1:41" ht="13.9">
      <c r="A9" s="721" t="s">
        <v>298</v>
      </c>
      <c r="B9" s="829">
        <f>2.71412769722954+1.58992811098242</f>
        <v>4.3040558082119595</v>
      </c>
      <c r="C9" s="829"/>
      <c r="D9" s="829">
        <v>15.01254453312038</v>
      </c>
      <c r="E9" s="829">
        <v>1.6833333333330909</v>
      </c>
      <c r="F9" s="829">
        <v>0</v>
      </c>
      <c r="G9" s="680">
        <f t="shared" si="0"/>
        <v>0</v>
      </c>
      <c r="H9" s="829">
        <v>1.8249999999999695</v>
      </c>
      <c r="I9" s="829">
        <v>0.87068965517241781</v>
      </c>
      <c r="J9" s="829">
        <v>0.16666666666666666</v>
      </c>
      <c r="K9" s="829">
        <v>2.1416666666666897</v>
      </c>
      <c r="L9" s="830">
        <f>1.77959770114934+1.36535087719303</f>
        <v>3.1449485783423698</v>
      </c>
      <c r="M9" s="830"/>
      <c r="N9" s="830">
        <v>14.351623574411237</v>
      </c>
      <c r="O9" s="830">
        <v>1.7160714285718011</v>
      </c>
      <c r="P9" s="830">
        <v>0</v>
      </c>
      <c r="Q9" s="681">
        <f t="shared" si="1"/>
        <v>0</v>
      </c>
      <c r="R9" s="830">
        <v>1.8249999999999695</v>
      </c>
      <c r="S9" s="830">
        <v>0.92500000000003035</v>
      </c>
      <c r="T9" s="830">
        <v>0</v>
      </c>
      <c r="U9" s="830">
        <v>1.4249999999999734</v>
      </c>
      <c r="V9" s="47"/>
      <c r="Y9" s="1087" t="str">
        <f t="shared" si="2"/>
        <v>04-Sep-26</v>
      </c>
      <c r="Z9" s="1088"/>
      <c r="AA9" s="1088"/>
      <c r="AB9" s="1089"/>
      <c r="AC9" s="1089"/>
      <c r="AD9" s="1090"/>
      <c r="AE9" s="1090"/>
      <c r="AF9" s="1091">
        <f t="shared" si="3"/>
        <v>0</v>
      </c>
      <c r="AG9" s="1091">
        <f t="shared" si="4"/>
        <v>0</v>
      </c>
      <c r="AH9" s="1102">
        <f>+MAX(VLOOKUP(A9,'Equipment '!$A$3:$U$36,6,FALSE),VLOOKUP(Y9,'Equipment '!$A$3:$U$36,16,FALSE))</f>
        <v>0</v>
      </c>
      <c r="AI9" s="1103">
        <f>Actual!$I$156</f>
        <v>0</v>
      </c>
      <c r="AJ9" s="1109">
        <f t="shared" si="5"/>
        <v>0</v>
      </c>
      <c r="AK9" s="1235"/>
      <c r="AL9" s="1105"/>
    </row>
    <row r="10" spans="1:41" ht="13.9">
      <c r="A10" s="721" t="s">
        <v>299</v>
      </c>
      <c r="B10" s="829">
        <f>3.0183333333334+1</f>
        <v>4.0183333333334001</v>
      </c>
      <c r="C10" s="829"/>
      <c r="D10" s="829">
        <v>15.867087933748662</v>
      </c>
      <c r="E10" s="829">
        <v>1.7999999999998786</v>
      </c>
      <c r="F10" s="829">
        <f>1.96526508897449-1</f>
        <v>0.96526508897449004</v>
      </c>
      <c r="G10" s="680">
        <f t="shared" si="0"/>
        <v>10</v>
      </c>
      <c r="H10" s="829">
        <v>1.8145174177053414</v>
      </c>
      <c r="I10" s="829">
        <v>0.87288135593219551</v>
      </c>
      <c r="J10" s="829">
        <v>0</v>
      </c>
      <c r="K10" s="829">
        <v>1.816666666666644</v>
      </c>
      <c r="L10" s="830">
        <v>2.6509488656019009</v>
      </c>
      <c r="M10" s="830"/>
      <c r="N10" s="830">
        <v>14.718949378915068</v>
      </c>
      <c r="O10" s="830">
        <v>1.6895480225988408</v>
      </c>
      <c r="P10" s="830">
        <v>0.47598253275112501</v>
      </c>
      <c r="Q10" s="681">
        <f t="shared" si="1"/>
        <v>0</v>
      </c>
      <c r="R10" s="830">
        <v>1.5490196078431306</v>
      </c>
      <c r="S10" s="830">
        <v>0.86842105263157476</v>
      </c>
      <c r="T10" s="830">
        <v>0</v>
      </c>
      <c r="U10" s="830">
        <v>1.2666666666666893</v>
      </c>
      <c r="V10" s="47"/>
      <c r="Y10" s="1087" t="str">
        <f t="shared" si="2"/>
        <v>05-Sep-26</v>
      </c>
      <c r="Z10" s="1088"/>
      <c r="AA10" s="1088"/>
      <c r="AB10" s="1089"/>
      <c r="AC10" s="1089"/>
      <c r="AD10" s="1090">
        <v>10</v>
      </c>
      <c r="AE10" s="1090"/>
      <c r="AF10" s="1091">
        <f t="shared" si="3"/>
        <v>10</v>
      </c>
      <c r="AG10" s="1091">
        <f t="shared" si="4"/>
        <v>0</v>
      </c>
      <c r="AH10" s="1102">
        <f>+MAX(VLOOKUP(A10,'Equipment '!$A$3:$U$36,6,FALSE),VLOOKUP(Y10,'Equipment '!$A$3:$U$36,16,FALSE))</f>
        <v>0.96526508897449004</v>
      </c>
      <c r="AI10" s="1103">
        <f>Actual!$J$156</f>
        <v>1312.8979999999999</v>
      </c>
      <c r="AJ10" s="1109">
        <f t="shared" si="5"/>
        <v>1312.8979999999999</v>
      </c>
      <c r="AK10" s="1235"/>
      <c r="AL10" s="1105"/>
    </row>
    <row r="11" spans="1:41" ht="13.9">
      <c r="A11" s="721" t="s">
        <v>300</v>
      </c>
      <c r="B11" s="829">
        <f>3.33912429378531+0.732951445717406</f>
        <v>4.0720757395027158</v>
      </c>
      <c r="C11" s="829"/>
      <c r="D11" s="829">
        <v>15.558978254878586</v>
      </c>
      <c r="E11" s="829">
        <v>1.7278325123152547</v>
      </c>
      <c r="F11" s="829">
        <v>0</v>
      </c>
      <c r="G11" s="680">
        <f t="shared" si="0"/>
        <v>0</v>
      </c>
      <c r="H11" s="829">
        <v>1.8156162464985544</v>
      </c>
      <c r="I11" s="829">
        <v>0.86725663716813306</v>
      </c>
      <c r="J11" s="829">
        <v>0</v>
      </c>
      <c r="K11" s="829">
        <v>2.4905060181773444</v>
      </c>
      <c r="L11" s="830">
        <f>3.56902515723281+0.570372976776951</f>
        <v>4.1393981340097614</v>
      </c>
      <c r="M11" s="830"/>
      <c r="N11" s="830">
        <v>15.595784969431193</v>
      </c>
      <c r="O11" s="830">
        <v>1.7333333333332726</v>
      </c>
      <c r="P11" s="830">
        <v>0</v>
      </c>
      <c r="Q11" s="681">
        <f t="shared" si="1"/>
        <v>0</v>
      </c>
      <c r="R11" s="830">
        <v>1.9416666666667575</v>
      </c>
      <c r="S11" s="830">
        <v>0.98333333333327266</v>
      </c>
      <c r="T11" s="830">
        <v>0</v>
      </c>
      <c r="U11" s="830">
        <v>0.72499999999998488</v>
      </c>
      <c r="V11" s="47"/>
      <c r="Y11" s="1087" t="str">
        <f t="shared" si="2"/>
        <v>06-Sep-26</v>
      </c>
      <c r="Z11" s="1088"/>
      <c r="AA11" s="1088"/>
      <c r="AB11" s="1089"/>
      <c r="AC11" s="1089"/>
      <c r="AD11" s="1090"/>
      <c r="AE11" s="1090"/>
      <c r="AF11" s="1091">
        <f t="shared" si="3"/>
        <v>0</v>
      </c>
      <c r="AG11" s="1091">
        <f t="shared" si="4"/>
        <v>0</v>
      </c>
      <c r="AH11" s="1102">
        <f>+MAX(VLOOKUP(A11,'Equipment '!$A$3:$U$36,6,FALSE),VLOOKUP(Y11,'Equipment '!$A$3:$U$36,16,FALSE))</f>
        <v>0</v>
      </c>
      <c r="AI11" s="1103">
        <f>Actual!$K$156</f>
        <v>0</v>
      </c>
      <c r="AJ11" s="1109">
        <f t="shared" si="5"/>
        <v>1312.8979999999999</v>
      </c>
      <c r="AK11" s="1216"/>
      <c r="AL11" s="1094"/>
    </row>
    <row r="12" spans="1:41" ht="13.9">
      <c r="A12" s="721" t="s">
        <v>80</v>
      </c>
      <c r="B12" s="829">
        <v>3.75</v>
      </c>
      <c r="C12" s="829"/>
      <c r="D12" s="829">
        <v>12.716666666666621</v>
      </c>
      <c r="E12" s="829">
        <v>1.758333333332909</v>
      </c>
      <c r="F12" s="829">
        <v>0</v>
      </c>
      <c r="G12" s="680">
        <f t="shared" si="0"/>
        <v>0</v>
      </c>
      <c r="H12" s="829">
        <v>1.6083333333332728</v>
      </c>
      <c r="I12" s="829">
        <v>0.81666666666675758</v>
      </c>
      <c r="J12" s="829">
        <v>0</v>
      </c>
      <c r="K12" s="829">
        <v>2.5333333333333221</v>
      </c>
      <c r="L12" s="830">
        <v>4.5583333333329392</v>
      </c>
      <c r="M12" s="830"/>
      <c r="N12" s="830">
        <v>13.924999999999992</v>
      </c>
      <c r="O12" s="830">
        <v>1.616666666667091</v>
      </c>
      <c r="P12" s="830"/>
      <c r="Q12" s="681">
        <f t="shared" si="1"/>
        <v>0</v>
      </c>
      <c r="R12" s="830">
        <v>1.9333333333332423</v>
      </c>
      <c r="S12" s="830">
        <v>0.96666666666669698</v>
      </c>
      <c r="T12" s="830">
        <v>0</v>
      </c>
      <c r="U12" s="830">
        <v>0.89166666666665151</v>
      </c>
      <c r="V12" s="47"/>
      <c r="Y12" s="1087" t="str">
        <f t="shared" si="2"/>
        <v>07-Sep-26</v>
      </c>
      <c r="Z12" s="1088"/>
      <c r="AA12" s="1088"/>
      <c r="AB12" s="1089"/>
      <c r="AC12" s="1089"/>
      <c r="AD12" s="1090"/>
      <c r="AE12" s="1090"/>
      <c r="AF12" s="1091">
        <f t="shared" si="3"/>
        <v>0</v>
      </c>
      <c r="AG12" s="1091">
        <f t="shared" si="4"/>
        <v>0</v>
      </c>
      <c r="AH12" s="1102">
        <f>+MAX(VLOOKUP(A12,'Equipment '!$A$3:$U$36,6,FALSE),VLOOKUP(Y12,'Equipment '!$A$3:$U$36,16,FALSE))</f>
        <v>0</v>
      </c>
      <c r="AI12" s="1103">
        <f>Actual!$L$156</f>
        <v>0</v>
      </c>
      <c r="AJ12" s="1109">
        <f t="shared" si="5"/>
        <v>1312.8979999999999</v>
      </c>
      <c r="AK12" s="1216"/>
      <c r="AL12" s="1094"/>
    </row>
    <row r="13" spans="1:41" ht="13.9">
      <c r="A13" s="721" t="s">
        <v>301</v>
      </c>
      <c r="B13" s="829"/>
      <c r="C13" s="829"/>
      <c r="D13" s="829"/>
      <c r="E13" s="829"/>
      <c r="F13" s="829"/>
      <c r="G13" s="680">
        <f t="shared" si="0"/>
        <v>0</v>
      </c>
      <c r="H13" s="829"/>
      <c r="I13" s="829"/>
      <c r="J13" s="829"/>
      <c r="K13" s="829"/>
      <c r="L13" s="830"/>
      <c r="M13" s="830"/>
      <c r="N13" s="830"/>
      <c r="O13" s="830"/>
      <c r="P13" s="830"/>
      <c r="Q13" s="681">
        <f t="shared" si="1"/>
        <v>0</v>
      </c>
      <c r="R13" s="830"/>
      <c r="S13" s="830"/>
      <c r="T13" s="830"/>
      <c r="U13" s="830"/>
      <c r="V13" s="47"/>
      <c r="Y13" s="1087" t="str">
        <f t="shared" si="2"/>
        <v>08-Sep-26</v>
      </c>
      <c r="Z13" s="1088"/>
      <c r="AA13" s="1088"/>
      <c r="AB13" s="1089"/>
      <c r="AC13" s="1089"/>
      <c r="AD13" s="1090"/>
      <c r="AE13" s="1090"/>
      <c r="AF13" s="1091">
        <f t="shared" si="3"/>
        <v>0</v>
      </c>
      <c r="AG13" s="1091">
        <f t="shared" si="4"/>
        <v>0</v>
      </c>
      <c r="AH13" s="1102">
        <f>+MAX(VLOOKUP(A13,'Equipment '!$A$3:$U$36,6,FALSE),VLOOKUP(Y13,'Equipment '!$A$3:$U$36,16,FALSE))</f>
        <v>0</v>
      </c>
      <c r="AI13" s="1103">
        <f>Actual!$M$156</f>
        <v>0</v>
      </c>
      <c r="AJ13" s="1109">
        <f t="shared" si="5"/>
        <v>1312.8979999999999</v>
      </c>
      <c r="AK13" s="1235"/>
      <c r="AL13" s="1094"/>
      <c r="AO13" s="48"/>
    </row>
    <row r="14" spans="1:41" ht="13.9">
      <c r="A14" s="721" t="s">
        <v>302</v>
      </c>
      <c r="B14" s="829"/>
      <c r="C14" s="829"/>
      <c r="D14" s="829"/>
      <c r="E14" s="829"/>
      <c r="F14" s="829"/>
      <c r="G14" s="680">
        <f t="shared" si="0"/>
        <v>0</v>
      </c>
      <c r="H14" s="829"/>
      <c r="I14" s="829"/>
      <c r="J14" s="829"/>
      <c r="K14" s="829"/>
      <c r="L14" s="830"/>
      <c r="M14" s="830"/>
      <c r="N14" s="830"/>
      <c r="O14" s="830"/>
      <c r="P14" s="830"/>
      <c r="Q14" s="681">
        <f t="shared" si="1"/>
        <v>0</v>
      </c>
      <c r="R14" s="830"/>
      <c r="S14" s="830"/>
      <c r="T14" s="830"/>
      <c r="U14" s="830"/>
      <c r="V14" s="47"/>
      <c r="Y14" s="1087" t="str">
        <f t="shared" si="2"/>
        <v>09-Sep-26</v>
      </c>
      <c r="Z14" s="1088"/>
      <c r="AA14" s="1088"/>
      <c r="AB14" s="1089"/>
      <c r="AC14" s="1089"/>
      <c r="AD14" s="1090"/>
      <c r="AE14" s="1090"/>
      <c r="AF14" s="1091">
        <f t="shared" si="3"/>
        <v>0</v>
      </c>
      <c r="AG14" s="1091">
        <f t="shared" si="4"/>
        <v>0</v>
      </c>
      <c r="AH14" s="1102">
        <f>+MAX(VLOOKUP(A14,'Equipment '!$A$3:$U$36,6,FALSE),VLOOKUP(Y14,'Equipment '!$A$3:$U$36,16,FALSE))</f>
        <v>0</v>
      </c>
      <c r="AI14" s="1103">
        <f>Actual!$N$156</f>
        <v>0</v>
      </c>
      <c r="AJ14" s="1109">
        <f t="shared" si="5"/>
        <v>1312.8979999999999</v>
      </c>
      <c r="AK14" s="45"/>
      <c r="AL14" s="1094"/>
    </row>
    <row r="15" spans="1:41" ht="13.5" customHeight="1">
      <c r="A15" s="721" t="s">
        <v>303</v>
      </c>
      <c r="B15" s="829"/>
      <c r="C15" s="829"/>
      <c r="D15" s="829"/>
      <c r="E15" s="829"/>
      <c r="F15" s="829"/>
      <c r="G15" s="680">
        <f t="shared" si="0"/>
        <v>0</v>
      </c>
      <c r="H15" s="829"/>
      <c r="I15" s="829"/>
      <c r="J15" s="829"/>
      <c r="K15" s="829"/>
      <c r="L15" s="830"/>
      <c r="M15" s="830"/>
      <c r="N15" s="830"/>
      <c r="O15" s="830"/>
      <c r="P15" s="830"/>
      <c r="Q15" s="681">
        <f t="shared" si="1"/>
        <v>0</v>
      </c>
      <c r="R15" s="830"/>
      <c r="S15" s="830"/>
      <c r="T15" s="830"/>
      <c r="U15" s="830"/>
      <c r="V15" s="47"/>
      <c r="Y15" s="1087" t="str">
        <f t="shared" si="2"/>
        <v>10-Sep-26</v>
      </c>
      <c r="Z15" s="1088"/>
      <c r="AA15" s="1088"/>
      <c r="AB15" s="1089"/>
      <c r="AC15" s="1089"/>
      <c r="AD15" s="1090"/>
      <c r="AE15" s="1090"/>
      <c r="AF15" s="1091">
        <f t="shared" si="3"/>
        <v>0</v>
      </c>
      <c r="AG15" s="1091">
        <f t="shared" si="4"/>
        <v>0</v>
      </c>
      <c r="AH15" s="1102">
        <f>+MAX(VLOOKUP(A15,'Equipment '!$A$3:$U$36,6,FALSE),VLOOKUP(Y15,'Equipment '!$A$3:$U$36,16,FALSE))</f>
        <v>0</v>
      </c>
      <c r="AI15" s="1103">
        <f>Actual!$O$156</f>
        <v>0</v>
      </c>
      <c r="AJ15" s="1109">
        <f t="shared" si="5"/>
        <v>1312.8979999999999</v>
      </c>
      <c r="AK15" s="1216"/>
      <c r="AL15" s="1094"/>
    </row>
    <row r="16" spans="1:41" ht="13.5" customHeight="1">
      <c r="A16" s="721" t="s">
        <v>304</v>
      </c>
      <c r="B16" s="829"/>
      <c r="C16" s="829"/>
      <c r="D16" s="829"/>
      <c r="E16" s="829"/>
      <c r="F16" s="829"/>
      <c r="G16" s="680">
        <f t="shared" si="0"/>
        <v>0</v>
      </c>
      <c r="H16" s="829"/>
      <c r="I16" s="829"/>
      <c r="J16" s="829"/>
      <c r="K16" s="829"/>
      <c r="L16" s="830"/>
      <c r="M16" s="830"/>
      <c r="N16" s="830"/>
      <c r="O16" s="830"/>
      <c r="P16" s="830"/>
      <c r="Q16" s="681">
        <f t="shared" si="1"/>
        <v>0</v>
      </c>
      <c r="R16" s="830"/>
      <c r="S16" s="830"/>
      <c r="T16" s="830"/>
      <c r="U16" s="830"/>
      <c r="V16" s="47"/>
      <c r="Y16" s="1087" t="str">
        <f t="shared" si="2"/>
        <v>11-Sep-26</v>
      </c>
      <c r="Z16" s="1088"/>
      <c r="AA16" s="1088"/>
      <c r="AB16" s="1089"/>
      <c r="AC16" s="1089"/>
      <c r="AD16" s="1090"/>
      <c r="AE16" s="1090"/>
      <c r="AF16" s="1091">
        <f t="shared" si="3"/>
        <v>0</v>
      </c>
      <c r="AG16" s="1091">
        <f t="shared" si="4"/>
        <v>0</v>
      </c>
      <c r="AH16" s="1102">
        <f>+MAX(VLOOKUP(A16,'Equipment '!$A$3:$U$36,6,FALSE),VLOOKUP(Y16,'Equipment '!$A$3:$U$36,16,FALSE))</f>
        <v>0</v>
      </c>
      <c r="AI16" s="1103">
        <f>Actual!$P$156</f>
        <v>0</v>
      </c>
      <c r="AJ16" s="1109">
        <f t="shared" si="5"/>
        <v>1312.8979999999999</v>
      </c>
      <c r="AK16" s="45"/>
      <c r="AL16" s="1094"/>
    </row>
    <row r="17" spans="1:38" ht="13.5" customHeight="1">
      <c r="A17" s="721" t="s">
        <v>305</v>
      </c>
      <c r="B17" s="829"/>
      <c r="C17" s="829"/>
      <c r="D17" s="829"/>
      <c r="E17" s="829"/>
      <c r="F17" s="829"/>
      <c r="G17" s="680">
        <f t="shared" si="0"/>
        <v>0</v>
      </c>
      <c r="H17" s="829"/>
      <c r="I17" s="829"/>
      <c r="J17" s="829"/>
      <c r="K17" s="829"/>
      <c r="L17" s="830"/>
      <c r="M17" s="830"/>
      <c r="N17" s="830"/>
      <c r="O17" s="830"/>
      <c r="P17" s="830"/>
      <c r="Q17" s="681">
        <f t="shared" si="1"/>
        <v>0</v>
      </c>
      <c r="R17" s="830"/>
      <c r="S17" s="830"/>
      <c r="T17" s="830"/>
      <c r="U17" s="830"/>
      <c r="V17" s="47"/>
      <c r="Y17" s="1087" t="str">
        <f t="shared" si="2"/>
        <v>12-Sep-26</v>
      </c>
      <c r="Z17" s="1088"/>
      <c r="AA17" s="1088"/>
      <c r="AB17" s="1089"/>
      <c r="AC17" s="1089"/>
      <c r="AD17" s="1090"/>
      <c r="AE17" s="1090"/>
      <c r="AF17" s="1091">
        <f t="shared" si="3"/>
        <v>0</v>
      </c>
      <c r="AG17" s="1091">
        <f t="shared" si="4"/>
        <v>0</v>
      </c>
      <c r="AH17" s="1102">
        <f>+MAX(VLOOKUP(A17,'Equipment '!$A$3:$U$36,6,FALSE),VLOOKUP(Y17,'Equipment '!$A$3:$U$36,16,FALSE))</f>
        <v>0</v>
      </c>
      <c r="AI17" s="1103">
        <f>Actual!$Q$156</f>
        <v>0</v>
      </c>
      <c r="AJ17" s="1109">
        <f t="shared" si="5"/>
        <v>1312.8979999999999</v>
      </c>
      <c r="AK17" s="1216"/>
      <c r="AL17" s="1094"/>
    </row>
    <row r="18" spans="1:38" ht="13.5" customHeight="1">
      <c r="A18" s="721" t="s">
        <v>306</v>
      </c>
      <c r="B18" s="829"/>
      <c r="C18" s="829"/>
      <c r="D18" s="829"/>
      <c r="E18" s="829"/>
      <c r="F18" s="829"/>
      <c r="G18" s="680">
        <f t="shared" si="0"/>
        <v>0</v>
      </c>
      <c r="H18" s="829"/>
      <c r="I18" s="829"/>
      <c r="J18" s="829"/>
      <c r="K18" s="829"/>
      <c r="L18" s="830"/>
      <c r="M18" s="830"/>
      <c r="N18" s="830"/>
      <c r="O18" s="830"/>
      <c r="P18" s="830"/>
      <c r="Q18" s="681">
        <f t="shared" si="1"/>
        <v>0</v>
      </c>
      <c r="R18" s="830"/>
      <c r="S18" s="830"/>
      <c r="T18" s="830"/>
      <c r="U18" s="830"/>
      <c r="V18" s="47"/>
      <c r="Y18" s="1087" t="str">
        <f t="shared" si="2"/>
        <v>13-Sep-26</v>
      </c>
      <c r="Z18" s="1088"/>
      <c r="AA18" s="1088"/>
      <c r="AB18" s="1089"/>
      <c r="AC18" s="1089"/>
      <c r="AD18" s="1090"/>
      <c r="AE18" s="1090"/>
      <c r="AF18" s="1091">
        <f t="shared" si="3"/>
        <v>0</v>
      </c>
      <c r="AG18" s="1091">
        <f t="shared" si="4"/>
        <v>0</v>
      </c>
      <c r="AH18" s="1102">
        <f>+MAX(VLOOKUP(A18,'Equipment '!$A$3:$U$36,6,FALSE),VLOOKUP(Y18,'Equipment '!$A$3:$U$36,16,FALSE))</f>
        <v>0</v>
      </c>
      <c r="AI18" s="1103">
        <f>Actual!$R$156</f>
        <v>0</v>
      </c>
      <c r="AJ18" s="1109">
        <f t="shared" si="5"/>
        <v>1312.8979999999999</v>
      </c>
      <c r="AK18" s="48"/>
      <c r="AL18" s="1094"/>
    </row>
    <row r="19" spans="1:38" ht="13.5" customHeight="1">
      <c r="A19" s="721" t="s">
        <v>307</v>
      </c>
      <c r="B19" s="829"/>
      <c r="C19" s="829"/>
      <c r="D19" s="829"/>
      <c r="E19" s="829"/>
      <c r="F19" s="829"/>
      <c r="G19" s="680">
        <f t="shared" si="0"/>
        <v>0</v>
      </c>
      <c r="H19" s="829"/>
      <c r="I19" s="829"/>
      <c r="J19" s="829"/>
      <c r="K19" s="829"/>
      <c r="L19" s="830"/>
      <c r="M19" s="830"/>
      <c r="N19" s="830"/>
      <c r="O19" s="830"/>
      <c r="P19" s="830"/>
      <c r="Q19" s="681">
        <f t="shared" si="1"/>
        <v>0</v>
      </c>
      <c r="R19" s="830"/>
      <c r="S19" s="830"/>
      <c r="T19" s="830"/>
      <c r="U19" s="830"/>
      <c r="V19" s="47"/>
      <c r="Y19" s="1087" t="str">
        <f t="shared" si="2"/>
        <v>14-Sep-26</v>
      </c>
      <c r="Z19" s="1088"/>
      <c r="AA19" s="1088"/>
      <c r="AB19" s="1089"/>
      <c r="AC19" s="1089"/>
      <c r="AD19" s="1090"/>
      <c r="AE19" s="1090"/>
      <c r="AF19" s="1091">
        <f t="shared" si="3"/>
        <v>0</v>
      </c>
      <c r="AG19" s="1091">
        <f t="shared" si="4"/>
        <v>0</v>
      </c>
      <c r="AH19" s="1102">
        <f>+MAX(VLOOKUP(A19,'Equipment '!$A$3:$U$36,6,FALSE),VLOOKUP(Y19,'Equipment '!$A$3:$U$36,16,FALSE))</f>
        <v>0</v>
      </c>
      <c r="AI19" s="1103">
        <f>Actual!$S$156</f>
        <v>0</v>
      </c>
      <c r="AJ19" s="1109">
        <f t="shared" si="5"/>
        <v>1312.8979999999999</v>
      </c>
      <c r="AK19" s="1242"/>
      <c r="AL19" s="1094"/>
    </row>
    <row r="20" spans="1:38" ht="13.5" customHeight="1">
      <c r="A20" s="721" t="s">
        <v>308</v>
      </c>
      <c r="B20" s="829"/>
      <c r="C20" s="829"/>
      <c r="D20" s="829"/>
      <c r="E20" s="829"/>
      <c r="F20" s="829"/>
      <c r="G20" s="680">
        <f t="shared" si="0"/>
        <v>0</v>
      </c>
      <c r="H20" s="829"/>
      <c r="I20" s="829"/>
      <c r="J20" s="829"/>
      <c r="K20" s="829"/>
      <c r="L20" s="830"/>
      <c r="M20" s="830"/>
      <c r="N20" s="830"/>
      <c r="O20" s="830"/>
      <c r="P20" s="830"/>
      <c r="Q20" s="681">
        <f t="shared" si="1"/>
        <v>0</v>
      </c>
      <c r="R20" s="830"/>
      <c r="S20" s="830"/>
      <c r="T20" s="830"/>
      <c r="U20" s="830"/>
      <c r="V20" s="47"/>
      <c r="Y20" s="1087" t="str">
        <f t="shared" si="2"/>
        <v>15-Sep-26</v>
      </c>
      <c r="Z20" s="1088"/>
      <c r="AA20" s="1088"/>
      <c r="AB20" s="1089"/>
      <c r="AC20" s="1089"/>
      <c r="AD20" s="1090"/>
      <c r="AE20" s="1090"/>
      <c r="AF20" s="1091">
        <f t="shared" si="3"/>
        <v>0</v>
      </c>
      <c r="AG20" s="1091">
        <f t="shared" si="4"/>
        <v>0</v>
      </c>
      <c r="AH20" s="1102">
        <f>+MAX(VLOOKUP(A20,'Equipment '!$A$3:$U$36,6,FALSE),VLOOKUP(Y20,'Equipment '!$A$3:$U$36,16,FALSE))</f>
        <v>0</v>
      </c>
      <c r="AI20" s="1103">
        <f>Actual!$T$156</f>
        <v>0</v>
      </c>
      <c r="AJ20" s="1109">
        <f t="shared" si="5"/>
        <v>1312.8979999999999</v>
      </c>
      <c r="AK20" s="1242"/>
      <c r="AL20" s="1094"/>
    </row>
    <row r="21" spans="1:38" ht="13.5" customHeight="1">
      <c r="A21" s="721" t="s">
        <v>309</v>
      </c>
      <c r="B21" s="829"/>
      <c r="C21" s="829"/>
      <c r="D21" s="829"/>
      <c r="E21" s="829"/>
      <c r="F21" s="829"/>
      <c r="G21" s="680">
        <f t="shared" si="0"/>
        <v>0</v>
      </c>
      <c r="H21" s="829"/>
      <c r="I21" s="829"/>
      <c r="J21" s="829"/>
      <c r="K21" s="829"/>
      <c r="L21" s="830"/>
      <c r="M21" s="830"/>
      <c r="N21" s="830"/>
      <c r="O21" s="830"/>
      <c r="P21" s="830"/>
      <c r="Q21" s="681"/>
      <c r="R21" s="830"/>
      <c r="S21" s="830"/>
      <c r="T21" s="830"/>
      <c r="U21" s="830"/>
      <c r="V21" s="47"/>
      <c r="Y21" s="1087" t="str">
        <f t="shared" si="2"/>
        <v>16-Sep-26</v>
      </c>
      <c r="Z21" s="1088"/>
      <c r="AA21" s="1088"/>
      <c r="AB21" s="1089"/>
      <c r="AC21" s="1089"/>
      <c r="AD21" s="1090"/>
      <c r="AE21" s="1090"/>
      <c r="AF21" s="1091">
        <f t="shared" si="3"/>
        <v>0</v>
      </c>
      <c r="AG21" s="1091">
        <f t="shared" si="4"/>
        <v>0</v>
      </c>
      <c r="AH21" s="1102">
        <f>+MAX(VLOOKUP(A21,'Equipment '!$A$3:$U$36,6,FALSE),VLOOKUP(Y21,'Equipment '!$A$3:$U$36,16,FALSE))</f>
        <v>0</v>
      </c>
      <c r="AI21" s="1103">
        <f>Actual!$U$156</f>
        <v>0</v>
      </c>
      <c r="AJ21" s="1109">
        <f t="shared" si="5"/>
        <v>1312.8979999999999</v>
      </c>
      <c r="AK21" s="1242"/>
      <c r="AL21" s="1094"/>
    </row>
    <row r="22" spans="1:38" ht="13.5" customHeight="1">
      <c r="A22" s="721" t="s">
        <v>310</v>
      </c>
      <c r="B22" s="829"/>
      <c r="C22" s="829"/>
      <c r="D22" s="829"/>
      <c r="E22" s="829"/>
      <c r="F22" s="829"/>
      <c r="G22" s="680">
        <f t="shared" si="0"/>
        <v>0</v>
      </c>
      <c r="H22" s="829"/>
      <c r="I22" s="829"/>
      <c r="J22" s="829"/>
      <c r="K22" s="829"/>
      <c r="L22" s="830"/>
      <c r="M22" s="830"/>
      <c r="N22" s="830"/>
      <c r="O22" s="830"/>
      <c r="P22" s="830"/>
      <c r="Q22" s="681">
        <f t="shared" si="1"/>
        <v>0</v>
      </c>
      <c r="R22" s="830"/>
      <c r="S22" s="830"/>
      <c r="T22" s="830"/>
      <c r="U22" s="830"/>
      <c r="V22" s="47"/>
      <c r="Y22" s="1087" t="str">
        <f t="shared" si="2"/>
        <v>17-Sep-26</v>
      </c>
      <c r="Z22" s="1088"/>
      <c r="AA22" s="1088"/>
      <c r="AB22" s="1089"/>
      <c r="AC22" s="1089"/>
      <c r="AD22" s="1090"/>
      <c r="AE22" s="1090"/>
      <c r="AF22" s="1091">
        <f t="shared" si="3"/>
        <v>0</v>
      </c>
      <c r="AG22" s="1091">
        <f t="shared" si="4"/>
        <v>0</v>
      </c>
      <c r="AH22" s="1102">
        <f>+MAX(VLOOKUP(A22,'Equipment '!$A$3:$U$36,6,FALSE),VLOOKUP(Y22,'Equipment '!$A$3:$U$36,16,FALSE))</f>
        <v>0</v>
      </c>
      <c r="AI22" s="1103">
        <f>Actual!$V$156</f>
        <v>0</v>
      </c>
      <c r="AJ22" s="1109">
        <f t="shared" si="5"/>
        <v>1312.8979999999999</v>
      </c>
      <c r="AK22" s="1216"/>
      <c r="AL22" s="1094"/>
    </row>
    <row r="23" spans="1:38" ht="13.5" customHeight="1">
      <c r="A23" s="721" t="s">
        <v>311</v>
      </c>
      <c r="B23" s="829"/>
      <c r="C23" s="829"/>
      <c r="D23" s="829"/>
      <c r="E23" s="829"/>
      <c r="F23" s="829"/>
      <c r="G23" s="680">
        <f t="shared" si="0"/>
        <v>0</v>
      </c>
      <c r="H23" s="829"/>
      <c r="I23" s="829"/>
      <c r="J23" s="829"/>
      <c r="K23" s="829"/>
      <c r="L23" s="830"/>
      <c r="M23" s="830"/>
      <c r="N23" s="830"/>
      <c r="O23" s="830"/>
      <c r="P23" s="830"/>
      <c r="Q23" s="681">
        <f t="shared" si="1"/>
        <v>0</v>
      </c>
      <c r="R23" s="830"/>
      <c r="S23" s="830"/>
      <c r="T23" s="830"/>
      <c r="U23" s="830"/>
      <c r="V23" s="47"/>
      <c r="Y23" s="1087" t="str">
        <f t="shared" si="2"/>
        <v>18-Sep-26</v>
      </c>
      <c r="Z23" s="1088"/>
      <c r="AA23" s="1088"/>
      <c r="AB23" s="1089"/>
      <c r="AC23" s="1089"/>
      <c r="AD23" s="1090"/>
      <c r="AE23" s="1090"/>
      <c r="AF23" s="1091">
        <f t="shared" si="3"/>
        <v>0</v>
      </c>
      <c r="AG23" s="1091">
        <f t="shared" si="4"/>
        <v>0</v>
      </c>
      <c r="AH23" s="1102">
        <f>+MAX(VLOOKUP(A23,'Equipment '!$A$3:$U$36,6,FALSE),VLOOKUP(Y23,'Equipment '!$A$3:$U$36,16,FALSE))</f>
        <v>0</v>
      </c>
      <c r="AI23" s="1103">
        <f>Actual!$W$156</f>
        <v>0</v>
      </c>
      <c r="AJ23" s="1109">
        <f t="shared" si="5"/>
        <v>1312.8979999999999</v>
      </c>
      <c r="AK23" s="1242"/>
      <c r="AL23" s="1094"/>
    </row>
    <row r="24" spans="1:38" ht="13.5" customHeight="1">
      <c r="A24" s="721" t="s">
        <v>312</v>
      </c>
      <c r="B24" s="829"/>
      <c r="C24" s="829"/>
      <c r="D24" s="829"/>
      <c r="E24" s="829"/>
      <c r="F24" s="829"/>
      <c r="G24" s="680">
        <f t="shared" si="0"/>
        <v>0</v>
      </c>
      <c r="H24" s="829"/>
      <c r="I24" s="829"/>
      <c r="J24" s="829"/>
      <c r="K24" s="829"/>
      <c r="L24" s="830"/>
      <c r="M24" s="830"/>
      <c r="N24" s="830"/>
      <c r="O24" s="830"/>
      <c r="P24" s="830"/>
      <c r="Q24" s="681">
        <f t="shared" si="1"/>
        <v>0</v>
      </c>
      <c r="R24" s="830"/>
      <c r="S24" s="830"/>
      <c r="T24" s="830"/>
      <c r="U24" s="830"/>
      <c r="V24" s="47"/>
      <c r="W24" s="48"/>
      <c r="Y24" s="1087" t="str">
        <f t="shared" si="2"/>
        <v>19-Sep-26</v>
      </c>
      <c r="Z24" s="1088"/>
      <c r="AA24" s="1088"/>
      <c r="AB24" s="1089"/>
      <c r="AC24" s="1089"/>
      <c r="AD24" s="1090"/>
      <c r="AE24" s="1090"/>
      <c r="AF24" s="1091">
        <f t="shared" si="3"/>
        <v>0</v>
      </c>
      <c r="AG24" s="1091">
        <f t="shared" si="4"/>
        <v>0</v>
      </c>
      <c r="AH24" s="1102">
        <f>+MAX(VLOOKUP(A24,'Equipment '!$A$3:$U$36,6,FALSE),VLOOKUP(Y24,'Equipment '!$A$3:$U$36,16,FALSE))</f>
        <v>0</v>
      </c>
      <c r="AI24" s="1103">
        <f>Actual!$X$156</f>
        <v>0</v>
      </c>
      <c r="AJ24" s="1109">
        <f t="shared" si="5"/>
        <v>1312.8979999999999</v>
      </c>
      <c r="AK24" s="48"/>
      <c r="AL24" s="1094"/>
    </row>
    <row r="25" spans="1:38" ht="13.5" customHeight="1">
      <c r="A25" s="721" t="s">
        <v>313</v>
      </c>
      <c r="B25" s="829"/>
      <c r="C25" s="829"/>
      <c r="D25" s="829"/>
      <c r="E25" s="829"/>
      <c r="F25" s="829"/>
      <c r="G25" s="680">
        <f t="shared" si="0"/>
        <v>0</v>
      </c>
      <c r="H25" s="829"/>
      <c r="I25" s="829"/>
      <c r="J25" s="829"/>
      <c r="K25" s="829"/>
      <c r="L25" s="830"/>
      <c r="M25" s="830"/>
      <c r="N25" s="830"/>
      <c r="O25" s="830"/>
      <c r="P25" s="830"/>
      <c r="Q25" s="681">
        <f t="shared" si="1"/>
        <v>0</v>
      </c>
      <c r="R25" s="830"/>
      <c r="S25" s="830"/>
      <c r="T25" s="830"/>
      <c r="U25" s="830"/>
      <c r="V25" s="47"/>
      <c r="Y25" s="1087" t="str">
        <f t="shared" si="2"/>
        <v>20-Sep-26</v>
      </c>
      <c r="Z25" s="1088"/>
      <c r="AA25" s="1088"/>
      <c r="AB25" s="1089"/>
      <c r="AC25" s="1089"/>
      <c r="AD25" s="1090"/>
      <c r="AE25" s="1090"/>
      <c r="AF25" s="1091">
        <f t="shared" si="3"/>
        <v>0</v>
      </c>
      <c r="AG25" s="1091">
        <f t="shared" si="4"/>
        <v>0</v>
      </c>
      <c r="AH25" s="1102">
        <f>+MAX(VLOOKUP(A25,'Equipment '!$A$3:$U$36,6,FALSE),VLOOKUP(Y25,'Equipment '!$A$3:$U$36,16,FALSE))</f>
        <v>0</v>
      </c>
      <c r="AI25" s="1103">
        <f>Actual!$Y$156</f>
        <v>0</v>
      </c>
      <c r="AJ25" s="1109">
        <f t="shared" si="5"/>
        <v>1312.8979999999999</v>
      </c>
      <c r="AK25" s="1216"/>
      <c r="AL25" s="1094"/>
    </row>
    <row r="26" spans="1:38" ht="13.5" customHeight="1">
      <c r="A26" s="721" t="s">
        <v>314</v>
      </c>
      <c r="B26" s="829"/>
      <c r="C26" s="829"/>
      <c r="D26" s="829"/>
      <c r="E26" s="829"/>
      <c r="F26" s="829"/>
      <c r="G26" s="680">
        <f t="shared" si="0"/>
        <v>0</v>
      </c>
      <c r="H26" s="829"/>
      <c r="I26" s="829"/>
      <c r="J26" s="829"/>
      <c r="K26" s="829"/>
      <c r="L26" s="830"/>
      <c r="M26" s="830"/>
      <c r="N26" s="830"/>
      <c r="O26" s="830"/>
      <c r="P26" s="830"/>
      <c r="Q26" s="681">
        <f t="shared" si="1"/>
        <v>0</v>
      </c>
      <c r="R26" s="830"/>
      <c r="S26" s="830"/>
      <c r="T26" s="830"/>
      <c r="U26" s="830"/>
      <c r="V26" s="47"/>
      <c r="Y26" s="1087" t="str">
        <f t="shared" si="2"/>
        <v>21-Sep-26</v>
      </c>
      <c r="Z26" s="1088"/>
      <c r="AA26" s="1088"/>
      <c r="AB26" s="1089"/>
      <c r="AC26" s="1089"/>
      <c r="AD26" s="1090"/>
      <c r="AE26" s="1090"/>
      <c r="AF26" s="1091">
        <f t="shared" si="3"/>
        <v>0</v>
      </c>
      <c r="AG26" s="1091">
        <f t="shared" si="4"/>
        <v>0</v>
      </c>
      <c r="AH26" s="1102">
        <f>+MAX(VLOOKUP(A26,'Equipment '!$A$3:$U$36,6,FALSE),VLOOKUP(Y26,'Equipment '!$A$3:$U$36,16,FALSE))</f>
        <v>0</v>
      </c>
      <c r="AI26" s="1103">
        <f>Actual!$Z$156</f>
        <v>0</v>
      </c>
      <c r="AJ26" s="1109">
        <f t="shared" si="5"/>
        <v>1312.8979999999999</v>
      </c>
      <c r="AK26" s="1216"/>
      <c r="AL26" s="1094"/>
    </row>
    <row r="27" spans="1:38" ht="13.5" customHeight="1">
      <c r="A27" s="721" t="s">
        <v>315</v>
      </c>
      <c r="B27" s="829"/>
      <c r="C27" s="829"/>
      <c r="D27" s="829"/>
      <c r="E27" s="829"/>
      <c r="F27" s="829"/>
      <c r="G27" s="680">
        <f t="shared" si="0"/>
        <v>0</v>
      </c>
      <c r="H27" s="829"/>
      <c r="I27" s="829"/>
      <c r="J27" s="829"/>
      <c r="K27" s="829"/>
      <c r="L27" s="830"/>
      <c r="M27" s="830"/>
      <c r="N27" s="830"/>
      <c r="O27" s="830"/>
      <c r="P27" s="830"/>
      <c r="Q27" s="681">
        <f t="shared" si="1"/>
        <v>0</v>
      </c>
      <c r="R27" s="830"/>
      <c r="S27" s="830"/>
      <c r="T27" s="830"/>
      <c r="U27" s="830"/>
      <c r="V27" s="47"/>
      <c r="Y27" s="1087" t="str">
        <f t="shared" si="2"/>
        <v>22-Sep-26</v>
      </c>
      <c r="Z27" s="1088"/>
      <c r="AA27" s="1088"/>
      <c r="AB27" s="1089"/>
      <c r="AC27" s="1089"/>
      <c r="AD27" s="1090"/>
      <c r="AE27" s="1090"/>
      <c r="AF27" s="1091">
        <f t="shared" si="3"/>
        <v>0</v>
      </c>
      <c r="AG27" s="1091">
        <f t="shared" si="4"/>
        <v>0</v>
      </c>
      <c r="AH27" s="1102">
        <f>+MAX(VLOOKUP(A27,'Equipment '!$A$3:$U$36,6,FALSE),VLOOKUP(Y27,'Equipment '!$A$3:$U$36,16,FALSE))</f>
        <v>0</v>
      </c>
      <c r="AI27" s="1103">
        <f>Actual!$AA$156</f>
        <v>0</v>
      </c>
      <c r="AJ27" s="1109">
        <f t="shared" si="5"/>
        <v>1312.8979999999999</v>
      </c>
      <c r="AK27" s="1235"/>
      <c r="AL27" s="1094"/>
    </row>
    <row r="28" spans="1:38" ht="13.5" customHeight="1">
      <c r="A28" s="721" t="s">
        <v>316</v>
      </c>
      <c r="B28" s="829"/>
      <c r="C28" s="829"/>
      <c r="D28" s="829"/>
      <c r="E28" s="829"/>
      <c r="F28" s="829"/>
      <c r="G28" s="680">
        <f t="shared" si="0"/>
        <v>0</v>
      </c>
      <c r="H28" s="829"/>
      <c r="I28" s="829"/>
      <c r="J28" s="829"/>
      <c r="K28" s="829"/>
      <c r="L28" s="830"/>
      <c r="M28" s="830"/>
      <c r="N28" s="830"/>
      <c r="O28" s="830"/>
      <c r="P28" s="830"/>
      <c r="Q28" s="681">
        <f t="shared" si="1"/>
        <v>0</v>
      </c>
      <c r="R28" s="830"/>
      <c r="S28" s="830"/>
      <c r="T28" s="830"/>
      <c r="U28" s="830"/>
      <c r="V28" s="47"/>
      <c r="Y28" s="1087" t="str">
        <f t="shared" si="2"/>
        <v>23-Sep-26</v>
      </c>
      <c r="Z28" s="1088"/>
      <c r="AA28" s="1088"/>
      <c r="AB28" s="1089"/>
      <c r="AC28" s="1089"/>
      <c r="AD28" s="1090"/>
      <c r="AE28" s="1090"/>
      <c r="AF28" s="1091">
        <f t="shared" si="3"/>
        <v>0</v>
      </c>
      <c r="AG28" s="1091">
        <f t="shared" si="4"/>
        <v>0</v>
      </c>
      <c r="AH28" s="1102">
        <f>+MAX(VLOOKUP(A28,'Equipment '!$A$3:$U$36,6,FALSE),VLOOKUP(Y28,'Equipment '!$A$3:$U$36,16,FALSE))</f>
        <v>0</v>
      </c>
      <c r="AI28" s="1103">
        <f>Actual!$AB$156</f>
        <v>0</v>
      </c>
      <c r="AJ28" s="1109">
        <f t="shared" si="5"/>
        <v>1312.8979999999999</v>
      </c>
      <c r="AK28" s="45"/>
      <c r="AL28" s="1094"/>
    </row>
    <row r="29" spans="1:38" ht="13.5" customHeight="1">
      <c r="A29" s="721" t="s">
        <v>317</v>
      </c>
      <c r="B29" s="829"/>
      <c r="C29" s="829"/>
      <c r="D29" s="829"/>
      <c r="E29" s="829"/>
      <c r="F29" s="829"/>
      <c r="G29" s="680">
        <f t="shared" si="0"/>
        <v>0</v>
      </c>
      <c r="H29" s="829"/>
      <c r="I29" s="829"/>
      <c r="J29" s="829"/>
      <c r="K29" s="829"/>
      <c r="L29" s="830"/>
      <c r="M29" s="830"/>
      <c r="N29" s="830"/>
      <c r="O29" s="830"/>
      <c r="P29" s="830"/>
      <c r="Q29" s="681">
        <f t="shared" si="1"/>
        <v>0</v>
      </c>
      <c r="R29" s="830"/>
      <c r="S29" s="830"/>
      <c r="T29" s="830"/>
      <c r="U29" s="830"/>
      <c r="V29" s="47"/>
      <c r="Y29" s="1087" t="str">
        <f t="shared" si="2"/>
        <v>24-Sep-26</v>
      </c>
      <c r="Z29" s="1088"/>
      <c r="AA29" s="1088"/>
      <c r="AB29" s="1089"/>
      <c r="AC29" s="1089"/>
      <c r="AD29" s="1090"/>
      <c r="AE29" s="1090"/>
      <c r="AF29" s="1091">
        <f t="shared" si="3"/>
        <v>0</v>
      </c>
      <c r="AG29" s="1091">
        <f t="shared" si="4"/>
        <v>0</v>
      </c>
      <c r="AH29" s="1102">
        <f>+MAX(VLOOKUP(A29,'Equipment '!$A$3:$U$36,6,FALSE),VLOOKUP(Y29,'Equipment '!$A$3:$U$36,16,FALSE))</f>
        <v>0</v>
      </c>
      <c r="AI29" s="1103">
        <f>Actual!$AC$156</f>
        <v>0</v>
      </c>
      <c r="AJ29" s="1109">
        <f t="shared" si="5"/>
        <v>1312.8979999999999</v>
      </c>
      <c r="AK29" s="1216"/>
      <c r="AL29" s="1094"/>
    </row>
    <row r="30" spans="1:38" ht="13.5" customHeight="1">
      <c r="A30" s="721" t="s">
        <v>318</v>
      </c>
      <c r="B30" s="829"/>
      <c r="C30" s="829"/>
      <c r="D30" s="829"/>
      <c r="E30" s="829"/>
      <c r="F30" s="829"/>
      <c r="G30" s="680">
        <f t="shared" si="0"/>
        <v>0</v>
      </c>
      <c r="H30" s="829"/>
      <c r="I30" s="829"/>
      <c r="J30" s="829"/>
      <c r="K30" s="829"/>
      <c r="L30" s="830"/>
      <c r="M30" s="830"/>
      <c r="N30" s="830"/>
      <c r="O30" s="830"/>
      <c r="P30" s="830"/>
      <c r="Q30" s="681">
        <f t="shared" si="1"/>
        <v>0</v>
      </c>
      <c r="R30" s="830"/>
      <c r="S30" s="830"/>
      <c r="T30" s="830"/>
      <c r="U30" s="830"/>
      <c r="V30" s="47"/>
      <c r="Y30" s="1087" t="str">
        <f t="shared" si="2"/>
        <v>25-Sep-26</v>
      </c>
      <c r="Z30" s="1088"/>
      <c r="AA30" s="1088"/>
      <c r="AB30" s="1089"/>
      <c r="AC30" s="1089"/>
      <c r="AD30" s="1090"/>
      <c r="AE30" s="1090"/>
      <c r="AF30" s="1091">
        <f t="shared" si="3"/>
        <v>0</v>
      </c>
      <c r="AG30" s="1091">
        <f t="shared" si="4"/>
        <v>0</v>
      </c>
      <c r="AH30" s="1102">
        <f>+MAX(VLOOKUP(A30,'Equipment '!$A$3:$U$36,6,FALSE),VLOOKUP(Y30,'Equipment '!$A$3:$U$36,16,FALSE))</f>
        <v>0</v>
      </c>
      <c r="AI30" s="1103">
        <f>Actual!$AD$156</f>
        <v>0</v>
      </c>
      <c r="AJ30" s="1109">
        <f t="shared" si="5"/>
        <v>1312.8979999999999</v>
      </c>
      <c r="AK30" s="1216"/>
      <c r="AL30" s="1094"/>
    </row>
    <row r="31" spans="1:38" ht="13.5" customHeight="1">
      <c r="A31" s="721" t="s">
        <v>319</v>
      </c>
      <c r="B31" s="829"/>
      <c r="C31" s="829"/>
      <c r="D31" s="829"/>
      <c r="E31" s="829"/>
      <c r="F31" s="829"/>
      <c r="G31" s="680">
        <f t="shared" si="0"/>
        <v>0</v>
      </c>
      <c r="H31" s="829"/>
      <c r="I31" s="829"/>
      <c r="J31" s="829"/>
      <c r="K31" s="829"/>
      <c r="L31" s="830"/>
      <c r="M31" s="830"/>
      <c r="N31" s="830"/>
      <c r="O31" s="830"/>
      <c r="P31" s="830"/>
      <c r="Q31" s="681">
        <f t="shared" si="1"/>
        <v>0</v>
      </c>
      <c r="R31" s="830"/>
      <c r="S31" s="830"/>
      <c r="T31" s="830"/>
      <c r="U31" s="830"/>
      <c r="V31" s="47"/>
      <c r="Y31" s="1087" t="str">
        <f t="shared" si="2"/>
        <v>26-Sep-26</v>
      </c>
      <c r="Z31" s="1088"/>
      <c r="AA31" s="1088"/>
      <c r="AB31" s="1089"/>
      <c r="AC31" s="1089"/>
      <c r="AD31" s="1090"/>
      <c r="AE31" s="1090"/>
      <c r="AF31" s="1091">
        <f t="shared" si="3"/>
        <v>0</v>
      </c>
      <c r="AG31" s="1091">
        <f t="shared" si="4"/>
        <v>0</v>
      </c>
      <c r="AH31" s="1102">
        <f>+MAX(VLOOKUP(A31,'Equipment '!$A$3:$U$36,6,FALSE),VLOOKUP(Y31,'Equipment '!$A$3:$U$36,16,FALSE))</f>
        <v>0</v>
      </c>
      <c r="AI31" s="1103">
        <f>Actual!$AE$156</f>
        <v>0</v>
      </c>
      <c r="AJ31" s="1109">
        <f t="shared" si="5"/>
        <v>1312.8979999999999</v>
      </c>
      <c r="AK31" s="1235"/>
      <c r="AL31" s="1094"/>
    </row>
    <row r="32" spans="1:38" ht="13.5" customHeight="1">
      <c r="A32" s="721" t="s">
        <v>320</v>
      </c>
      <c r="B32" s="829"/>
      <c r="C32" s="829"/>
      <c r="D32" s="829"/>
      <c r="E32" s="829"/>
      <c r="F32" s="829"/>
      <c r="G32" s="680">
        <f t="shared" si="0"/>
        <v>0</v>
      </c>
      <c r="H32" s="829"/>
      <c r="I32" s="829"/>
      <c r="J32" s="829"/>
      <c r="K32" s="829"/>
      <c r="L32" s="830"/>
      <c r="M32" s="830"/>
      <c r="N32" s="830"/>
      <c r="O32" s="830"/>
      <c r="P32" s="830"/>
      <c r="Q32" s="681">
        <f t="shared" si="1"/>
        <v>0</v>
      </c>
      <c r="R32" s="830"/>
      <c r="S32" s="830"/>
      <c r="T32" s="830"/>
      <c r="U32" s="830"/>
      <c r="V32" s="47"/>
      <c r="Y32" s="1087" t="str">
        <f t="shared" si="2"/>
        <v>27-Sep-26</v>
      </c>
      <c r="Z32" s="1088"/>
      <c r="AA32" s="1088"/>
      <c r="AB32" s="1089"/>
      <c r="AC32" s="1089"/>
      <c r="AD32" s="1090"/>
      <c r="AE32" s="1090"/>
      <c r="AF32" s="1091">
        <f t="shared" si="3"/>
        <v>0</v>
      </c>
      <c r="AG32" s="1091">
        <f t="shared" si="4"/>
        <v>0</v>
      </c>
      <c r="AH32" s="1102">
        <f>+MAX(VLOOKUP(A32,'Equipment '!$A$3:$U$36,6,FALSE),VLOOKUP(Y32,'Equipment '!$A$3:$U$36,16,FALSE))</f>
        <v>0</v>
      </c>
      <c r="AI32" s="1103">
        <f>Actual!$AF$156</f>
        <v>0</v>
      </c>
      <c r="AJ32" s="1109">
        <f t="shared" si="5"/>
        <v>1312.8979999999999</v>
      </c>
      <c r="AK32" s="1235"/>
      <c r="AL32" s="1094"/>
    </row>
    <row r="33" spans="1:39" ht="13.5" customHeight="1">
      <c r="A33" s="721" t="s">
        <v>321</v>
      </c>
      <c r="B33" s="829"/>
      <c r="C33" s="829"/>
      <c r="D33" s="829"/>
      <c r="E33" s="829"/>
      <c r="F33" s="829"/>
      <c r="G33" s="680">
        <f t="shared" si="0"/>
        <v>0</v>
      </c>
      <c r="H33" s="829"/>
      <c r="I33" s="829"/>
      <c r="J33" s="829"/>
      <c r="K33" s="829"/>
      <c r="L33" s="830"/>
      <c r="M33" s="830"/>
      <c r="N33" s="830"/>
      <c r="O33" s="830"/>
      <c r="P33" s="830"/>
      <c r="Q33" s="681">
        <f t="shared" si="1"/>
        <v>0</v>
      </c>
      <c r="R33" s="830"/>
      <c r="S33" s="830"/>
      <c r="T33" s="830"/>
      <c r="U33" s="830"/>
      <c r="V33" s="47"/>
      <c r="Y33" s="1087" t="str">
        <f t="shared" si="2"/>
        <v>28-Sep-26</v>
      </c>
      <c r="Z33" s="1088"/>
      <c r="AA33" s="1088"/>
      <c r="AB33" s="1089"/>
      <c r="AC33" s="1089"/>
      <c r="AD33" s="1090"/>
      <c r="AE33" s="1090"/>
      <c r="AF33" s="1091">
        <f t="shared" si="3"/>
        <v>0</v>
      </c>
      <c r="AG33" s="1091">
        <f t="shared" si="4"/>
        <v>0</v>
      </c>
      <c r="AH33" s="1102">
        <f>+MAX(VLOOKUP(A33,'Equipment '!$A$3:$U$36,6,FALSE),VLOOKUP(Y33,'Equipment '!$A$3:$U$36,16,FALSE))</f>
        <v>0</v>
      </c>
      <c r="AI33" s="1103">
        <f>Actual!$AG$156</f>
        <v>0</v>
      </c>
      <c r="AJ33" s="1109">
        <f t="shared" si="5"/>
        <v>1312.8979999999999</v>
      </c>
      <c r="AK33" s="1235"/>
      <c r="AL33" s="1094"/>
    </row>
    <row r="34" spans="1:39" ht="13.5" customHeight="1">
      <c r="A34" s="721" t="s">
        <v>322</v>
      </c>
      <c r="B34" s="829"/>
      <c r="C34" s="829"/>
      <c r="D34" s="829"/>
      <c r="E34" s="829"/>
      <c r="F34" s="829"/>
      <c r="G34" s="680">
        <f t="shared" si="0"/>
        <v>0</v>
      </c>
      <c r="H34" s="829"/>
      <c r="I34" s="829"/>
      <c r="J34" s="829"/>
      <c r="K34" s="829"/>
      <c r="L34" s="830"/>
      <c r="M34" s="830"/>
      <c r="N34" s="830"/>
      <c r="O34" s="830"/>
      <c r="P34" s="830"/>
      <c r="Q34" s="681">
        <f t="shared" si="1"/>
        <v>0</v>
      </c>
      <c r="R34" s="830"/>
      <c r="S34" s="830"/>
      <c r="T34" s="830"/>
      <c r="U34" s="830"/>
      <c r="V34" s="47"/>
      <c r="Y34" s="1087" t="str">
        <f t="shared" si="2"/>
        <v>29-Sep-26</v>
      </c>
      <c r="Z34" s="1088"/>
      <c r="AA34" s="1088"/>
      <c r="AB34" s="1089"/>
      <c r="AC34" s="1089"/>
      <c r="AD34" s="1090"/>
      <c r="AE34" s="1090"/>
      <c r="AF34" s="1091">
        <f t="shared" si="3"/>
        <v>0</v>
      </c>
      <c r="AG34" s="1091">
        <f t="shared" si="4"/>
        <v>0</v>
      </c>
      <c r="AH34" s="1102">
        <f>+MAX(VLOOKUP(A34,'Equipment '!$A$3:$U$36,6,FALSE),VLOOKUP(Y34,'Equipment '!$A$3:$U$36,16,FALSE))</f>
        <v>0</v>
      </c>
      <c r="AI34" s="1103">
        <f>Actual!$AH$156</f>
        <v>0</v>
      </c>
      <c r="AJ34" s="1109">
        <f t="shared" si="5"/>
        <v>1312.8979999999999</v>
      </c>
      <c r="AK34" s="1216"/>
      <c r="AL34" s="1094"/>
    </row>
    <row r="35" spans="1:39" ht="13.5" customHeight="1">
      <c r="A35" s="721" t="s">
        <v>323</v>
      </c>
      <c r="B35" s="829"/>
      <c r="C35" s="829"/>
      <c r="D35" s="829"/>
      <c r="E35" s="829"/>
      <c r="F35" s="829"/>
      <c r="G35" s="680">
        <f t="shared" si="0"/>
        <v>0</v>
      </c>
      <c r="H35" s="829"/>
      <c r="I35" s="829"/>
      <c r="J35" s="829"/>
      <c r="K35" s="829"/>
      <c r="L35" s="830"/>
      <c r="M35" s="830"/>
      <c r="N35" s="830"/>
      <c r="O35" s="830"/>
      <c r="P35" s="830"/>
      <c r="Q35" s="681">
        <f t="shared" si="1"/>
        <v>0</v>
      </c>
      <c r="R35" s="830"/>
      <c r="S35" s="830"/>
      <c r="T35" s="830"/>
      <c r="U35" s="830"/>
      <c r="V35" s="47"/>
      <c r="Y35" s="1087" t="str">
        <f t="shared" si="2"/>
        <v>30-Sep-26</v>
      </c>
      <c r="Z35" s="1088"/>
      <c r="AA35" s="1088"/>
      <c r="AB35" s="1089"/>
      <c r="AC35" s="1089"/>
      <c r="AD35" s="1090"/>
      <c r="AE35" s="1090"/>
      <c r="AF35" s="1091">
        <f t="shared" si="3"/>
        <v>0</v>
      </c>
      <c r="AG35" s="1091">
        <f t="shared" si="4"/>
        <v>0</v>
      </c>
      <c r="AH35" s="1102">
        <f>+MAX(VLOOKUP(A35,'Equipment '!$A$3:$U$36,6,FALSE),VLOOKUP(Y35,'Equipment '!$A$3:$U$36,16,FALSE))</f>
        <v>0</v>
      </c>
      <c r="AI35" s="1103">
        <f>Actual!$AI$156</f>
        <v>0</v>
      </c>
      <c r="AJ35" s="1109">
        <f t="shared" si="5"/>
        <v>1312.8979999999999</v>
      </c>
      <c r="AK35" s="1216"/>
      <c r="AL35" s="1094"/>
    </row>
    <row r="36" spans="1:39" ht="13.5" customHeight="1">
      <c r="A36" s="721" t="s">
        <v>324</v>
      </c>
      <c r="B36" s="829"/>
      <c r="C36" s="829"/>
      <c r="D36" s="829"/>
      <c r="E36" s="829"/>
      <c r="F36" s="829"/>
      <c r="G36" s="680">
        <f t="shared" si="0"/>
        <v>0</v>
      </c>
      <c r="H36" s="829"/>
      <c r="I36" s="829"/>
      <c r="J36" s="829"/>
      <c r="K36" s="829"/>
      <c r="L36" s="830"/>
      <c r="M36" s="830"/>
      <c r="N36" s="830"/>
      <c r="O36" s="830"/>
      <c r="P36" s="830"/>
      <c r="Q36" s="681">
        <f t="shared" si="1"/>
        <v>0</v>
      </c>
      <c r="R36" s="830"/>
      <c r="S36" s="830"/>
      <c r="T36" s="830"/>
      <c r="U36" s="830"/>
      <c r="V36" s="47"/>
      <c r="Y36" s="1087" t="str">
        <f t="shared" si="2"/>
        <v>31-Sep-26</v>
      </c>
      <c r="Z36" s="1088"/>
      <c r="AA36" s="1088"/>
      <c r="AB36" s="1089"/>
      <c r="AC36" s="1089"/>
      <c r="AD36" s="1090"/>
      <c r="AE36" s="1090"/>
      <c r="AF36" s="1091">
        <f t="shared" si="3"/>
        <v>0</v>
      </c>
      <c r="AG36" s="1091">
        <f t="shared" si="4"/>
        <v>0</v>
      </c>
      <c r="AH36" s="1102">
        <f>+MAX(VLOOKUP(A36,'Equipment '!$A$3:$U$36,6,FALSE),VLOOKUP(Y36,'Equipment '!$A$3:$U$36,16,FALSE))</f>
        <v>0</v>
      </c>
      <c r="AI36" s="1103">
        <f>Actual!$AJ$156</f>
        <v>0</v>
      </c>
      <c r="AJ36" s="1109">
        <f t="shared" si="5"/>
        <v>1312.8979999999999</v>
      </c>
      <c r="AK36" s="1235"/>
      <c r="AL36" s="1094"/>
    </row>
    <row r="37" spans="1:39" ht="31.15" customHeight="1">
      <c r="A37" s="682" t="s">
        <v>325</v>
      </c>
      <c r="B37" s="683">
        <f>IFERROR(SUM(B6:B36)/B39,0)</f>
        <v>4.0924686606464107</v>
      </c>
      <c r="C37" s="683">
        <f>IFERROR(SUM(C6:C36)/C39,0)</f>
        <v>0</v>
      </c>
      <c r="D37" s="683">
        <f t="shared" ref="D37:U37" si="6">IFERROR(SUM(D6:D36)/D39,0)</f>
        <v>14.388885487865442</v>
      </c>
      <c r="E37" s="683">
        <f t="shared" si="6"/>
        <v>1.48658119444421</v>
      </c>
      <c r="F37" s="683">
        <f t="shared" si="6"/>
        <v>0.96526508897449004</v>
      </c>
      <c r="G37" s="683">
        <f t="shared" si="6"/>
        <v>10</v>
      </c>
      <c r="H37" s="683">
        <f t="shared" si="6"/>
        <v>2.0282132283390224</v>
      </c>
      <c r="I37" s="683">
        <f t="shared" si="6"/>
        <v>0.871896317370914</v>
      </c>
      <c r="J37" s="683">
        <f t="shared" si="6"/>
        <v>0.29166666666666669</v>
      </c>
      <c r="K37" s="683">
        <f t="shared" si="6"/>
        <v>2.2534056216443754</v>
      </c>
      <c r="L37" s="683">
        <f t="shared" si="6"/>
        <v>3.6839772759760385</v>
      </c>
      <c r="M37" s="683">
        <f t="shared" si="6"/>
        <v>0</v>
      </c>
      <c r="N37" s="683">
        <f t="shared" si="6"/>
        <v>14.635584998933018</v>
      </c>
      <c r="O37" s="683">
        <f t="shared" si="6"/>
        <v>1.4605694513652163</v>
      </c>
      <c r="P37" s="683">
        <f t="shared" si="6"/>
        <v>0.47598253275112501</v>
      </c>
      <c r="Q37" s="683">
        <f t="shared" si="6"/>
        <v>0</v>
      </c>
      <c r="R37" s="683">
        <f t="shared" si="6"/>
        <v>2.0715489255232287</v>
      </c>
      <c r="S37" s="683">
        <f t="shared" si="6"/>
        <v>0.94310776942354979</v>
      </c>
      <c r="T37" s="683">
        <f t="shared" si="6"/>
        <v>0</v>
      </c>
      <c r="U37" s="683">
        <f t="shared" si="6"/>
        <v>1.2333333333333323</v>
      </c>
      <c r="V37" s="47"/>
      <c r="Y37" s="1092" t="s">
        <v>152</v>
      </c>
      <c r="Z37" s="1093" t="e">
        <f>AVERAGE(Z6:Z36)</f>
        <v>#DIV/0!</v>
      </c>
      <c r="AA37" s="1093" t="e">
        <f t="shared" ref="AA37:AE37" si="7">AVERAGE(AA6:AA36)</f>
        <v>#DIV/0!</v>
      </c>
      <c r="AB37" s="1093" t="e">
        <f t="shared" si="7"/>
        <v>#DIV/0!</v>
      </c>
      <c r="AC37" s="1093" t="e">
        <f t="shared" si="7"/>
        <v>#DIV/0!</v>
      </c>
      <c r="AD37" s="1093">
        <f t="shared" si="7"/>
        <v>10</v>
      </c>
      <c r="AE37" s="1093" t="e">
        <f t="shared" si="7"/>
        <v>#DIV/0!</v>
      </c>
      <c r="AF37" s="1093">
        <f>AVERAGE(AF6:AF18)</f>
        <v>0.76923076923076927</v>
      </c>
      <c r="AG37" s="1093">
        <f t="shared" ref="AG37:AH37" si="8">AVERAGE(AG6:AG18)</f>
        <v>0</v>
      </c>
      <c r="AH37" s="1093">
        <f t="shared" si="8"/>
        <v>7.4251160690345389E-2</v>
      </c>
      <c r="AI37" s="1093">
        <f>AVERAGE(AI6:AI10)</f>
        <v>262.57959999999997</v>
      </c>
      <c r="AJ37" s="1097">
        <f>SUM(AI6:AI36)</f>
        <v>1312.8979999999999</v>
      </c>
      <c r="AK37" s="1107" t="s">
        <v>326</v>
      </c>
    </row>
    <row r="38" spans="1:39" ht="26.45">
      <c r="A38" s="351" t="s">
        <v>327</v>
      </c>
      <c r="B38" s="352">
        <v>4</v>
      </c>
      <c r="C38" s="352">
        <v>0</v>
      </c>
      <c r="D38" s="352">
        <v>20</v>
      </c>
      <c r="E38" s="352">
        <v>2</v>
      </c>
      <c r="F38" s="352">
        <v>3</v>
      </c>
      <c r="G38" s="352">
        <v>24</v>
      </c>
      <c r="H38" s="352">
        <v>4</v>
      </c>
      <c r="I38" s="352">
        <v>2</v>
      </c>
      <c r="J38" s="352">
        <v>1</v>
      </c>
      <c r="K38" s="352">
        <v>1</v>
      </c>
      <c r="L38" s="352">
        <v>4</v>
      </c>
      <c r="M38" s="352">
        <v>0</v>
      </c>
      <c r="N38" s="352">
        <v>20</v>
      </c>
      <c r="O38" s="352">
        <v>2</v>
      </c>
      <c r="P38" s="352">
        <v>3</v>
      </c>
      <c r="Q38" s="352">
        <v>24</v>
      </c>
      <c r="R38" s="352">
        <v>4</v>
      </c>
      <c r="S38" s="352">
        <v>2</v>
      </c>
      <c r="T38" s="352">
        <v>1</v>
      </c>
      <c r="U38" s="352">
        <v>1</v>
      </c>
      <c r="Y38" s="1095" t="s">
        <v>327</v>
      </c>
      <c r="Z38" s="1096">
        <v>11</v>
      </c>
      <c r="AA38" s="1096">
        <v>11</v>
      </c>
      <c r="AB38" s="1096">
        <v>6</v>
      </c>
      <c r="AC38" s="1096">
        <v>6</v>
      </c>
      <c r="AD38" s="1096">
        <v>13</v>
      </c>
      <c r="AE38" s="1096">
        <v>13</v>
      </c>
      <c r="AF38" s="1096">
        <v>24</v>
      </c>
      <c r="AG38" s="1096">
        <v>24</v>
      </c>
      <c r="AH38" s="1096">
        <v>3</v>
      </c>
      <c r="AI38" s="1106">
        <f>Outlook!N5</f>
        <v>158000</v>
      </c>
      <c r="AJ38" s="1106">
        <f>AJ37+(AI37*(COUNT(AI36)))</f>
        <v>1575.4775999999999</v>
      </c>
      <c r="AK38" s="1108">
        <f>(AI38-AJ37)/(COUNT(AI36))</f>
        <v>156687.10200000001</v>
      </c>
      <c r="AM38" s="1111"/>
    </row>
    <row r="39" spans="1:39" s="48" customFormat="1">
      <c r="A39" s="395"/>
      <c r="B39" s="396">
        <f t="shared" ref="B39:U39" si="9">COUNTIF(B6:B36,"&gt;0")</f>
        <v>7</v>
      </c>
      <c r="C39" s="396">
        <f t="shared" si="9"/>
        <v>0</v>
      </c>
      <c r="D39" s="396">
        <f t="shared" si="9"/>
        <v>7</v>
      </c>
      <c r="E39" s="396">
        <f t="shared" si="9"/>
        <v>7</v>
      </c>
      <c r="F39" s="396">
        <f t="shared" si="9"/>
        <v>1</v>
      </c>
      <c r="G39" s="396">
        <f t="shared" si="9"/>
        <v>1</v>
      </c>
      <c r="H39" s="396">
        <f t="shared" si="9"/>
        <v>7</v>
      </c>
      <c r="I39" s="396">
        <f t="shared" si="9"/>
        <v>7</v>
      </c>
      <c r="J39" s="396">
        <f t="shared" si="9"/>
        <v>2</v>
      </c>
      <c r="K39" s="396">
        <f t="shared" si="9"/>
        <v>7</v>
      </c>
      <c r="L39" s="396">
        <f t="shared" si="9"/>
        <v>7</v>
      </c>
      <c r="M39" s="396">
        <f t="shared" si="9"/>
        <v>0</v>
      </c>
      <c r="N39" s="396">
        <f t="shared" si="9"/>
        <v>7</v>
      </c>
      <c r="O39" s="396">
        <f t="shared" si="9"/>
        <v>7</v>
      </c>
      <c r="P39" s="396">
        <f t="shared" si="9"/>
        <v>1</v>
      </c>
      <c r="Q39" s="396">
        <f t="shared" si="9"/>
        <v>0</v>
      </c>
      <c r="R39" s="396">
        <f t="shared" si="9"/>
        <v>7</v>
      </c>
      <c r="S39" s="396">
        <f t="shared" si="9"/>
        <v>7</v>
      </c>
      <c r="T39" s="396">
        <f t="shared" si="9"/>
        <v>0</v>
      </c>
      <c r="U39" s="396">
        <f t="shared" si="9"/>
        <v>7</v>
      </c>
      <c r="V39" s="374"/>
      <c r="AD39" s="1111"/>
      <c r="AJ39" s="1110">
        <f>AJ38/AI38</f>
        <v>9.9713772151898729E-3</v>
      </c>
      <c r="AK39" s="1094"/>
      <c r="AM39" s="1111"/>
    </row>
    <row r="40" spans="1:39" s="48" customFormat="1">
      <c r="A40" s="397"/>
      <c r="B40" s="369">
        <v>1</v>
      </c>
      <c r="C40" s="369">
        <v>1</v>
      </c>
      <c r="D40" s="369"/>
      <c r="E40" s="369"/>
      <c r="F40" s="369"/>
      <c r="G40" s="581"/>
      <c r="H40" s="398"/>
      <c r="I40" s="398"/>
      <c r="J40" s="398"/>
      <c r="K40" s="398">
        <v>1</v>
      </c>
      <c r="L40" s="398">
        <v>1</v>
      </c>
      <c r="M40" s="398">
        <v>1</v>
      </c>
      <c r="N40" s="398"/>
      <c r="O40" s="398"/>
      <c r="P40" s="398">
        <v>1</v>
      </c>
      <c r="Q40" s="398">
        <v>1</v>
      </c>
      <c r="R40" s="398">
        <v>1</v>
      </c>
      <c r="S40" s="398">
        <v>1</v>
      </c>
      <c r="T40" s="398"/>
      <c r="U40" s="398">
        <v>1</v>
      </c>
      <c r="V40" s="374"/>
      <c r="AK40" s="1094"/>
      <c r="AM40" s="1111"/>
    </row>
    <row r="41" spans="1:39" s="48" customFormat="1">
      <c r="A41" s="399"/>
      <c r="B41" s="371">
        <v>10</v>
      </c>
      <c r="C41" s="370">
        <v>43</v>
      </c>
      <c r="D41" s="370"/>
      <c r="E41" s="370"/>
      <c r="F41" s="370"/>
      <c r="G41" s="582"/>
      <c r="H41" s="395"/>
      <c r="I41" s="395"/>
      <c r="J41" s="395"/>
      <c r="K41" s="395"/>
      <c r="L41" s="395"/>
      <c r="M41" s="395"/>
      <c r="N41" s="395"/>
      <c r="O41" s="395"/>
      <c r="P41" s="395"/>
      <c r="Q41" s="395"/>
      <c r="R41" s="395"/>
      <c r="S41" s="395"/>
      <c r="T41" s="395"/>
      <c r="U41" s="395"/>
      <c r="V41" s="374"/>
      <c r="X41" s="373"/>
      <c r="AK41" s="1094"/>
    </row>
    <row r="42" spans="1:39" s="48" customFormat="1">
      <c r="A42" s="399"/>
      <c r="B42" s="370"/>
      <c r="C42" s="370"/>
      <c r="D42" s="370"/>
      <c r="E42" s="370"/>
      <c r="F42" s="370"/>
      <c r="G42" s="400"/>
      <c r="H42" s="395"/>
      <c r="I42" s="395"/>
      <c r="J42" s="395"/>
      <c r="K42" s="395"/>
      <c r="L42" s="395"/>
      <c r="M42" s="395"/>
      <c r="N42" s="395"/>
      <c r="O42" s="395"/>
      <c r="P42" s="395"/>
      <c r="Q42" s="395"/>
      <c r="R42" s="395"/>
      <c r="S42" s="395"/>
      <c r="T42" s="395"/>
      <c r="U42" s="395"/>
      <c r="V42" s="374"/>
      <c r="X42" s="373"/>
      <c r="AK42" s="1094"/>
    </row>
    <row r="43" spans="1:39" s="48" customFormat="1">
      <c r="A43" s="399"/>
      <c r="B43" s="372" t="e">
        <f>AVERAGE(#REF!,#REF!)</f>
        <v>#REF!</v>
      </c>
      <c r="C43" s="372" t="e">
        <f>#REF!</f>
        <v>#REF!</v>
      </c>
      <c r="D43" s="372"/>
      <c r="E43" s="372"/>
      <c r="F43" s="372"/>
      <c r="G43" s="400"/>
      <c r="H43" s="395"/>
      <c r="I43" s="395"/>
      <c r="J43" s="395"/>
      <c r="K43" s="395"/>
      <c r="L43" s="395"/>
      <c r="M43" s="395"/>
      <c r="N43" s="395"/>
      <c r="O43" s="395"/>
      <c r="P43" s="395"/>
      <c r="Q43" s="395"/>
      <c r="R43" s="395"/>
      <c r="S43" s="395"/>
      <c r="T43" s="395"/>
      <c r="U43" s="395"/>
      <c r="V43" s="374"/>
      <c r="AK43" s="1104"/>
    </row>
    <row r="44" spans="1:39" s="48" customFormat="1">
      <c r="A44" s="399"/>
      <c r="B44" s="372" t="e">
        <f>AVERAGE(#REF!,#REF!)</f>
        <v>#REF!</v>
      </c>
      <c r="C44" s="372" t="e">
        <f>#REF!</f>
        <v>#REF!</v>
      </c>
      <c r="D44" s="372"/>
      <c r="E44" s="372"/>
      <c r="F44" s="372"/>
      <c r="G44" s="400"/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5"/>
      <c r="S44" s="395"/>
      <c r="T44" s="395"/>
      <c r="U44" s="395"/>
      <c r="V44" s="374"/>
      <c r="AK44" s="1094"/>
    </row>
    <row r="45" spans="1:39" s="48" customFormat="1">
      <c r="A45" s="399"/>
      <c r="B45" s="372">
        <f>AVERAGE(B37,L37)</f>
        <v>3.8882229683112248</v>
      </c>
      <c r="C45" s="372">
        <f>B38</f>
        <v>4</v>
      </c>
      <c r="D45" s="372"/>
      <c r="E45" s="372"/>
      <c r="F45" s="372"/>
      <c r="G45" s="400"/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74"/>
      <c r="AK45" s="1104"/>
    </row>
    <row r="46" spans="1:39" s="48" customFormat="1">
      <c r="A46" s="399"/>
      <c r="B46" s="372">
        <f>AVERAGE(C37,M37)</f>
        <v>0</v>
      </c>
      <c r="C46" s="372">
        <f>C38</f>
        <v>0</v>
      </c>
      <c r="D46" s="372"/>
      <c r="E46" s="372"/>
      <c r="F46" s="372"/>
      <c r="G46" s="400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74"/>
      <c r="AK46" s="1094"/>
    </row>
    <row r="47" spans="1:39" s="48" customFormat="1">
      <c r="A47" s="399"/>
      <c r="B47" s="372" t="e">
        <f>AVERAGE(#REF!,#REF!)</f>
        <v>#REF!</v>
      </c>
      <c r="C47" s="372" t="e">
        <f>#REF!</f>
        <v>#REF!</v>
      </c>
      <c r="D47" s="372"/>
      <c r="E47" s="372"/>
      <c r="F47" s="372"/>
      <c r="G47" s="400"/>
      <c r="H47" s="395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74"/>
      <c r="AK47" s="1094"/>
    </row>
    <row r="48" spans="1:39" s="48" customFormat="1">
      <c r="A48" s="399"/>
      <c r="B48" s="372" t="e">
        <f>AVERAGE(#REF!,#REF!)</f>
        <v>#REF!</v>
      </c>
      <c r="C48" s="372" t="e">
        <f>#REF!</f>
        <v>#REF!</v>
      </c>
      <c r="D48" s="372"/>
      <c r="E48" s="372"/>
      <c r="F48" s="372"/>
      <c r="G48" s="400"/>
      <c r="H48" s="395"/>
      <c r="I48" s="395"/>
      <c r="J48" s="395"/>
      <c r="K48" s="395"/>
      <c r="L48" s="395"/>
      <c r="M48" s="395"/>
      <c r="N48" s="395"/>
      <c r="O48" s="395"/>
      <c r="P48" s="395"/>
      <c r="Q48" s="395"/>
      <c r="R48" s="395"/>
      <c r="S48" s="395"/>
      <c r="T48" s="395"/>
      <c r="U48" s="395"/>
      <c r="V48" s="374"/>
      <c r="AK48" s="1094"/>
    </row>
    <row r="49" spans="1:37" s="48" customFormat="1">
      <c r="A49" s="399"/>
      <c r="B49" s="372">
        <f>AVERAGE(F37,P37)</f>
        <v>0.72062381086280758</v>
      </c>
      <c r="C49" s="372">
        <f>F38</f>
        <v>3</v>
      </c>
      <c r="D49" s="372"/>
      <c r="E49" s="372"/>
      <c r="F49" s="372" t="e">
        <f>IF(#REF!&lt;1,"",#REF!)</f>
        <v>#REF!</v>
      </c>
      <c r="G49" s="400"/>
      <c r="H49" s="395"/>
      <c r="I49" s="395"/>
      <c r="J49" s="395"/>
      <c r="K49" s="395"/>
      <c r="L49" s="395"/>
      <c r="M49" s="395"/>
      <c r="N49" s="395"/>
      <c r="O49" s="395"/>
      <c r="P49" s="395"/>
      <c r="Q49" s="395"/>
      <c r="R49" s="395"/>
      <c r="S49" s="395"/>
      <c r="T49" s="395"/>
      <c r="U49" s="395"/>
      <c r="V49" s="374"/>
      <c r="AK49" s="1094"/>
    </row>
    <row r="50" spans="1:37" s="48" customFormat="1">
      <c r="A50" s="399"/>
      <c r="B50" s="372">
        <f>AVERAGE(G37,Q37)</f>
        <v>5</v>
      </c>
      <c r="C50" s="372">
        <f>G38</f>
        <v>24</v>
      </c>
      <c r="D50" s="372"/>
      <c r="E50" s="372"/>
      <c r="F50" s="372" t="e">
        <f>IF(#REF!&lt;1,"",#REF!)</f>
        <v>#REF!</v>
      </c>
      <c r="G50" s="400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74"/>
      <c r="AK50" s="1094"/>
    </row>
    <row r="51" spans="1:37" s="48" customFormat="1">
      <c r="A51" s="399"/>
      <c r="B51" s="372">
        <f>AVERAGE(H37,R37)</f>
        <v>2.0498810769311255</v>
      </c>
      <c r="C51" s="372">
        <f>H38</f>
        <v>4</v>
      </c>
      <c r="D51" s="372"/>
      <c r="E51" s="372"/>
      <c r="F51" s="372" t="e">
        <f>IF(#REF!&lt;1,"",#REF!)</f>
        <v>#REF!</v>
      </c>
      <c r="G51" s="400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74"/>
      <c r="AK51" s="1094"/>
    </row>
    <row r="52" spans="1:37" s="48" customFormat="1">
      <c r="A52" s="399"/>
      <c r="B52" s="372">
        <f>AVERAGE(I37,S37)</f>
        <v>0.90750204339723184</v>
      </c>
      <c r="C52" s="372">
        <f>I38</f>
        <v>2</v>
      </c>
      <c r="D52" s="372"/>
      <c r="E52" s="372"/>
      <c r="F52" s="372" t="e">
        <f>IF(#REF!&lt;1,"",#REF!)</f>
        <v>#REF!</v>
      </c>
      <c r="G52" s="400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74"/>
      <c r="AK52" s="1094"/>
    </row>
    <row r="53" spans="1:37" s="48" customFormat="1">
      <c r="A53" s="399"/>
      <c r="B53" s="372">
        <f>AVERAGE(K37,U37)</f>
        <v>1.7433694774888537</v>
      </c>
      <c r="C53" s="372">
        <f>K38</f>
        <v>1</v>
      </c>
      <c r="D53" s="372"/>
      <c r="E53" s="372"/>
      <c r="F53" s="372" t="e">
        <f>IF(#REF!&lt;1,"",#REF!)</f>
        <v>#REF!</v>
      </c>
      <c r="G53" s="400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74"/>
      <c r="AK53" s="1094"/>
    </row>
    <row r="54" spans="1:37" s="48" customFormat="1">
      <c r="A54" s="399"/>
      <c r="B54" s="370"/>
      <c r="C54" s="370"/>
      <c r="D54" s="370"/>
      <c r="E54" s="370"/>
      <c r="F54" s="370"/>
      <c r="G54" s="400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74"/>
      <c r="AK54" s="1094"/>
    </row>
    <row r="55" spans="1:37" s="48" customFormat="1">
      <c r="A55" s="399"/>
      <c r="B55" s="370"/>
      <c r="C55" s="370"/>
      <c r="D55" s="370"/>
      <c r="E55" s="370"/>
      <c r="F55" s="370"/>
      <c r="G55" s="400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74"/>
      <c r="AK55" s="1094"/>
    </row>
    <row r="56" spans="1:37" s="48" customFormat="1">
      <c r="A56" s="375"/>
      <c r="B56" s="370"/>
      <c r="C56" s="370"/>
      <c r="D56" s="370"/>
      <c r="E56" s="370"/>
      <c r="F56" s="370"/>
      <c r="G56" s="400"/>
      <c r="H56" s="395"/>
      <c r="I56" s="395"/>
      <c r="J56" s="395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AK56" s="1094"/>
    </row>
    <row r="57" spans="1:37">
      <c r="A57" s="374"/>
      <c r="B57" s="370"/>
      <c r="C57" s="370"/>
      <c r="D57" s="370"/>
      <c r="E57" s="370"/>
      <c r="F57" s="370"/>
      <c r="G57" s="400"/>
      <c r="H57" s="395"/>
      <c r="I57" s="395"/>
      <c r="J57" s="395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</row>
    <row r="58" spans="1:37">
      <c r="A58" s="374"/>
      <c r="B58" s="395"/>
      <c r="C58" s="395"/>
      <c r="D58" s="395"/>
      <c r="E58" s="395"/>
      <c r="F58" s="395"/>
      <c r="G58" s="395"/>
      <c r="H58" s="395"/>
      <c r="I58" s="395"/>
      <c r="J58" s="395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</row>
  </sheetData>
  <mergeCells count="12">
    <mergeCell ref="AJ4:AJ5"/>
    <mergeCell ref="AF4:AG4"/>
    <mergeCell ref="AH4:AH5"/>
    <mergeCell ref="AI4:AI5"/>
    <mergeCell ref="A3:A5"/>
    <mergeCell ref="B3:U3"/>
    <mergeCell ref="Z4:AA4"/>
    <mergeCell ref="AB4:AC4"/>
    <mergeCell ref="AD4:AE4"/>
    <mergeCell ref="Y4:Y5"/>
    <mergeCell ref="B4:K4"/>
    <mergeCell ref="L4:U4"/>
  </mergeCells>
  <phoneticPr fontId="29" type="noConversion"/>
  <pageMargins left="0.75" right="0.75" top="1" bottom="1" header="0.5" footer="0.5"/>
  <pageSetup paperSize="9" scale="68" orientation="portrait" horizontalDpi="300" verticalDpi="300" r:id="rId1"/>
  <headerFooter alignWithMargins="0"/>
  <ignoredErrors>
    <ignoredError sqref="B44:C54 B43:C43 F49:F54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00FF00"/>
  </sheetPr>
  <dimension ref="B2:AK71"/>
  <sheetViews>
    <sheetView showGridLines="0" zoomScale="85" zoomScaleNormal="85" workbookViewId="0">
      <pane xSplit="2" ySplit="3" topLeftCell="C4" activePane="bottomRight" state="frozen"/>
      <selection pane="bottomRight" activeCell="C13" sqref="C13"/>
      <selection pane="bottomLeft" activeCell="A4" sqref="A4"/>
      <selection pane="topRight" activeCell="C1" sqref="C1"/>
    </sheetView>
  </sheetViews>
  <sheetFormatPr defaultRowHeight="14.45"/>
  <cols>
    <col min="2" max="2" width="22.5703125" customWidth="1"/>
    <col min="3" max="5" width="10.7109375" bestFit="1" customWidth="1"/>
    <col min="6" max="6" width="10.7109375" customWidth="1"/>
    <col min="7" max="11" width="10.7109375" bestFit="1" customWidth="1"/>
    <col min="12" max="13" width="10" bestFit="1" customWidth="1"/>
    <col min="14" max="15" width="10.7109375" bestFit="1" customWidth="1"/>
    <col min="16" max="16" width="10" bestFit="1" customWidth="1"/>
    <col min="17" max="17" width="11.7109375" bestFit="1" customWidth="1"/>
    <col min="18" max="18" width="10.7109375" bestFit="1" customWidth="1"/>
    <col min="19" max="19" width="10.140625" bestFit="1" customWidth="1"/>
    <col min="20" max="20" width="10.7109375" bestFit="1" customWidth="1"/>
    <col min="21" max="22" width="10.140625" bestFit="1" customWidth="1"/>
    <col min="23" max="29" width="10.7109375" bestFit="1" customWidth="1"/>
    <col min="30" max="30" width="11.7109375" bestFit="1" customWidth="1"/>
    <col min="31" max="33" width="10.140625" bestFit="1" customWidth="1"/>
    <col min="34" max="34" width="11.7109375" bestFit="1" customWidth="1"/>
    <col min="35" max="35" width="18" bestFit="1" customWidth="1"/>
    <col min="36" max="36" width="11.7109375" bestFit="1" customWidth="1"/>
  </cols>
  <sheetData>
    <row r="2" spans="2:37" ht="15.6">
      <c r="B2" s="317" t="s">
        <v>328</v>
      </c>
      <c r="C2" s="451" t="str">
        <f>LEFT(Summary!D3,2)</f>
        <v>07</v>
      </c>
    </row>
    <row r="3" spans="2:37">
      <c r="C3" s="577">
        <v>1</v>
      </c>
      <c r="D3" s="577">
        <v>2</v>
      </c>
      <c r="E3" s="577">
        <v>3</v>
      </c>
      <c r="F3" s="577">
        <v>4</v>
      </c>
      <c r="G3" s="577">
        <v>5</v>
      </c>
      <c r="H3" s="577">
        <v>6</v>
      </c>
      <c r="I3" s="577">
        <v>7</v>
      </c>
      <c r="J3" s="577">
        <v>8</v>
      </c>
      <c r="K3" s="577">
        <v>9</v>
      </c>
      <c r="L3" s="577">
        <v>10</v>
      </c>
      <c r="M3" s="577">
        <v>11</v>
      </c>
      <c r="N3" s="577">
        <v>12</v>
      </c>
      <c r="O3" s="577">
        <v>13</v>
      </c>
      <c r="P3" s="577">
        <v>14</v>
      </c>
      <c r="Q3" s="577">
        <v>15</v>
      </c>
      <c r="R3" s="577">
        <v>16</v>
      </c>
      <c r="S3" s="577">
        <v>17</v>
      </c>
      <c r="T3" s="577">
        <v>18</v>
      </c>
      <c r="U3" s="577">
        <v>19</v>
      </c>
      <c r="V3" s="577">
        <v>20</v>
      </c>
      <c r="W3" s="577">
        <v>21</v>
      </c>
      <c r="X3" s="577">
        <v>22</v>
      </c>
      <c r="Y3" s="577">
        <v>23</v>
      </c>
      <c r="Z3" s="577">
        <v>24</v>
      </c>
      <c r="AA3" s="577">
        <v>25</v>
      </c>
      <c r="AB3" s="577">
        <v>26</v>
      </c>
      <c r="AC3" s="577">
        <v>27</v>
      </c>
      <c r="AD3" s="577">
        <v>28</v>
      </c>
      <c r="AE3" s="577">
        <v>29</v>
      </c>
      <c r="AF3" s="577">
        <v>30</v>
      </c>
      <c r="AG3" s="577">
        <v>31</v>
      </c>
      <c r="AH3" s="315" t="s">
        <v>126</v>
      </c>
      <c r="AI3" s="606" t="s">
        <v>189</v>
      </c>
    </row>
    <row r="4" spans="2:37" hidden="1">
      <c r="C4" s="579" t="s">
        <v>157</v>
      </c>
      <c r="D4" s="579" t="s">
        <v>158</v>
      </c>
      <c r="E4" s="579" t="s">
        <v>159</v>
      </c>
      <c r="F4" s="579" t="s">
        <v>160</v>
      </c>
      <c r="G4" s="579" t="s">
        <v>161</v>
      </c>
      <c r="H4" s="579" t="s">
        <v>162</v>
      </c>
      <c r="I4" s="579" t="s">
        <v>163</v>
      </c>
      <c r="J4" s="579" t="s">
        <v>164</v>
      </c>
      <c r="K4" s="579" t="s">
        <v>165</v>
      </c>
      <c r="L4" s="579" t="s">
        <v>166</v>
      </c>
      <c r="M4" s="579" t="s">
        <v>167</v>
      </c>
      <c r="N4" s="579" t="s">
        <v>168</v>
      </c>
      <c r="O4" s="579" t="s">
        <v>169</v>
      </c>
      <c r="P4" s="579" t="s">
        <v>170</v>
      </c>
      <c r="Q4" s="579" t="s">
        <v>171</v>
      </c>
      <c r="R4" s="579" t="s">
        <v>172</v>
      </c>
      <c r="S4" s="579" t="s">
        <v>173</v>
      </c>
      <c r="T4" s="579" t="s">
        <v>174</v>
      </c>
      <c r="U4" s="579" t="s">
        <v>175</v>
      </c>
      <c r="V4" s="579" t="s">
        <v>176</v>
      </c>
      <c r="W4" s="579" t="s">
        <v>177</v>
      </c>
      <c r="X4" s="579" t="s">
        <v>178</v>
      </c>
      <c r="Y4" s="579" t="s">
        <v>179</v>
      </c>
      <c r="Z4" s="579" t="s">
        <v>180</v>
      </c>
      <c r="AA4" s="579" t="s">
        <v>181</v>
      </c>
      <c r="AB4" s="579" t="s">
        <v>182</v>
      </c>
      <c r="AC4" s="579" t="s">
        <v>183</v>
      </c>
      <c r="AD4" s="579" t="s">
        <v>184</v>
      </c>
      <c r="AE4" s="579" t="s">
        <v>185</v>
      </c>
      <c r="AF4" s="579" t="s">
        <v>186</v>
      </c>
      <c r="AG4" s="579" t="s">
        <v>187</v>
      </c>
      <c r="AH4" s="315"/>
      <c r="AI4" s="578"/>
    </row>
    <row r="5" spans="2:37">
      <c r="B5" s="392" t="s">
        <v>329</v>
      </c>
      <c r="C5" s="540">
        <f>+IF(Actual!F139=0,Actual!$AK$139/COUNTIF(Actual!$F$139:$AJ$139,"&gt;0"),Actual!F139)</f>
        <v>34987.5</v>
      </c>
      <c r="D5" s="540">
        <f>+IF(Actual!G139=0,Actual!$AK$139/COUNTIF(Actual!$F$139:$AJ$139,"&gt;0"),Actual!G139)</f>
        <v>36594</v>
      </c>
      <c r="E5" s="540">
        <f>+IF(Actual!H139=0,Actual!$AK$139/COUNTIF(Actual!$F$139:$AJ$139,"&gt;0"),Actual!H139)</f>
        <v>32709.75</v>
      </c>
      <c r="F5" s="540">
        <f>+IF(Actual!I139=0,Actual!$AK$139/COUNTIF(Actual!$F$139:$AJ$139,"&gt;0"),Actual!I139)</f>
        <v>32669.25</v>
      </c>
      <c r="G5" s="540">
        <f>+IF(Actual!J139=0,Actual!$AK$139/COUNTIF(Actual!$F$139:$AJ$139,"&gt;0"),Actual!J139)</f>
        <v>31549.5</v>
      </c>
      <c r="H5" s="540">
        <f>+IF(Actual!K139=0,Actual!$AK$139/COUNTIF(Actual!$F$139:$AJ$139,"&gt;0"),Actual!K139)</f>
        <v>33361.5</v>
      </c>
      <c r="I5" s="540">
        <f>+IF(Actual!L139=0,Actual!$AK$139/COUNTIF(Actual!$F$139:$AJ$139,"&gt;0"),Actual!L139)</f>
        <v>36570.75</v>
      </c>
      <c r="J5" s="540">
        <f>+IF(Actual!M139=0,Actual!$AK$139/COUNTIF(Actual!$F$139:$AJ$139,"&gt;0"),Actual!M139)</f>
        <v>34063.178571428572</v>
      </c>
      <c r="K5" s="540">
        <f>+IF(Actual!N139=0,Actual!$AK$139/COUNTIF(Actual!$F$139:$AJ$139,"&gt;0"),Actual!N139)</f>
        <v>34063.178571428572</v>
      </c>
      <c r="L5" s="540">
        <f>+IF(Actual!O139=0,Actual!$AK$139/COUNTIF(Actual!$F$139:$AJ$139,"&gt;0"),Actual!O139)</f>
        <v>34063.178571428572</v>
      </c>
      <c r="M5" s="540">
        <f>+IF(Actual!P139=0,Actual!$AK$139/COUNTIF(Actual!$F$139:$AJ$139,"&gt;0"),Actual!P139)</f>
        <v>34063.178571428572</v>
      </c>
      <c r="N5" s="540">
        <f>+IF(Actual!Q139=0,Actual!$AK$139/COUNTIF(Actual!$F$139:$AJ$139,"&gt;0"),Actual!Q139)</f>
        <v>34063.178571428572</v>
      </c>
      <c r="O5" s="540">
        <f>+IF(Actual!R139=0,Actual!$AK$139/COUNTIF(Actual!$F$139:$AJ$139,"&gt;0"),Actual!R139)</f>
        <v>34063.178571428572</v>
      </c>
      <c r="P5" s="540">
        <f>+IF(Actual!S139=0,Actual!$AK$139/COUNTIF(Actual!$F$139:$AJ$139,"&gt;0"),Actual!S139)</f>
        <v>34063.178571428572</v>
      </c>
      <c r="Q5" s="540">
        <f>+IF(Actual!T139=0,Actual!$AK$139/COUNTIF(Actual!$F$139:$AJ$139,"&gt;0"),Actual!T139)</f>
        <v>34063.178571428572</v>
      </c>
      <c r="R5" s="540">
        <f>+IF(Actual!U139=0,Actual!$AK$139/COUNTIF(Actual!$F$139:$AJ$139,"&gt;0"),Actual!U139)</f>
        <v>34063.178571428572</v>
      </c>
      <c r="S5" s="540">
        <f>+IF(Actual!V139=0,Actual!$AK$139/COUNTIF(Actual!$F$139:$AJ$139,"&gt;0"),Actual!V139)</f>
        <v>34063.178571428572</v>
      </c>
      <c r="T5" s="540">
        <f>+IF(Actual!W139=0,Actual!$AK$139/COUNTIF(Actual!$F$139:$AJ$139,"&gt;0"),Actual!W139)</f>
        <v>34063.178571428572</v>
      </c>
      <c r="U5" s="540">
        <f>+IF(Actual!X139=0,Actual!$AK$139/COUNTIF(Actual!$F$139:$AJ$139,"&gt;0"),Actual!X139)</f>
        <v>34063.178571428572</v>
      </c>
      <c r="V5" s="540">
        <f>+IF(Actual!Y139=0,Actual!$AK$139/COUNTIF(Actual!$F$139:$AJ$139,"&gt;0"),Actual!Y139)</f>
        <v>34063.178571428572</v>
      </c>
      <c r="W5" s="540">
        <f>+IF(Actual!Z139=0,Actual!$AK$139/COUNTIF(Actual!$F$139:$AJ$139,"&gt;0"),Actual!Z139)</f>
        <v>34063.178571428572</v>
      </c>
      <c r="X5" s="540">
        <f>+IF(Actual!AA139=0,Actual!$AK$139/COUNTIF(Actual!$F$139:$AJ$139,"&gt;0"),Actual!AA139)</f>
        <v>34063.178571428572</v>
      </c>
      <c r="Y5" s="540">
        <f>+IF(Actual!AB139=0,Actual!$AK$139/COUNTIF(Actual!$F$139:$AJ$139,"&gt;0"),Actual!AB139)</f>
        <v>34063.178571428572</v>
      </c>
      <c r="Z5" s="540">
        <f>+IF(Actual!AC139=0,Actual!$AK$139/COUNTIF(Actual!$F$139:$AJ$139,"&gt;0"),Actual!AC139)</f>
        <v>34063.178571428572</v>
      </c>
      <c r="AA5" s="540">
        <f>+IF(Actual!AD139=0,Actual!$AK$139/COUNTIF(Actual!$F$139:$AJ$139,"&gt;0"),Actual!AD139)</f>
        <v>34063.178571428572</v>
      </c>
      <c r="AB5" s="540">
        <f>+IF(Actual!AE139=0,Actual!$AK$139/COUNTIF(Actual!$F$139:$AJ$139,"&gt;0"),Actual!AE139)</f>
        <v>34063.178571428572</v>
      </c>
      <c r="AC5" s="540">
        <f>+IF(Actual!AF139=0,Actual!$AK$139/COUNTIF(Actual!$F$139:$AJ$139,"&gt;0"),Actual!AF139)</f>
        <v>34063.178571428572</v>
      </c>
      <c r="AD5" s="540">
        <f>+IF(Actual!AG139=0,Actual!$AK$139/COUNTIF(Actual!$F$139:$AJ$139,"&gt;0"),Actual!AG139)</f>
        <v>34063.178571428572</v>
      </c>
      <c r="AE5" s="540">
        <f>IF(Actual!$E$3&lt;30,0,IF(Actual!AH139=0,Actual!$AK$139/COUNTIF(Actual!$F$139:$AJ$139,"&gt;0"),Actual!AH139))</f>
        <v>34063.178571428572</v>
      </c>
      <c r="AF5" s="540">
        <f>IF(Actual!$E$3&lt;30,0,IF(Actual!AI139=0,Actual!$AK$139/COUNTIF(Actual!$F$139:$AJ$139,"&gt;0"),Actual!AI139))</f>
        <v>34063.178571428572</v>
      </c>
      <c r="AG5" s="540">
        <f>IF(Actual!$E$3&lt;30,0,IF(Actual!AJ139=0,Actual!$AK$139/COUNTIF(Actual!$F$139:$AJ$139,"&gt;0"),Actual!AJ139))</f>
        <v>34063.178571428572</v>
      </c>
      <c r="AH5" s="1244">
        <f>SUM(C5:AG5)</f>
        <v>1055958.535714285</v>
      </c>
      <c r="AJ5" s="362">
        <f>SUM(K5:Q5)</f>
        <v>238442.25000000003</v>
      </c>
      <c r="AK5" s="449">
        <f>AJ5/AJ6</f>
        <v>1.2538593339176163</v>
      </c>
    </row>
    <row r="6" spans="2:37">
      <c r="B6" s="392" t="s">
        <v>330</v>
      </c>
      <c r="C6" s="540">
        <f>Outlook!$N$4/Actual!$E$3</f>
        <v>27166.666666666668</v>
      </c>
      <c r="D6" s="540">
        <f>+C6</f>
        <v>27166.666666666668</v>
      </c>
      <c r="E6" s="540">
        <f t="shared" ref="E6:AD6" si="0">+D6</f>
        <v>27166.666666666668</v>
      </c>
      <c r="F6" s="540">
        <f t="shared" si="0"/>
        <v>27166.666666666668</v>
      </c>
      <c r="G6" s="540">
        <f t="shared" si="0"/>
        <v>27166.666666666668</v>
      </c>
      <c r="H6" s="540">
        <f t="shared" si="0"/>
        <v>27166.666666666668</v>
      </c>
      <c r="I6" s="540">
        <f t="shared" si="0"/>
        <v>27166.666666666668</v>
      </c>
      <c r="J6" s="540">
        <f t="shared" si="0"/>
        <v>27166.666666666668</v>
      </c>
      <c r="K6" s="540">
        <f t="shared" si="0"/>
        <v>27166.666666666668</v>
      </c>
      <c r="L6" s="540">
        <f t="shared" si="0"/>
        <v>27166.666666666668</v>
      </c>
      <c r="M6" s="540">
        <f t="shared" si="0"/>
        <v>27166.666666666668</v>
      </c>
      <c r="N6" s="540">
        <f t="shared" si="0"/>
        <v>27166.666666666668</v>
      </c>
      <c r="O6" s="540">
        <f t="shared" si="0"/>
        <v>27166.666666666668</v>
      </c>
      <c r="P6" s="540">
        <f t="shared" si="0"/>
        <v>27166.666666666668</v>
      </c>
      <c r="Q6" s="540">
        <f t="shared" si="0"/>
        <v>27166.666666666668</v>
      </c>
      <c r="R6" s="540">
        <f t="shared" si="0"/>
        <v>27166.666666666668</v>
      </c>
      <c r="S6" s="540">
        <f t="shared" si="0"/>
        <v>27166.666666666668</v>
      </c>
      <c r="T6" s="540">
        <f t="shared" si="0"/>
        <v>27166.666666666668</v>
      </c>
      <c r="U6" s="540">
        <f t="shared" si="0"/>
        <v>27166.666666666668</v>
      </c>
      <c r="V6" s="540">
        <f t="shared" si="0"/>
        <v>27166.666666666668</v>
      </c>
      <c r="W6" s="540">
        <f t="shared" si="0"/>
        <v>27166.666666666668</v>
      </c>
      <c r="X6" s="540">
        <f t="shared" si="0"/>
        <v>27166.666666666668</v>
      </c>
      <c r="Y6" s="540">
        <f t="shared" si="0"/>
        <v>27166.666666666668</v>
      </c>
      <c r="Z6" s="540">
        <f t="shared" si="0"/>
        <v>27166.666666666668</v>
      </c>
      <c r="AA6" s="540">
        <f t="shared" si="0"/>
        <v>27166.666666666668</v>
      </c>
      <c r="AB6" s="540">
        <f t="shared" si="0"/>
        <v>27166.666666666668</v>
      </c>
      <c r="AC6" s="540">
        <f t="shared" si="0"/>
        <v>27166.666666666668</v>
      </c>
      <c r="AD6" s="540">
        <f t="shared" si="0"/>
        <v>27166.666666666668</v>
      </c>
      <c r="AE6" s="540">
        <f>IF(Actual!$E$3&lt;30,0,AD6)</f>
        <v>27166.666666666668</v>
      </c>
      <c r="AF6" s="540">
        <f>IF(Actual!$E$3&lt;30,0,AE6)</f>
        <v>27166.666666666668</v>
      </c>
      <c r="AG6" s="540">
        <f>IF(Actual!$E$3=30,0,AF6)</f>
        <v>0</v>
      </c>
      <c r="AH6" s="717">
        <f>SUM(C6:AG6)</f>
        <v>814999.99999999977</v>
      </c>
      <c r="AI6" s="451"/>
      <c r="AJ6" s="362">
        <f>SUM(K6:Q6)</f>
        <v>190166.66666666666</v>
      </c>
    </row>
    <row r="7" spans="2:37">
      <c r="B7" s="392" t="s">
        <v>331</v>
      </c>
      <c r="C7" s="944">
        <f>+IFERROR(C5/C6,"-")</f>
        <v>1.2878834355828219</v>
      </c>
      <c r="D7" s="944">
        <f t="shared" ref="D7:AF7" si="1">+IFERROR(D5/D6,"-")</f>
        <v>1.3470184049079754</v>
      </c>
      <c r="E7" s="944">
        <f t="shared" si="1"/>
        <v>1.2040398773006133</v>
      </c>
      <c r="F7" s="944">
        <f t="shared" si="1"/>
        <v>1.2025490797546012</v>
      </c>
      <c r="G7" s="944">
        <f t="shared" si="1"/>
        <v>1.1613312883435583</v>
      </c>
      <c r="H7" s="944">
        <f t="shared" si="1"/>
        <v>1.2280306748466256</v>
      </c>
      <c r="I7" s="944">
        <f t="shared" si="1"/>
        <v>1.3461625766871166</v>
      </c>
      <c r="J7" s="944">
        <f t="shared" si="1"/>
        <v>1.2538593339176161</v>
      </c>
      <c r="K7" s="944">
        <f t="shared" si="1"/>
        <v>1.2538593339176161</v>
      </c>
      <c r="L7" s="944">
        <f t="shared" si="1"/>
        <v>1.2538593339176161</v>
      </c>
      <c r="M7" s="944">
        <f t="shared" si="1"/>
        <v>1.2538593339176161</v>
      </c>
      <c r="N7" s="944">
        <f t="shared" si="1"/>
        <v>1.2538593339176161</v>
      </c>
      <c r="O7" s="944">
        <f t="shared" si="1"/>
        <v>1.2538593339176161</v>
      </c>
      <c r="P7" s="944">
        <f t="shared" si="1"/>
        <v>1.2538593339176161</v>
      </c>
      <c r="Q7" s="944">
        <f t="shared" si="1"/>
        <v>1.2538593339176161</v>
      </c>
      <c r="R7" s="944">
        <f t="shared" si="1"/>
        <v>1.2538593339176161</v>
      </c>
      <c r="S7" s="944">
        <f t="shared" si="1"/>
        <v>1.2538593339176161</v>
      </c>
      <c r="T7" s="944">
        <f t="shared" si="1"/>
        <v>1.2538593339176161</v>
      </c>
      <c r="U7" s="944">
        <f t="shared" si="1"/>
        <v>1.2538593339176161</v>
      </c>
      <c r="V7" s="944">
        <f t="shared" si="1"/>
        <v>1.2538593339176161</v>
      </c>
      <c r="W7" s="944">
        <f t="shared" si="1"/>
        <v>1.2538593339176161</v>
      </c>
      <c r="X7" s="944">
        <f t="shared" si="1"/>
        <v>1.2538593339176161</v>
      </c>
      <c r="Y7" s="944">
        <f t="shared" si="1"/>
        <v>1.2538593339176161</v>
      </c>
      <c r="Z7" s="944">
        <f t="shared" si="1"/>
        <v>1.2538593339176161</v>
      </c>
      <c r="AA7" s="944">
        <f t="shared" si="1"/>
        <v>1.2538593339176161</v>
      </c>
      <c r="AB7" s="944">
        <f t="shared" si="1"/>
        <v>1.2538593339176161</v>
      </c>
      <c r="AC7" s="944">
        <f t="shared" si="1"/>
        <v>1.2538593339176161</v>
      </c>
      <c r="AD7" s="944">
        <f t="shared" si="1"/>
        <v>1.2538593339176161</v>
      </c>
      <c r="AE7" s="944">
        <f t="shared" si="1"/>
        <v>1.2538593339176161</v>
      </c>
      <c r="AF7" s="944">
        <f t="shared" si="1"/>
        <v>1.2538593339176161</v>
      </c>
      <c r="AG7" s="944" t="str">
        <f>+IFERROR(AG5/AG6,"-")</f>
        <v>-</v>
      </c>
      <c r="AH7" s="717"/>
      <c r="AI7" s="451"/>
      <c r="AJ7" s="362"/>
    </row>
    <row r="8" spans="2:37">
      <c r="B8" s="392" t="s">
        <v>110</v>
      </c>
      <c r="C8" s="540">
        <f>+IF(Actual!F142=0,Actual!$AK$142/COUNTIF(Actual!$F$142:$AJ$142,"&gt;0"),Actual!F142)</f>
        <v>1312.8979999999999</v>
      </c>
      <c r="D8" s="540">
        <f>+IF(Actual!G142=0,Actual!$AK$142/COUNTIF(Actual!$F$142:$AJ$142,"&gt;0"),Actual!G142)</f>
        <v>1312.8979999999999</v>
      </c>
      <c r="E8" s="540">
        <f>+IF(Actual!H142=0,Actual!$AK$142/COUNTIF(Actual!$F$142:$AJ$142,"&gt;0"),Actual!H142)</f>
        <v>1312.8979999999999</v>
      </c>
      <c r="F8" s="540">
        <f>+IF(Actual!I142=0,Actual!$AK$142/COUNTIF(Actual!$F$142:$AJ$142,"&gt;0"),Actual!I142)</f>
        <v>1312.8979999999999</v>
      </c>
      <c r="G8" s="540">
        <f>+IF(Actual!J142=0,Actual!$AK$142/COUNTIF(Actual!$F$142:$AJ$142,"&gt;0"),Actual!J142)</f>
        <v>1312.8979999999999</v>
      </c>
      <c r="H8" s="540">
        <f>+IF(Actual!K142=0,Actual!$AK$142/COUNTIF(Actual!$F$142:$AJ$142,"&gt;0"),Actual!K142)</f>
        <v>1312.8979999999999</v>
      </c>
      <c r="I8" s="540">
        <f>+IF(Actual!L142=0,Actual!$AK$142/COUNTIF(Actual!$F$142:$AJ$142,"&gt;0"),Actual!L142)</f>
        <v>1312.8979999999999</v>
      </c>
      <c r="J8" s="540">
        <f>+IF(Actual!M142=0,Actual!$AK$142/COUNTIF(Actual!$F$142:$AJ$142,"&gt;0"),Actual!M142)</f>
        <v>1312.8979999999999</v>
      </c>
      <c r="K8" s="540">
        <f>+IF(Actual!N142=0,Actual!$AK$142/COUNTIF(Actual!$F$142:$AJ$142,"&gt;0"),Actual!N142)</f>
        <v>1312.8979999999999</v>
      </c>
      <c r="L8" s="540">
        <f>+IF(Actual!O142=0,Actual!$AK$142/COUNTIF(Actual!$F$142:$AJ$142,"&gt;0"),Actual!O142)</f>
        <v>1312.8979999999999</v>
      </c>
      <c r="M8" s="540">
        <f>+IF(Actual!P142=0,Actual!$AK$142/COUNTIF(Actual!$F$142:$AJ$142,"&gt;0"),Actual!P142)</f>
        <v>1312.8979999999999</v>
      </c>
      <c r="N8" s="540">
        <f>+IF(Actual!Q142=0,Actual!$AK$142/COUNTIF(Actual!$F$142:$AJ$142,"&gt;0"),Actual!Q142)</f>
        <v>1312.8979999999999</v>
      </c>
      <c r="O8" s="540">
        <f>+IF(Actual!R142=0,Actual!$AK$142/COUNTIF(Actual!$F$142:$AJ$142,"&gt;0"),Actual!R142)</f>
        <v>1312.8979999999999</v>
      </c>
      <c r="P8" s="540">
        <f>+IF(Actual!S142=0,Actual!$AK$142/COUNTIF(Actual!$F$142:$AJ$142,"&gt;0"),Actual!S142)</f>
        <v>1312.8979999999999</v>
      </c>
      <c r="Q8" s="540">
        <f>+IF(Actual!T142=0,Actual!$AK$142/COUNTIF(Actual!$F$142:$AJ$142,"&gt;0"),Actual!T142)</f>
        <v>1312.8979999999999</v>
      </c>
      <c r="R8" s="540">
        <f>+IF(Actual!U142=0,Actual!$AK$142/COUNTIF(Actual!$F$142:$AJ$142,"&gt;0"),Actual!U142)</f>
        <v>1312.8979999999999</v>
      </c>
      <c r="S8" s="540">
        <f>+IF(Actual!V142=0,Actual!$AK$142/COUNTIF(Actual!$F$142:$AJ$142,"&gt;0"),Actual!V142)</f>
        <v>1312.8979999999999</v>
      </c>
      <c r="T8" s="540">
        <f>+IF(Actual!W142=0,Actual!$AK$142/COUNTIF(Actual!$F$142:$AJ$142,"&gt;0"),Actual!W142)</f>
        <v>1312.8979999999999</v>
      </c>
      <c r="U8" s="540">
        <f>+IF(Actual!X142=0,Actual!$AK$142/COUNTIF(Actual!$F$142:$AJ$142,"&gt;0"),Actual!X142)</f>
        <v>1312.8979999999999</v>
      </c>
      <c r="V8" s="540">
        <f>+IF(Actual!Y142=0,Actual!$AK$142/COUNTIF(Actual!$F$142:$AJ$142,"&gt;0"),Actual!Y142)</f>
        <v>1312.8979999999999</v>
      </c>
      <c r="W8" s="540">
        <f>+IF(Actual!Z142=0,Actual!$AK$142/COUNTIF(Actual!$F$142:$AJ$142,"&gt;0"),Actual!Z142)</f>
        <v>1312.8979999999999</v>
      </c>
      <c r="X8" s="540">
        <f>+IF(Actual!AA142=0,Actual!$AK$142/COUNTIF(Actual!$F$142:$AJ$142,"&gt;0"),Actual!AA142)</f>
        <v>1312.8979999999999</v>
      </c>
      <c r="Y8" s="540">
        <f>+IF(Actual!AB142=0,Actual!$AK$142/COUNTIF(Actual!$F$142:$AJ$142,"&gt;0"),Actual!AB142)</f>
        <v>1312.8979999999999</v>
      </c>
      <c r="Z8" s="540">
        <f>+IF(Actual!AC142=0,Actual!$AK$142/COUNTIF(Actual!$F$142:$AJ$142,"&gt;0"),Actual!AC142)</f>
        <v>1312.8979999999999</v>
      </c>
      <c r="AA8" s="540">
        <f>+IF(Actual!AD142=0,Actual!$AK$142/COUNTIF(Actual!$F$142:$AJ$142,"&gt;0"),Actual!AD142)</f>
        <v>1312.8979999999999</v>
      </c>
      <c r="AB8" s="540">
        <f>+IF(Actual!AE142=0,Actual!$AK$142/COUNTIF(Actual!$F$142:$AJ$142,"&gt;0"),Actual!AE142)</f>
        <v>1312.8979999999999</v>
      </c>
      <c r="AC8" s="540">
        <f>+IF(Actual!AF142=0,Actual!$AK$142/COUNTIF(Actual!$F$142:$AJ$142,"&gt;0"),Actual!AF142)</f>
        <v>1312.8979999999999</v>
      </c>
      <c r="AD8" s="540">
        <f>+IF(Actual!AG142=0,Actual!$AK$142/COUNTIF(Actual!$F$142:$AJ$142,"&gt;0"),Actual!AG142)</f>
        <v>1312.8979999999999</v>
      </c>
      <c r="AE8" s="540">
        <f>+IF(Actual!AH142=0,Actual!$AK$142/COUNTIF(Actual!$F$142:$AJ$142,"&gt;0"),Actual!AH142)</f>
        <v>1312.8979999999999</v>
      </c>
      <c r="AF8" s="540">
        <f>+IF(Actual!AI142=0,Actual!$AK$142/COUNTIF(Actual!$F$142:$AJ$142,"&gt;0"),Actual!AI142)</f>
        <v>1312.8979999999999</v>
      </c>
      <c r="AG8" s="540">
        <f>IF(Actual!$E$3=30,0,IF(Actual!AJ142=0,Actual!$AK$142/COUNTIF(Actual!$F$142:$AJ$142,"&gt;0"),Actual!AJ142))</f>
        <v>0</v>
      </c>
      <c r="AH8" s="717">
        <f>SUM(C8:AG8)</f>
        <v>39386.94000000001</v>
      </c>
      <c r="AJ8" s="362">
        <f>SUM(K8:Q8)</f>
        <v>9190.2860000000001</v>
      </c>
      <c r="AK8" s="449">
        <f>AJ8/AJ9</f>
        <v>0.24928443037974679</v>
      </c>
    </row>
    <row r="9" spans="2:37">
      <c r="B9" s="392" t="s">
        <v>332</v>
      </c>
      <c r="C9" s="540">
        <f>+Outlook!$N$5/Actual!$E$3</f>
        <v>5266.666666666667</v>
      </c>
      <c r="D9" s="540">
        <f>+C9</f>
        <v>5266.666666666667</v>
      </c>
      <c r="E9" s="540">
        <f t="shared" ref="E9:AD9" si="2">+D9</f>
        <v>5266.666666666667</v>
      </c>
      <c r="F9" s="540">
        <f t="shared" si="2"/>
        <v>5266.666666666667</v>
      </c>
      <c r="G9" s="540">
        <f t="shared" si="2"/>
        <v>5266.666666666667</v>
      </c>
      <c r="H9" s="540">
        <f t="shared" si="2"/>
        <v>5266.666666666667</v>
      </c>
      <c r="I9" s="540">
        <f t="shared" si="2"/>
        <v>5266.666666666667</v>
      </c>
      <c r="J9" s="540">
        <f t="shared" si="2"/>
        <v>5266.666666666667</v>
      </c>
      <c r="K9" s="540">
        <f t="shared" si="2"/>
        <v>5266.666666666667</v>
      </c>
      <c r="L9" s="540">
        <f t="shared" si="2"/>
        <v>5266.666666666667</v>
      </c>
      <c r="M9" s="540">
        <f t="shared" si="2"/>
        <v>5266.666666666667</v>
      </c>
      <c r="N9" s="540">
        <f t="shared" si="2"/>
        <v>5266.666666666667</v>
      </c>
      <c r="O9" s="540">
        <f t="shared" si="2"/>
        <v>5266.666666666667</v>
      </c>
      <c r="P9" s="540">
        <f t="shared" si="2"/>
        <v>5266.666666666667</v>
      </c>
      <c r="Q9" s="540">
        <f t="shared" si="2"/>
        <v>5266.666666666667</v>
      </c>
      <c r="R9" s="540">
        <f t="shared" si="2"/>
        <v>5266.666666666667</v>
      </c>
      <c r="S9" s="540">
        <f>+R9</f>
        <v>5266.666666666667</v>
      </c>
      <c r="T9" s="540">
        <f t="shared" si="2"/>
        <v>5266.666666666667</v>
      </c>
      <c r="U9" s="540">
        <f t="shared" si="2"/>
        <v>5266.666666666667</v>
      </c>
      <c r="V9" s="540">
        <f t="shared" si="2"/>
        <v>5266.666666666667</v>
      </c>
      <c r="W9" s="540">
        <f t="shared" si="2"/>
        <v>5266.666666666667</v>
      </c>
      <c r="X9" s="540">
        <f t="shared" si="2"/>
        <v>5266.666666666667</v>
      </c>
      <c r="Y9" s="540">
        <f t="shared" si="2"/>
        <v>5266.666666666667</v>
      </c>
      <c r="Z9" s="540">
        <f t="shared" si="2"/>
        <v>5266.666666666667</v>
      </c>
      <c r="AA9" s="540">
        <f t="shared" si="2"/>
        <v>5266.666666666667</v>
      </c>
      <c r="AB9" s="540">
        <f t="shared" si="2"/>
        <v>5266.666666666667</v>
      </c>
      <c r="AC9" s="540">
        <f t="shared" si="2"/>
        <v>5266.666666666667</v>
      </c>
      <c r="AD9" s="540">
        <f t="shared" si="2"/>
        <v>5266.666666666667</v>
      </c>
      <c r="AE9" s="540">
        <f>IF(Actual!$E$3&lt;30,0,AD9)</f>
        <v>5266.666666666667</v>
      </c>
      <c r="AF9" s="540">
        <f>IF(Actual!$E$3&lt;30,0,AE9)</f>
        <v>5266.666666666667</v>
      </c>
      <c r="AG9" s="540">
        <f>IF(Actual!$E$3&lt;30,0,AF9)</f>
        <v>5266.666666666667</v>
      </c>
      <c r="AH9" s="717">
        <f>SUM(C9:AG9)</f>
        <v>163266.66666666666</v>
      </c>
      <c r="AI9" s="541">
        <f>SUMIF($C$3:$AG$3,"&lt;="&amp;$C$2,C9:AG9)</f>
        <v>36866.666666666672</v>
      </c>
      <c r="AJ9" s="362">
        <f>SUM(K9:Q9)</f>
        <v>36866.666666666672</v>
      </c>
    </row>
    <row r="10" spans="2:37">
      <c r="B10" s="392" t="s">
        <v>333</v>
      </c>
      <c r="C10" s="944">
        <f>+IFERROR(C8/C9,"-")</f>
        <v>0.24928443037974679</v>
      </c>
      <c r="D10" s="944">
        <f t="shared" ref="D10:AG10" si="3">+IFERROR(D8/D9,"-")</f>
        <v>0.24928443037974679</v>
      </c>
      <c r="E10" s="944">
        <f t="shared" si="3"/>
        <v>0.24928443037974679</v>
      </c>
      <c r="F10" s="944">
        <f t="shared" si="3"/>
        <v>0.24928443037974679</v>
      </c>
      <c r="G10" s="944">
        <f t="shared" si="3"/>
        <v>0.24928443037974679</v>
      </c>
      <c r="H10" s="944">
        <f t="shared" si="3"/>
        <v>0.24928443037974679</v>
      </c>
      <c r="I10" s="944">
        <f t="shared" si="3"/>
        <v>0.24928443037974679</v>
      </c>
      <c r="J10" s="944">
        <f t="shared" si="3"/>
        <v>0.24928443037974679</v>
      </c>
      <c r="K10" s="944">
        <f t="shared" si="3"/>
        <v>0.24928443037974679</v>
      </c>
      <c r="L10" s="944">
        <f t="shared" si="3"/>
        <v>0.24928443037974679</v>
      </c>
      <c r="M10" s="944">
        <f t="shared" si="3"/>
        <v>0.24928443037974679</v>
      </c>
      <c r="N10" s="944">
        <f t="shared" si="3"/>
        <v>0.24928443037974679</v>
      </c>
      <c r="O10" s="944">
        <f t="shared" si="3"/>
        <v>0.24928443037974679</v>
      </c>
      <c r="P10" s="944">
        <f t="shared" si="3"/>
        <v>0.24928443037974679</v>
      </c>
      <c r="Q10" s="944">
        <f t="shared" si="3"/>
        <v>0.24928443037974679</v>
      </c>
      <c r="R10" s="944">
        <f t="shared" si="3"/>
        <v>0.24928443037974679</v>
      </c>
      <c r="S10" s="944">
        <f t="shared" si="3"/>
        <v>0.24928443037974679</v>
      </c>
      <c r="T10" s="944">
        <f t="shared" si="3"/>
        <v>0.24928443037974679</v>
      </c>
      <c r="U10" s="944">
        <f t="shared" si="3"/>
        <v>0.24928443037974679</v>
      </c>
      <c r="V10" s="944">
        <f t="shared" si="3"/>
        <v>0.24928443037974679</v>
      </c>
      <c r="W10" s="944">
        <f t="shared" si="3"/>
        <v>0.24928443037974679</v>
      </c>
      <c r="X10" s="944">
        <f t="shared" si="3"/>
        <v>0.24928443037974679</v>
      </c>
      <c r="Y10" s="944">
        <f t="shared" si="3"/>
        <v>0.24928443037974679</v>
      </c>
      <c r="Z10" s="944">
        <f t="shared" si="3"/>
        <v>0.24928443037974679</v>
      </c>
      <c r="AA10" s="944">
        <f t="shared" si="3"/>
        <v>0.24928443037974679</v>
      </c>
      <c r="AB10" s="944">
        <f t="shared" si="3"/>
        <v>0.24928443037974679</v>
      </c>
      <c r="AC10" s="944">
        <f t="shared" si="3"/>
        <v>0.24928443037974679</v>
      </c>
      <c r="AD10" s="944">
        <f t="shared" si="3"/>
        <v>0.24928443037974679</v>
      </c>
      <c r="AE10" s="944">
        <f t="shared" si="3"/>
        <v>0.24928443037974679</v>
      </c>
      <c r="AF10" s="944">
        <f t="shared" si="3"/>
        <v>0.24928443037974679</v>
      </c>
      <c r="AG10" s="944">
        <f t="shared" si="3"/>
        <v>0</v>
      </c>
      <c r="AH10" s="717"/>
      <c r="AI10" s="541"/>
      <c r="AJ10" s="362"/>
    </row>
    <row r="11" spans="2:37">
      <c r="B11" s="392" t="s">
        <v>334</v>
      </c>
      <c r="C11" s="540">
        <f>Outlook!M8+C9-C12</f>
        <v>158216.35673333332</v>
      </c>
      <c r="D11" s="540">
        <f>C11+D9-D12</f>
        <v>158149.69006666663</v>
      </c>
      <c r="E11" s="540">
        <f t="shared" ref="E11:AF11" si="4">D11+E9-E12</f>
        <v>158083.02339999995</v>
      </c>
      <c r="F11" s="540">
        <f t="shared" si="4"/>
        <v>158016.35673333326</v>
      </c>
      <c r="G11" s="540">
        <f t="shared" si="4"/>
        <v>157949.69006666658</v>
      </c>
      <c r="H11" s="540">
        <f t="shared" si="4"/>
        <v>157883.02339999989</v>
      </c>
      <c r="I11" s="540">
        <f t="shared" si="4"/>
        <v>157816.3567333332</v>
      </c>
      <c r="J11" s="540">
        <f t="shared" si="4"/>
        <v>157749.69006666652</v>
      </c>
      <c r="K11" s="540">
        <f t="shared" si="4"/>
        <v>157683.02339999983</v>
      </c>
      <c r="L11" s="540">
        <f t="shared" si="4"/>
        <v>157616.35673333314</v>
      </c>
      <c r="M11" s="540">
        <f t="shared" si="4"/>
        <v>157549.69006666646</v>
      </c>
      <c r="N11" s="540">
        <f t="shared" si="4"/>
        <v>157483.02339999977</v>
      </c>
      <c r="O11" s="540">
        <f t="shared" si="4"/>
        <v>157416.35673333309</v>
      </c>
      <c r="P11" s="540">
        <f t="shared" si="4"/>
        <v>157349.6900666664</v>
      </c>
      <c r="Q11" s="540">
        <f t="shared" si="4"/>
        <v>157283.02339999971</v>
      </c>
      <c r="R11" s="540">
        <f t="shared" si="4"/>
        <v>157216.35673333303</v>
      </c>
      <c r="S11" s="540">
        <f t="shared" si="4"/>
        <v>157149.69006666634</v>
      </c>
      <c r="T11" s="540">
        <f t="shared" si="4"/>
        <v>157083.02339999966</v>
      </c>
      <c r="U11" s="540">
        <f t="shared" si="4"/>
        <v>157016.35673333297</v>
      </c>
      <c r="V11" s="540">
        <f t="shared" si="4"/>
        <v>156949.69006666628</v>
      </c>
      <c r="W11" s="540">
        <f t="shared" si="4"/>
        <v>156883.0233999996</v>
      </c>
      <c r="X11" s="540">
        <f t="shared" si="4"/>
        <v>156816.35673333291</v>
      </c>
      <c r="Y11" s="540">
        <f t="shared" si="4"/>
        <v>156749.69006666623</v>
      </c>
      <c r="Z11" s="540">
        <f t="shared" si="4"/>
        <v>156683.02339999954</v>
      </c>
      <c r="AA11" s="540">
        <f t="shared" si="4"/>
        <v>156616.35673333285</v>
      </c>
      <c r="AB11" s="540">
        <f t="shared" si="4"/>
        <v>156549.69006666617</v>
      </c>
      <c r="AC11" s="540">
        <f t="shared" si="4"/>
        <v>156483.02339999948</v>
      </c>
      <c r="AD11" s="540">
        <f t="shared" si="4"/>
        <v>156416.3567333328</v>
      </c>
      <c r="AE11" s="540">
        <f t="shared" si="4"/>
        <v>156349.69006666611</v>
      </c>
      <c r="AF11" s="540">
        <f t="shared" si="4"/>
        <v>156283.02339999942</v>
      </c>
      <c r="AG11" s="540">
        <f>IF(Actual!$E$3=30,0,AF11+AG9-AG12)</f>
        <v>0</v>
      </c>
      <c r="AH11" s="787">
        <f>IF(AG11=0,AF11,AG11)</f>
        <v>156283.02339999942</v>
      </c>
      <c r="AI11" s="979">
        <f>HLOOKUP($C$2,$C$4:$AG$21,8,FALSE)</f>
        <v>157816.3567333332</v>
      </c>
    </row>
    <row r="12" spans="2:37">
      <c r="B12" s="392" t="s">
        <v>335</v>
      </c>
      <c r="C12" s="540">
        <f>Outlook!$N$12/Actual!$E$3</f>
        <v>5333.333333333333</v>
      </c>
      <c r="D12" s="540">
        <f>+C12</f>
        <v>5333.333333333333</v>
      </c>
      <c r="E12" s="540">
        <f>+D12</f>
        <v>5333.333333333333</v>
      </c>
      <c r="F12" s="540">
        <f>+E12</f>
        <v>5333.333333333333</v>
      </c>
      <c r="G12" s="540">
        <f t="shared" ref="G12:N12" si="5">+F12</f>
        <v>5333.333333333333</v>
      </c>
      <c r="H12" s="540">
        <f t="shared" si="5"/>
        <v>5333.333333333333</v>
      </c>
      <c r="I12" s="540">
        <f t="shared" si="5"/>
        <v>5333.333333333333</v>
      </c>
      <c r="J12" s="540">
        <f t="shared" si="5"/>
        <v>5333.333333333333</v>
      </c>
      <c r="K12" s="540">
        <f t="shared" si="5"/>
        <v>5333.333333333333</v>
      </c>
      <c r="L12" s="540">
        <f t="shared" si="5"/>
        <v>5333.333333333333</v>
      </c>
      <c r="M12" s="540">
        <f t="shared" si="5"/>
        <v>5333.333333333333</v>
      </c>
      <c r="N12" s="540">
        <f t="shared" si="5"/>
        <v>5333.333333333333</v>
      </c>
      <c r="O12" s="540">
        <f>+N12</f>
        <v>5333.333333333333</v>
      </c>
      <c r="P12" s="540">
        <f t="shared" ref="P12:AD15" si="6">+O12</f>
        <v>5333.333333333333</v>
      </c>
      <c r="Q12" s="540">
        <f t="shared" si="6"/>
        <v>5333.333333333333</v>
      </c>
      <c r="R12" s="540">
        <f t="shared" si="6"/>
        <v>5333.333333333333</v>
      </c>
      <c r="S12" s="540">
        <f t="shared" si="6"/>
        <v>5333.333333333333</v>
      </c>
      <c r="T12" s="540">
        <f t="shared" si="6"/>
        <v>5333.333333333333</v>
      </c>
      <c r="U12" s="540">
        <f t="shared" si="6"/>
        <v>5333.333333333333</v>
      </c>
      <c r="V12" s="540">
        <f t="shared" si="6"/>
        <v>5333.333333333333</v>
      </c>
      <c r="W12" s="540">
        <f t="shared" si="6"/>
        <v>5333.333333333333</v>
      </c>
      <c r="X12" s="540">
        <f t="shared" si="6"/>
        <v>5333.333333333333</v>
      </c>
      <c r="Y12" s="540">
        <f t="shared" si="6"/>
        <v>5333.333333333333</v>
      </c>
      <c r="Z12" s="540">
        <f t="shared" si="6"/>
        <v>5333.333333333333</v>
      </c>
      <c r="AA12" s="540">
        <f t="shared" si="6"/>
        <v>5333.333333333333</v>
      </c>
      <c r="AB12" s="540">
        <f t="shared" si="6"/>
        <v>5333.333333333333</v>
      </c>
      <c r="AC12" s="540">
        <f t="shared" si="6"/>
        <v>5333.333333333333</v>
      </c>
      <c r="AD12" s="540">
        <f t="shared" si="6"/>
        <v>5333.333333333333</v>
      </c>
      <c r="AE12" s="540">
        <f>+AD12</f>
        <v>5333.333333333333</v>
      </c>
      <c r="AF12" s="540">
        <f>+AE12</f>
        <v>5333.333333333333</v>
      </c>
      <c r="AG12" s="540">
        <f>IF(Actual!$E$3=30,0,AF12)</f>
        <v>0</v>
      </c>
      <c r="AH12" s="717">
        <f>SUM(C12:AG12)</f>
        <v>160000</v>
      </c>
      <c r="AI12" s="541">
        <f>SUMIF($C$3:$AG$3,"&lt;="&amp;$C$2,C12:AG12)</f>
        <v>37333.333333333328</v>
      </c>
      <c r="AJ12" s="362"/>
    </row>
    <row r="13" spans="2:37">
      <c r="B13" s="392" t="s">
        <v>31</v>
      </c>
      <c r="C13" s="540" t="e">
        <f>+IF(Actual!F159=0,Actual!$AK$159/COUNTIF(Actual!$F$159:$AJ$159,"&gt;0"),Actual!F159)</f>
        <v>#DIV/0!</v>
      </c>
      <c r="D13" s="540" t="e">
        <f>+IF(Actual!G159=0,Actual!$AK$159/COUNTIF(Actual!$F$159:$AJ$159,"&gt;0"),Actual!G159)</f>
        <v>#DIV/0!</v>
      </c>
      <c r="E13" s="540" t="e">
        <f>+IF(Actual!H159=0,Actual!$AK$159/COUNTIF(Actual!$F$159:$AJ$159,"&gt;0"),Actual!H159)</f>
        <v>#DIV/0!</v>
      </c>
      <c r="F13" s="540" t="e">
        <f>+IF(Actual!I159=0,Actual!$AK$159/COUNTIF(Actual!$F$159:$AJ$159,"&gt;0"),Actual!I159)</f>
        <v>#DIV/0!</v>
      </c>
      <c r="G13" s="540" t="e">
        <f>+IF(Actual!J159=0,Actual!$AK$159/COUNTIF(Actual!$F$159:$AJ$159,"&gt;0"),Actual!J159)</f>
        <v>#DIV/0!</v>
      </c>
      <c r="H13" s="540" t="e">
        <f>+IF(Actual!K159=0,Actual!$AK$159/COUNTIF(Actual!$F$159:$AJ$159,"&gt;0"),Actual!K159)</f>
        <v>#DIV/0!</v>
      </c>
      <c r="I13" s="540" t="e">
        <f>+IF(Actual!L159=0,Actual!$AK$159/COUNTIF(Actual!$F$159:$AJ$159,"&gt;0"),Actual!L159)</f>
        <v>#DIV/0!</v>
      </c>
      <c r="J13" s="540" t="e">
        <f>+IF(Actual!M159=0,Actual!$AK$159/COUNTIF(Actual!$F$159:$AJ$159,"&gt;0"),Actual!M159)</f>
        <v>#DIV/0!</v>
      </c>
      <c r="K13" s="540" t="e">
        <f>+IF(Actual!N159=0,Actual!$AK$159/COUNTIF(Actual!$F$159:$AJ$159,"&gt;0"),Actual!N159)</f>
        <v>#DIV/0!</v>
      </c>
      <c r="L13" s="540" t="e">
        <f>+IF(Actual!O159=0,Actual!$AK$159/COUNTIF(Actual!$F$159:$AJ$159,"&gt;0"),Actual!O159)</f>
        <v>#DIV/0!</v>
      </c>
      <c r="M13" s="540" t="e">
        <f>+IF(Actual!P159=0,Actual!$AK$159/COUNTIF(Actual!$F$159:$AJ$159,"&gt;0"),Actual!P159)</f>
        <v>#DIV/0!</v>
      </c>
      <c r="N13" s="540" t="e">
        <f>+IF(Actual!Q159=0,Actual!$AK$159/COUNTIF(Actual!$F$159:$AJ$159,"&gt;0"),Actual!Q159)</f>
        <v>#DIV/0!</v>
      </c>
      <c r="O13" s="540" t="e">
        <f>+IF(Actual!R159=0,Actual!$AK$159/COUNTIF(Actual!$F$159:$AJ$159,"&gt;0"),Actual!R159)</f>
        <v>#DIV/0!</v>
      </c>
      <c r="P13" s="540" t="e">
        <f>+IF(Actual!S159=0,Actual!$AK$159/COUNTIF(Actual!$F$159:$AJ$159,"&gt;0"),Actual!S159)</f>
        <v>#DIV/0!</v>
      </c>
      <c r="Q13" s="540" t="e">
        <f>+IF(Actual!T159=0,Actual!$AK$159/COUNTIF(Actual!$F$159:$AJ$159,"&gt;0"),Actual!T159)</f>
        <v>#DIV/0!</v>
      </c>
      <c r="R13" s="540" t="e">
        <f>+IF(Actual!U159=0,Actual!$AK$159/COUNTIF(Actual!$F$159:$AJ$159,"&gt;0"),Actual!U159)</f>
        <v>#DIV/0!</v>
      </c>
      <c r="S13" s="540" t="e">
        <f>+IF(Actual!V159=0,Actual!$AK$159/COUNTIF(Actual!$F$159:$AJ$159,"&gt;0"),Actual!V159)</f>
        <v>#DIV/0!</v>
      </c>
      <c r="T13" s="540" t="e">
        <f>+IF(Actual!W159=0,Actual!$AK$159/COUNTIF(Actual!$F$159:$AJ$159,"&gt;0"),Actual!W159)</f>
        <v>#DIV/0!</v>
      </c>
      <c r="U13" s="540" t="e">
        <f>+IF(Actual!X159=0,Actual!$AK$159/COUNTIF(Actual!$F$159:$AJ$159,"&gt;0"),Actual!X159)</f>
        <v>#DIV/0!</v>
      </c>
      <c r="V13" s="540" t="e">
        <f>+IF(Actual!Y159=0,Actual!$AK$159/COUNTIF(Actual!$F$159:$AJ$159,"&gt;0"),Actual!Y159)</f>
        <v>#DIV/0!</v>
      </c>
      <c r="W13" s="540" t="e">
        <f>+IF(Actual!Z159=0,Actual!$AK$159/COUNTIF(Actual!$F$159:$AJ$159,"&gt;0"),Actual!Z159)</f>
        <v>#DIV/0!</v>
      </c>
      <c r="X13" s="540" t="e">
        <f>+IF(Actual!AA159=0,Actual!$AK$159/COUNTIF(Actual!$F$159:$AJ$159,"&gt;0"),Actual!AA159)</f>
        <v>#DIV/0!</v>
      </c>
      <c r="Y13" s="540" t="e">
        <f>+IF(Actual!AB159=0,Actual!$AK$159/COUNTIF(Actual!$F$159:$AJ$159,"&gt;0"),Actual!AB159)</f>
        <v>#DIV/0!</v>
      </c>
      <c r="Z13" s="540" t="e">
        <f>+IF(Actual!AC159=0,Actual!$AK$159/COUNTIF(Actual!$F$159:$AJ$159,"&gt;0"),Actual!AC159)</f>
        <v>#DIV/0!</v>
      </c>
      <c r="AA13" s="540" t="e">
        <f>+IF(Actual!AD159=0,Actual!$AK$159/COUNTIF(Actual!$F$159:$AJ$159,"&gt;0"),Actual!AD159)</f>
        <v>#DIV/0!</v>
      </c>
      <c r="AB13" s="540" t="e">
        <f>+IF(Actual!AE159=0,Actual!$AK$159/COUNTIF(Actual!$F$159:$AJ$159,"&gt;0"),Actual!AE159)</f>
        <v>#DIV/0!</v>
      </c>
      <c r="AC13" s="540" t="e">
        <f>+IF(Actual!AF159=0,Actual!$AK$159/COUNTIF(Actual!$F$159:$AJ$159,"&gt;0"),Actual!AF159)</f>
        <v>#DIV/0!</v>
      </c>
      <c r="AD13" s="540" t="e">
        <f>+IF(Actual!AG159=0,Actual!$AK$159/COUNTIF(Actual!$F$159:$AJ$159,"&gt;0"),Actual!AG159)</f>
        <v>#DIV/0!</v>
      </c>
      <c r="AE13" s="540" t="e">
        <f>+IF(Actual!AH159=0,Actual!$AK$159/COUNTIF(Actual!$F$159:$AJ$159,"&gt;0"),Actual!AH159)</f>
        <v>#DIV/0!</v>
      </c>
      <c r="AF13" s="540" t="e">
        <f>+IF(Actual!AI159=0,Actual!$AK$159/COUNTIF(Actual!$F$159:$AJ$159,"&gt;0"),Actual!AI159)</f>
        <v>#DIV/0!</v>
      </c>
      <c r="AG13" s="540">
        <f>IF(Actual!$E$3=30,0,IF(Actual!AJ159=0,Actual!$AK$159/COUNTIF(Actual!$F$159:$AJ$159,"&gt;0"),Actual!AJ159))</f>
        <v>0</v>
      </c>
      <c r="AH13" s="717" t="e">
        <f>SUM(C13:AG13)</f>
        <v>#DIV/0!</v>
      </c>
      <c r="AI13" s="541"/>
      <c r="AJ13" s="362"/>
    </row>
    <row r="14" spans="2:37">
      <c r="B14" s="392" t="s">
        <v>336</v>
      </c>
      <c r="C14" s="944" t="str">
        <f>+IFERROR(C13/C12,"-")</f>
        <v>-</v>
      </c>
      <c r="D14" s="944" t="str">
        <f t="shared" ref="D14:AG14" si="7">+IFERROR(D13/D12,"-")</f>
        <v>-</v>
      </c>
      <c r="E14" s="944" t="str">
        <f t="shared" si="7"/>
        <v>-</v>
      </c>
      <c r="F14" s="944" t="str">
        <f t="shared" si="7"/>
        <v>-</v>
      </c>
      <c r="G14" s="944" t="str">
        <f t="shared" si="7"/>
        <v>-</v>
      </c>
      <c r="H14" s="944" t="str">
        <f t="shared" si="7"/>
        <v>-</v>
      </c>
      <c r="I14" s="944" t="str">
        <f t="shared" si="7"/>
        <v>-</v>
      </c>
      <c r="J14" s="944" t="str">
        <f t="shared" si="7"/>
        <v>-</v>
      </c>
      <c r="K14" s="944" t="str">
        <f t="shared" si="7"/>
        <v>-</v>
      </c>
      <c r="L14" s="944" t="str">
        <f t="shared" si="7"/>
        <v>-</v>
      </c>
      <c r="M14" s="944" t="str">
        <f>+IFERROR(M13/M12,"-")</f>
        <v>-</v>
      </c>
      <c r="N14" s="944" t="str">
        <f t="shared" si="7"/>
        <v>-</v>
      </c>
      <c r="O14" s="944" t="str">
        <f t="shared" si="7"/>
        <v>-</v>
      </c>
      <c r="P14" s="944" t="str">
        <f t="shared" si="7"/>
        <v>-</v>
      </c>
      <c r="Q14" s="944" t="str">
        <f t="shared" si="7"/>
        <v>-</v>
      </c>
      <c r="R14" s="944" t="str">
        <f t="shared" si="7"/>
        <v>-</v>
      </c>
      <c r="S14" s="944" t="str">
        <f t="shared" si="7"/>
        <v>-</v>
      </c>
      <c r="T14" s="944" t="str">
        <f t="shared" si="7"/>
        <v>-</v>
      </c>
      <c r="U14" s="944" t="str">
        <f t="shared" si="7"/>
        <v>-</v>
      </c>
      <c r="V14" s="944" t="str">
        <f t="shared" si="7"/>
        <v>-</v>
      </c>
      <c r="W14" s="944" t="str">
        <f t="shared" si="7"/>
        <v>-</v>
      </c>
      <c r="X14" s="944" t="str">
        <f t="shared" si="7"/>
        <v>-</v>
      </c>
      <c r="Y14" s="944" t="str">
        <f t="shared" si="7"/>
        <v>-</v>
      </c>
      <c r="Z14" s="944" t="str">
        <f t="shared" si="7"/>
        <v>-</v>
      </c>
      <c r="AA14" s="944" t="str">
        <f t="shared" si="7"/>
        <v>-</v>
      </c>
      <c r="AB14" s="944" t="str">
        <f t="shared" si="7"/>
        <v>-</v>
      </c>
      <c r="AC14" s="944" t="str">
        <f t="shared" si="7"/>
        <v>-</v>
      </c>
      <c r="AD14" s="944" t="str">
        <f t="shared" si="7"/>
        <v>-</v>
      </c>
      <c r="AE14" s="944" t="str">
        <f t="shared" si="7"/>
        <v>-</v>
      </c>
      <c r="AF14" s="944" t="str">
        <f t="shared" si="7"/>
        <v>-</v>
      </c>
      <c r="AG14" s="944" t="str">
        <f t="shared" si="7"/>
        <v>-</v>
      </c>
      <c r="AH14" s="717"/>
      <c r="AI14" s="541"/>
      <c r="AJ14" s="362"/>
    </row>
    <row r="15" spans="2:37">
      <c r="B15" s="392" t="s">
        <v>240</v>
      </c>
      <c r="C15" s="540">
        <f>Outlook!$N$14/Actual!$E$3</f>
        <v>5833.333333333333</v>
      </c>
      <c r="D15" s="540">
        <f>+C15</f>
        <v>5833.333333333333</v>
      </c>
      <c r="E15" s="540">
        <f t="shared" ref="E15:O15" si="8">+D15</f>
        <v>5833.333333333333</v>
      </c>
      <c r="F15" s="540">
        <f t="shared" si="8"/>
        <v>5833.333333333333</v>
      </c>
      <c r="G15" s="540">
        <f t="shared" si="8"/>
        <v>5833.333333333333</v>
      </c>
      <c r="H15" s="540">
        <f t="shared" si="8"/>
        <v>5833.333333333333</v>
      </c>
      <c r="I15" s="540">
        <f t="shared" si="8"/>
        <v>5833.333333333333</v>
      </c>
      <c r="J15" s="540">
        <f t="shared" si="8"/>
        <v>5833.333333333333</v>
      </c>
      <c r="K15" s="540">
        <f t="shared" si="8"/>
        <v>5833.333333333333</v>
      </c>
      <c r="L15" s="540">
        <f t="shared" si="8"/>
        <v>5833.333333333333</v>
      </c>
      <c r="M15" s="540">
        <f t="shared" si="8"/>
        <v>5833.333333333333</v>
      </c>
      <c r="N15" s="540">
        <f t="shared" si="8"/>
        <v>5833.333333333333</v>
      </c>
      <c r="O15" s="540">
        <f t="shared" si="8"/>
        <v>5833.333333333333</v>
      </c>
      <c r="P15" s="540">
        <f t="shared" si="6"/>
        <v>5833.333333333333</v>
      </c>
      <c r="Q15" s="1064">
        <f t="shared" si="6"/>
        <v>5833.333333333333</v>
      </c>
      <c r="R15" s="540">
        <f t="shared" si="6"/>
        <v>5833.333333333333</v>
      </c>
      <c r="S15" s="540">
        <f t="shared" si="6"/>
        <v>5833.333333333333</v>
      </c>
      <c r="T15" s="540">
        <f t="shared" si="6"/>
        <v>5833.333333333333</v>
      </c>
      <c r="U15" s="540">
        <f t="shared" si="6"/>
        <v>5833.333333333333</v>
      </c>
      <c r="V15" s="540">
        <f t="shared" si="6"/>
        <v>5833.333333333333</v>
      </c>
      <c r="W15" s="540">
        <f t="shared" si="6"/>
        <v>5833.333333333333</v>
      </c>
      <c r="X15" s="540">
        <f t="shared" si="6"/>
        <v>5833.333333333333</v>
      </c>
      <c r="Y15" s="540">
        <f t="shared" si="6"/>
        <v>5833.333333333333</v>
      </c>
      <c r="Z15" s="540">
        <f t="shared" si="6"/>
        <v>5833.333333333333</v>
      </c>
      <c r="AA15" s="540">
        <f t="shared" si="6"/>
        <v>5833.333333333333</v>
      </c>
      <c r="AB15" s="540">
        <f t="shared" si="6"/>
        <v>5833.333333333333</v>
      </c>
      <c r="AC15" s="540">
        <f t="shared" si="6"/>
        <v>5833.333333333333</v>
      </c>
      <c r="AD15" s="540">
        <f t="shared" si="6"/>
        <v>5833.333333333333</v>
      </c>
      <c r="AE15" s="540">
        <f>+AD15</f>
        <v>5833.333333333333</v>
      </c>
      <c r="AF15" s="540">
        <f>+AE15</f>
        <v>5833.333333333333</v>
      </c>
      <c r="AG15" s="540">
        <f>IF(Actual!$E$3=30,0,AF15)</f>
        <v>0</v>
      </c>
      <c r="AH15" s="717">
        <f>SUM(C15:AG15)</f>
        <v>175000.00000000003</v>
      </c>
      <c r="AI15" s="541">
        <f>SUMIF($C$3:$AG$3,"&lt;="&amp;$C$2,C15:AG15)</f>
        <v>40833.333333333336</v>
      </c>
      <c r="AJ15" s="362"/>
    </row>
    <row r="16" spans="2:37">
      <c r="B16" s="392" t="s">
        <v>337</v>
      </c>
      <c r="C16" s="540">
        <f>+Outlook!M13+'Graphic Production'!C12-'Graphic Production'!C15</f>
        <v>52712.624999999993</v>
      </c>
      <c r="D16" s="540">
        <f>C16+D12-D15</f>
        <v>52212.624999999993</v>
      </c>
      <c r="E16" s="540">
        <f>D16+E12-E15</f>
        <v>51712.624999999993</v>
      </c>
      <c r="F16" s="540">
        <f t="shared" ref="F16:M16" si="9">E16+F12-F15</f>
        <v>51212.624999999993</v>
      </c>
      <c r="G16" s="540">
        <f t="shared" si="9"/>
        <v>50712.624999999993</v>
      </c>
      <c r="H16" s="540">
        <f t="shared" si="9"/>
        <v>50212.624999999993</v>
      </c>
      <c r="I16" s="540">
        <f t="shared" si="9"/>
        <v>49712.624999999993</v>
      </c>
      <c r="J16" s="540">
        <f t="shared" si="9"/>
        <v>49212.624999999993</v>
      </c>
      <c r="K16" s="540">
        <f t="shared" si="9"/>
        <v>48712.624999999993</v>
      </c>
      <c r="L16" s="540">
        <f t="shared" si="9"/>
        <v>48212.624999999993</v>
      </c>
      <c r="M16" s="540">
        <f t="shared" si="9"/>
        <v>47712.624999999993</v>
      </c>
      <c r="N16" s="540">
        <f t="shared" ref="N16:AE16" si="10">M16+N12-N15</f>
        <v>47212.624999999993</v>
      </c>
      <c r="O16" s="540">
        <f t="shared" si="10"/>
        <v>46712.624999999993</v>
      </c>
      <c r="P16" s="540">
        <f t="shared" si="10"/>
        <v>46212.624999999993</v>
      </c>
      <c r="Q16" s="540">
        <f t="shared" si="10"/>
        <v>45712.624999999993</v>
      </c>
      <c r="R16" s="540">
        <f>Q16+R12-R15</f>
        <v>45212.624999999993</v>
      </c>
      <c r="S16" s="540">
        <f>R16+S12-S15</f>
        <v>44712.624999999993</v>
      </c>
      <c r="T16" s="540">
        <f>S16+T12-T15</f>
        <v>44212.624999999993</v>
      </c>
      <c r="U16" s="540">
        <f t="shared" si="10"/>
        <v>43712.624999999993</v>
      </c>
      <c r="V16" s="540">
        <f t="shared" si="10"/>
        <v>43212.624999999993</v>
      </c>
      <c r="W16" s="540">
        <f t="shared" si="10"/>
        <v>42712.624999999993</v>
      </c>
      <c r="X16" s="540">
        <f t="shared" si="10"/>
        <v>42212.624999999993</v>
      </c>
      <c r="Y16" s="540">
        <f t="shared" si="10"/>
        <v>41712.624999999993</v>
      </c>
      <c r="Z16" s="540">
        <f t="shared" si="10"/>
        <v>41212.624999999993</v>
      </c>
      <c r="AA16" s="540">
        <f t="shared" si="10"/>
        <v>40712.624999999993</v>
      </c>
      <c r="AB16" s="540">
        <f t="shared" si="10"/>
        <v>40212.624999999993</v>
      </c>
      <c r="AC16" s="540">
        <f t="shared" si="10"/>
        <v>39712.624999999993</v>
      </c>
      <c r="AD16" s="540">
        <f t="shared" si="10"/>
        <v>39212.624999999993</v>
      </c>
      <c r="AE16" s="540">
        <f t="shared" si="10"/>
        <v>38712.624999999993</v>
      </c>
      <c r="AF16" s="540">
        <f>AE16+AF12-AF15</f>
        <v>38212.624999999993</v>
      </c>
      <c r="AG16" s="540">
        <f>IF(Actual!$E$3=30,0,AF16+AG12-AG15)</f>
        <v>0</v>
      </c>
      <c r="AH16" s="987">
        <f>+AG16</f>
        <v>0</v>
      </c>
      <c r="AI16" s="717">
        <f>HLOOKUP($C$2,$C$4:$AG$21,13,FALSE)</f>
        <v>49712.624999999993</v>
      </c>
      <c r="AJ16" s="362"/>
    </row>
    <row r="17" spans="2:35">
      <c r="B17" s="392" t="s">
        <v>94</v>
      </c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  <c r="AA17" s="540"/>
      <c r="AB17" s="540"/>
      <c r="AC17" s="540"/>
      <c r="AD17" s="540"/>
      <c r="AE17" s="540"/>
      <c r="AF17" s="540"/>
      <c r="AG17" s="540"/>
      <c r="AH17" s="717">
        <f>SUM(C17:AG17)</f>
        <v>0</v>
      </c>
      <c r="AI17" s="717" t="e">
        <f>HLOOKUP($C$2,$C$4:$AG$21,10,FALSE)</f>
        <v>#DIV/0!</v>
      </c>
    </row>
    <row r="18" spans="2:35">
      <c r="B18" s="392" t="s">
        <v>338</v>
      </c>
      <c r="C18" s="718">
        <f t="shared" ref="C18:L18" si="11">22-C20-C21</f>
        <v>22</v>
      </c>
      <c r="D18" s="718">
        <f t="shared" si="11"/>
        <v>22</v>
      </c>
      <c r="E18" s="718">
        <f t="shared" si="11"/>
        <v>22</v>
      </c>
      <c r="F18" s="718">
        <f t="shared" si="11"/>
        <v>22</v>
      </c>
      <c r="G18" s="718">
        <f t="shared" si="11"/>
        <v>22</v>
      </c>
      <c r="H18" s="718">
        <f>22-H20-H21</f>
        <v>22</v>
      </c>
      <c r="I18" s="718">
        <f>22-I20-I21</f>
        <v>22</v>
      </c>
      <c r="J18" s="718">
        <f>22-J20-J21</f>
        <v>22</v>
      </c>
      <c r="K18" s="718">
        <f>22-K20-K21</f>
        <v>22</v>
      </c>
      <c r="L18" s="718">
        <f t="shared" si="11"/>
        <v>22</v>
      </c>
      <c r="M18" s="718">
        <f t="shared" ref="M18:V18" si="12">22-M20-M21</f>
        <v>22</v>
      </c>
      <c r="N18" s="718">
        <f t="shared" si="12"/>
        <v>22</v>
      </c>
      <c r="O18" s="718">
        <f t="shared" si="12"/>
        <v>22</v>
      </c>
      <c r="P18" s="718">
        <f t="shared" si="12"/>
        <v>22</v>
      </c>
      <c r="Q18" s="718">
        <f t="shared" si="12"/>
        <v>22</v>
      </c>
      <c r="R18" s="718">
        <f t="shared" si="12"/>
        <v>22</v>
      </c>
      <c r="S18" s="718">
        <f t="shared" si="12"/>
        <v>22</v>
      </c>
      <c r="T18" s="718">
        <f t="shared" si="12"/>
        <v>22</v>
      </c>
      <c r="U18" s="718">
        <f t="shared" si="12"/>
        <v>22</v>
      </c>
      <c r="V18" s="718">
        <f t="shared" si="12"/>
        <v>22</v>
      </c>
      <c r="W18" s="718">
        <f t="shared" ref="W18:AF18" si="13">22-W20-W21</f>
        <v>22</v>
      </c>
      <c r="X18" s="718">
        <f t="shared" si="13"/>
        <v>22</v>
      </c>
      <c r="Y18" s="718">
        <f t="shared" si="13"/>
        <v>22</v>
      </c>
      <c r="Z18" s="718">
        <f t="shared" si="13"/>
        <v>22</v>
      </c>
      <c r="AA18" s="718">
        <f t="shared" si="13"/>
        <v>22</v>
      </c>
      <c r="AB18" s="718">
        <f t="shared" si="13"/>
        <v>22</v>
      </c>
      <c r="AC18" s="718">
        <f t="shared" si="13"/>
        <v>22</v>
      </c>
      <c r="AD18" s="718">
        <f t="shared" si="13"/>
        <v>22</v>
      </c>
      <c r="AE18" s="718">
        <f t="shared" si="13"/>
        <v>22</v>
      </c>
      <c r="AF18" s="718">
        <f t="shared" si="13"/>
        <v>22</v>
      </c>
      <c r="AG18" s="718">
        <f>IF(Actual!$E$3=30,0,22-AG20-AG21)</f>
        <v>0</v>
      </c>
      <c r="AH18" s="717">
        <f>AVERAGE(C18:AG18)</f>
        <v>21.29032258064516</v>
      </c>
    </row>
    <row r="19" spans="2:35">
      <c r="B19" s="392" t="s">
        <v>339</v>
      </c>
      <c r="C19" s="718">
        <f t="shared" ref="C19:L19" si="14">22-C20-C21</f>
        <v>22</v>
      </c>
      <c r="D19" s="718">
        <f t="shared" si="14"/>
        <v>22</v>
      </c>
      <c r="E19" s="718">
        <f t="shared" si="14"/>
        <v>22</v>
      </c>
      <c r="F19" s="718">
        <f t="shared" si="14"/>
        <v>22</v>
      </c>
      <c r="G19" s="718">
        <f t="shared" si="14"/>
        <v>22</v>
      </c>
      <c r="H19" s="718">
        <f t="shared" si="14"/>
        <v>22</v>
      </c>
      <c r="I19" s="718">
        <f>22-I20-I21</f>
        <v>22</v>
      </c>
      <c r="J19" s="718">
        <f>22-J20-J21</f>
        <v>22</v>
      </c>
      <c r="K19" s="718">
        <f t="shared" si="14"/>
        <v>22</v>
      </c>
      <c r="L19" s="718">
        <f t="shared" si="14"/>
        <v>22</v>
      </c>
      <c r="M19" s="718">
        <f t="shared" ref="M19:V19" si="15">22-M20-M21</f>
        <v>22</v>
      </c>
      <c r="N19" s="718">
        <f t="shared" si="15"/>
        <v>22</v>
      </c>
      <c r="O19" s="718">
        <f t="shared" si="15"/>
        <v>22</v>
      </c>
      <c r="P19" s="718">
        <f t="shared" si="15"/>
        <v>22</v>
      </c>
      <c r="Q19" s="718">
        <f t="shared" si="15"/>
        <v>22</v>
      </c>
      <c r="R19" s="718">
        <f t="shared" si="15"/>
        <v>22</v>
      </c>
      <c r="S19" s="718">
        <f t="shared" si="15"/>
        <v>22</v>
      </c>
      <c r="T19" s="718">
        <f t="shared" si="15"/>
        <v>22</v>
      </c>
      <c r="U19" s="718">
        <f t="shared" si="15"/>
        <v>22</v>
      </c>
      <c r="V19" s="718">
        <f t="shared" si="15"/>
        <v>22</v>
      </c>
      <c r="W19" s="718">
        <f t="shared" ref="W19:AF19" si="16">22-W20-W21</f>
        <v>22</v>
      </c>
      <c r="X19" s="718">
        <f t="shared" si="16"/>
        <v>22</v>
      </c>
      <c r="Y19" s="718">
        <f t="shared" si="16"/>
        <v>22</v>
      </c>
      <c r="Z19" s="718">
        <f t="shared" si="16"/>
        <v>22</v>
      </c>
      <c r="AA19" s="718">
        <f t="shared" si="16"/>
        <v>22</v>
      </c>
      <c r="AB19" s="718">
        <f t="shared" si="16"/>
        <v>22</v>
      </c>
      <c r="AC19" s="718">
        <f t="shared" si="16"/>
        <v>22</v>
      </c>
      <c r="AD19" s="718">
        <f t="shared" si="16"/>
        <v>22</v>
      </c>
      <c r="AE19" s="718">
        <f t="shared" si="16"/>
        <v>22</v>
      </c>
      <c r="AF19" s="718">
        <f t="shared" si="16"/>
        <v>22</v>
      </c>
      <c r="AG19" s="718">
        <f>IF(Actual!$E$3=30,0,22-AG20-AG21)</f>
        <v>0</v>
      </c>
      <c r="AH19" s="717">
        <f>AVERAGE(C19:AG19)</f>
        <v>21.29032258064516</v>
      </c>
    </row>
    <row r="20" spans="2:35">
      <c r="B20" s="392" t="s">
        <v>340</v>
      </c>
      <c r="C20" s="644">
        <f>Actual!F184</f>
        <v>0</v>
      </c>
      <c r="D20" s="644">
        <f>Actual!G184</f>
        <v>0</v>
      </c>
      <c r="E20" s="644">
        <f>Actual!H184</f>
        <v>0</v>
      </c>
      <c r="F20" s="644">
        <f>Actual!I184</f>
        <v>0</v>
      </c>
      <c r="G20" s="644">
        <f>Actual!J184</f>
        <v>0</v>
      </c>
      <c r="H20" s="644">
        <f>Actual!K184</f>
        <v>0</v>
      </c>
      <c r="I20" s="644">
        <f>Actual!L184</f>
        <v>0</v>
      </c>
      <c r="J20" s="644">
        <f>Actual!M184</f>
        <v>0</v>
      </c>
      <c r="K20" s="644">
        <f>Actual!N184</f>
        <v>0</v>
      </c>
      <c r="L20" s="644">
        <f>Actual!O184</f>
        <v>0</v>
      </c>
      <c r="M20" s="644">
        <f>Actual!P184</f>
        <v>0</v>
      </c>
      <c r="N20" s="644">
        <f>Actual!Q184</f>
        <v>0</v>
      </c>
      <c r="O20" s="644">
        <f>Actual!R184</f>
        <v>0</v>
      </c>
      <c r="P20" s="644">
        <f>Actual!S184</f>
        <v>0</v>
      </c>
      <c r="Q20" s="644">
        <f>Actual!T184</f>
        <v>0</v>
      </c>
      <c r="R20" s="644">
        <f>Actual!U184</f>
        <v>0</v>
      </c>
      <c r="S20" s="644">
        <f>Actual!V184</f>
        <v>0</v>
      </c>
      <c r="T20" s="644">
        <f>Actual!W184</f>
        <v>0</v>
      </c>
      <c r="U20" s="644">
        <f>Actual!X184</f>
        <v>0</v>
      </c>
      <c r="V20" s="644">
        <f>Actual!Y184</f>
        <v>0</v>
      </c>
      <c r="W20" s="644">
        <f>Actual!Z184</f>
        <v>0</v>
      </c>
      <c r="X20" s="644">
        <f>Actual!AA184</f>
        <v>0</v>
      </c>
      <c r="Y20" s="644">
        <f>Actual!AB184</f>
        <v>0</v>
      </c>
      <c r="Z20" s="644">
        <f>Actual!AC184</f>
        <v>0</v>
      </c>
      <c r="AA20" s="644">
        <f>Actual!AD184</f>
        <v>0</v>
      </c>
      <c r="AB20" s="644">
        <f>Actual!AE184</f>
        <v>0</v>
      </c>
      <c r="AC20" s="644">
        <f>Actual!AF184</f>
        <v>0</v>
      </c>
      <c r="AD20" s="644">
        <f>Actual!AG184</f>
        <v>0</v>
      </c>
      <c r="AE20" s="644">
        <f>Actual!AH184</f>
        <v>0</v>
      </c>
      <c r="AF20" s="644">
        <f>Actual!AI184</f>
        <v>0</v>
      </c>
      <c r="AG20" s="644">
        <f>Actual!AJ184</f>
        <v>0</v>
      </c>
      <c r="AH20" s="717">
        <f>SUM(C20:AG20)</f>
        <v>0</v>
      </c>
    </row>
    <row r="21" spans="2:35">
      <c r="B21" s="392" t="s">
        <v>254</v>
      </c>
      <c r="C21" s="644">
        <f>Actual!F191</f>
        <v>0</v>
      </c>
      <c r="D21" s="644">
        <f>Actual!G191</f>
        <v>0</v>
      </c>
      <c r="E21" s="644">
        <f>Actual!H191</f>
        <v>0</v>
      </c>
      <c r="F21" s="644">
        <f>Actual!I191</f>
        <v>0</v>
      </c>
      <c r="G21" s="644">
        <f>Actual!J191</f>
        <v>0</v>
      </c>
      <c r="H21" s="644">
        <f>Actual!K191</f>
        <v>0</v>
      </c>
      <c r="I21" s="644">
        <f>Actual!L191</f>
        <v>0</v>
      </c>
      <c r="J21" s="644">
        <f>Actual!M191</f>
        <v>0</v>
      </c>
      <c r="K21" s="644">
        <f>Actual!N191</f>
        <v>0</v>
      </c>
      <c r="L21" s="644">
        <f>Actual!O191</f>
        <v>0</v>
      </c>
      <c r="M21" s="644">
        <f>Actual!P191</f>
        <v>0</v>
      </c>
      <c r="N21" s="644">
        <f>Actual!Q191</f>
        <v>0</v>
      </c>
      <c r="O21" s="644">
        <f>Actual!R191</f>
        <v>0</v>
      </c>
      <c r="P21" s="644">
        <f>Actual!S191</f>
        <v>0</v>
      </c>
      <c r="Q21" s="644">
        <f>Actual!T191</f>
        <v>0</v>
      </c>
      <c r="R21" s="644">
        <f>Actual!U191</f>
        <v>0</v>
      </c>
      <c r="S21" s="644">
        <f>Actual!V191</f>
        <v>0</v>
      </c>
      <c r="T21" s="644">
        <f>Actual!W191</f>
        <v>0</v>
      </c>
      <c r="U21" s="644">
        <f>Actual!X191</f>
        <v>0</v>
      </c>
      <c r="V21" s="644">
        <f>Actual!Y191</f>
        <v>0</v>
      </c>
      <c r="W21" s="644">
        <f>Actual!Z191</f>
        <v>0</v>
      </c>
      <c r="X21" s="644">
        <f>Actual!AA191</f>
        <v>0</v>
      </c>
      <c r="Y21" s="644">
        <f>Actual!AB191</f>
        <v>0</v>
      </c>
      <c r="Z21" s="644">
        <f>Actual!AC191</f>
        <v>0</v>
      </c>
      <c r="AA21" s="644">
        <f>Actual!AD191</f>
        <v>0</v>
      </c>
      <c r="AB21" s="644">
        <f>Actual!AE191</f>
        <v>0</v>
      </c>
      <c r="AC21" s="644">
        <f>Actual!AF191</f>
        <v>0</v>
      </c>
      <c r="AD21" s="644">
        <f>Actual!AG191</f>
        <v>0</v>
      </c>
      <c r="AE21" s="644">
        <f>Actual!AH191</f>
        <v>0</v>
      </c>
      <c r="AF21" s="644">
        <f>Actual!AI191</f>
        <v>0</v>
      </c>
      <c r="AG21" s="644">
        <f>Actual!AJ191</f>
        <v>0</v>
      </c>
      <c r="AH21" s="717">
        <f>SUM(C21:AG21)</f>
        <v>0</v>
      </c>
    </row>
    <row r="22" spans="2:35">
      <c r="K22" s="541"/>
      <c r="L22" s="362"/>
    </row>
    <row r="24" spans="2:35">
      <c r="AA24" s="362"/>
      <c r="AB24" s="362"/>
      <c r="AC24" s="362"/>
      <c r="AD24" s="362"/>
    </row>
    <row r="25" spans="2:35">
      <c r="AA25" s="362"/>
    </row>
    <row r="28" spans="2:35">
      <c r="AD28" s="405"/>
    </row>
    <row r="29" spans="2:35">
      <c r="AI29" s="362"/>
    </row>
    <row r="30" spans="2:35">
      <c r="Y30" s="86"/>
      <c r="Z30" s="86"/>
      <c r="AI30" s="362"/>
    </row>
    <row r="31" spans="2:35">
      <c r="Y31" s="86"/>
      <c r="Z31" s="86"/>
    </row>
    <row r="43" spans="2:34" ht="15.6" hidden="1">
      <c r="B43" s="317" t="s">
        <v>341</v>
      </c>
    </row>
    <row r="44" spans="2:34" hidden="1">
      <c r="C44" s="315">
        <v>1</v>
      </c>
      <c r="D44" s="315">
        <v>2</v>
      </c>
      <c r="E44" s="315">
        <v>3</v>
      </c>
      <c r="F44" s="315">
        <v>4</v>
      </c>
      <c r="G44" s="315">
        <v>5</v>
      </c>
      <c r="H44" s="315">
        <v>6</v>
      </c>
      <c r="I44" s="315">
        <v>7</v>
      </c>
      <c r="J44" s="315">
        <v>8</v>
      </c>
      <c r="K44" s="315">
        <v>9</v>
      </c>
      <c r="L44" s="315">
        <v>10</v>
      </c>
      <c r="M44" s="315">
        <v>11</v>
      </c>
      <c r="N44" s="315">
        <v>12</v>
      </c>
      <c r="O44" s="315">
        <v>13</v>
      </c>
      <c r="P44" s="315">
        <v>14</v>
      </c>
      <c r="Q44" s="315">
        <v>15</v>
      </c>
      <c r="R44" s="315">
        <v>16</v>
      </c>
      <c r="S44" s="315">
        <v>17</v>
      </c>
      <c r="T44" s="315">
        <v>18</v>
      </c>
      <c r="U44" s="315">
        <v>19</v>
      </c>
      <c r="V44" s="315">
        <v>20</v>
      </c>
      <c r="W44" s="315">
        <v>21</v>
      </c>
      <c r="X44" s="315">
        <v>22</v>
      </c>
      <c r="Y44" s="315">
        <v>23</v>
      </c>
      <c r="Z44" s="315">
        <v>24</v>
      </c>
      <c r="AA44" s="315">
        <v>25</v>
      </c>
      <c r="AB44" s="315">
        <v>26</v>
      </c>
      <c r="AC44" s="315">
        <v>27</v>
      </c>
      <c r="AD44" s="315">
        <v>28</v>
      </c>
      <c r="AE44" s="315">
        <v>29</v>
      </c>
      <c r="AF44" s="315">
        <v>30</v>
      </c>
      <c r="AG44" s="315">
        <v>31</v>
      </c>
      <c r="AH44" s="315" t="s">
        <v>126</v>
      </c>
    </row>
    <row r="45" spans="2:34" hidden="1">
      <c r="B45" s="392" t="s">
        <v>329</v>
      </c>
      <c r="C45" s="540" t="e">
        <f>Actual!#REF!</f>
        <v>#REF!</v>
      </c>
      <c r="D45" s="540" t="e">
        <f>Actual!#REF!</f>
        <v>#REF!</v>
      </c>
      <c r="E45" s="540" t="e">
        <f>Actual!#REF!</f>
        <v>#REF!</v>
      </c>
      <c r="F45" s="540" t="e">
        <f>Actual!#REF!</f>
        <v>#REF!</v>
      </c>
      <c r="G45" s="540" t="e">
        <f>Actual!#REF!</f>
        <v>#REF!</v>
      </c>
      <c r="H45" s="540" t="e">
        <f>Actual!#REF!</f>
        <v>#REF!</v>
      </c>
      <c r="I45" s="540" t="e">
        <f>Actual!#REF!</f>
        <v>#REF!</v>
      </c>
      <c r="J45" s="540" t="e">
        <f>Actual!#REF!</f>
        <v>#REF!</v>
      </c>
      <c r="K45" s="540" t="e">
        <f>Actual!#REF!</f>
        <v>#REF!</v>
      </c>
      <c r="L45" s="540" t="e">
        <f>Actual!#REF!</f>
        <v>#REF!</v>
      </c>
      <c r="M45" s="540" t="e">
        <f>Actual!#REF!</f>
        <v>#REF!</v>
      </c>
      <c r="N45" s="540" t="e">
        <f>Actual!#REF!</f>
        <v>#REF!</v>
      </c>
      <c r="O45" s="540" t="e">
        <f>Actual!#REF!</f>
        <v>#REF!</v>
      </c>
      <c r="P45" s="540" t="e">
        <f>Actual!#REF!</f>
        <v>#REF!</v>
      </c>
      <c r="Q45" s="540" t="e">
        <f>Actual!#REF!</f>
        <v>#REF!</v>
      </c>
      <c r="R45" s="540" t="e">
        <f>Actual!#REF!</f>
        <v>#REF!</v>
      </c>
      <c r="S45" s="540" t="e">
        <f>Actual!#REF!</f>
        <v>#REF!</v>
      </c>
      <c r="T45" s="540" t="e">
        <f>Actual!#REF!</f>
        <v>#REF!</v>
      </c>
      <c r="U45" s="540" t="e">
        <f>Actual!#REF!</f>
        <v>#REF!</v>
      </c>
      <c r="V45" s="540" t="e">
        <f>Actual!#REF!</f>
        <v>#REF!</v>
      </c>
      <c r="W45" s="540" t="e">
        <f>Actual!#REF!</f>
        <v>#REF!</v>
      </c>
      <c r="X45" s="540" t="e">
        <f>Actual!#REF!</f>
        <v>#REF!</v>
      </c>
      <c r="Y45" s="540" t="e">
        <f>Actual!#REF!</f>
        <v>#REF!</v>
      </c>
      <c r="Z45" s="540" t="e">
        <f>Actual!#REF!</f>
        <v>#REF!</v>
      </c>
      <c r="AA45" s="540" t="e">
        <f>Actual!#REF!</f>
        <v>#REF!</v>
      </c>
      <c r="AB45" s="540" t="e">
        <f>Actual!#REF!</f>
        <v>#REF!</v>
      </c>
      <c r="AC45" s="540" t="e">
        <f>Actual!#REF!</f>
        <v>#REF!</v>
      </c>
      <c r="AD45" s="540" t="e">
        <f>Actual!#REF!</f>
        <v>#REF!</v>
      </c>
      <c r="AE45" s="540" t="e">
        <f>Actual!#REF!</f>
        <v>#REF!</v>
      </c>
      <c r="AF45" s="540" t="e">
        <f>Actual!#REF!</f>
        <v>#REF!</v>
      </c>
      <c r="AG45" s="540" t="e">
        <f>Actual!#REF!</f>
        <v>#REF!</v>
      </c>
      <c r="AH45" s="717" t="e">
        <f>SUM(C45:AG45)</f>
        <v>#REF!</v>
      </c>
    </row>
    <row r="46" spans="2:34" hidden="1">
      <c r="B46" s="392" t="s">
        <v>110</v>
      </c>
      <c r="C46" s="540" t="e">
        <f>Actual!#REF!</f>
        <v>#REF!</v>
      </c>
      <c r="D46" s="540" t="e">
        <f>Actual!#REF!</f>
        <v>#REF!</v>
      </c>
      <c r="E46" s="540" t="e">
        <f>Actual!#REF!</f>
        <v>#REF!</v>
      </c>
      <c r="F46" s="540" t="e">
        <f>Actual!#REF!</f>
        <v>#REF!</v>
      </c>
      <c r="G46" s="540" t="e">
        <f>Actual!#REF!</f>
        <v>#REF!</v>
      </c>
      <c r="H46" s="540" t="e">
        <f>Actual!#REF!</f>
        <v>#REF!</v>
      </c>
      <c r="I46" s="540" t="e">
        <f>Actual!#REF!</f>
        <v>#REF!</v>
      </c>
      <c r="J46" s="540" t="e">
        <f>Actual!#REF!</f>
        <v>#REF!</v>
      </c>
      <c r="K46" s="540" t="e">
        <f>Actual!#REF!</f>
        <v>#REF!</v>
      </c>
      <c r="L46" s="540" t="e">
        <f>Actual!#REF!</f>
        <v>#REF!</v>
      </c>
      <c r="M46" s="540" t="e">
        <f>Actual!#REF!</f>
        <v>#REF!</v>
      </c>
      <c r="N46" s="540" t="e">
        <f>Actual!#REF!</f>
        <v>#REF!</v>
      </c>
      <c r="O46" s="540" t="e">
        <f>Actual!#REF!</f>
        <v>#REF!</v>
      </c>
      <c r="P46" s="540" t="e">
        <f>Actual!#REF!</f>
        <v>#REF!</v>
      </c>
      <c r="Q46" s="540" t="e">
        <f>Actual!#REF!</f>
        <v>#REF!</v>
      </c>
      <c r="R46" s="540" t="e">
        <f>Actual!#REF!</f>
        <v>#REF!</v>
      </c>
      <c r="S46" s="540" t="e">
        <f>Actual!#REF!</f>
        <v>#REF!</v>
      </c>
      <c r="T46" s="540" t="e">
        <f>Actual!#REF!</f>
        <v>#REF!</v>
      </c>
      <c r="U46" s="540" t="e">
        <f>Actual!#REF!</f>
        <v>#REF!</v>
      </c>
      <c r="V46" s="540" t="e">
        <f>Actual!#REF!</f>
        <v>#REF!</v>
      </c>
      <c r="W46" s="540" t="e">
        <f>Actual!#REF!</f>
        <v>#REF!</v>
      </c>
      <c r="X46" s="540" t="e">
        <f>Actual!#REF!</f>
        <v>#REF!</v>
      </c>
      <c r="Y46" s="540" t="e">
        <f>Actual!#REF!</f>
        <v>#REF!</v>
      </c>
      <c r="Z46" s="540" t="e">
        <f>Actual!#REF!</f>
        <v>#REF!</v>
      </c>
      <c r="AA46" s="540" t="e">
        <f>Actual!#REF!</f>
        <v>#REF!</v>
      </c>
      <c r="AB46" s="540" t="e">
        <f>Actual!#REF!</f>
        <v>#REF!</v>
      </c>
      <c r="AC46" s="540" t="e">
        <f>Actual!#REF!</f>
        <v>#REF!</v>
      </c>
      <c r="AD46" s="540" t="e">
        <f>Actual!#REF!</f>
        <v>#REF!</v>
      </c>
      <c r="AE46" s="540" t="e">
        <f>Actual!#REF!</f>
        <v>#REF!</v>
      </c>
      <c r="AF46" s="540" t="e">
        <f>Actual!#REF!</f>
        <v>#REF!</v>
      </c>
      <c r="AG46" s="540" t="e">
        <f>Actual!#REF!</f>
        <v>#REF!</v>
      </c>
      <c r="AH46" s="717" t="e">
        <f>SUM(C46:AG46)</f>
        <v>#REF!</v>
      </c>
    </row>
    <row r="47" spans="2:34" hidden="1">
      <c r="B47" s="392" t="s">
        <v>338</v>
      </c>
      <c r="C47" s="718">
        <f>22-C49-C50</f>
        <v>22</v>
      </c>
      <c r="D47" s="718">
        <f t="shared" ref="D47:K47" si="17">22-D49-D50</f>
        <v>22</v>
      </c>
      <c r="E47" s="718">
        <f t="shared" si="17"/>
        <v>22</v>
      </c>
      <c r="F47" s="718">
        <f t="shared" si="17"/>
        <v>22</v>
      </c>
      <c r="G47" s="718">
        <f t="shared" si="17"/>
        <v>22</v>
      </c>
      <c r="H47" s="718">
        <f t="shared" si="17"/>
        <v>22</v>
      </c>
      <c r="I47" s="718">
        <f t="shared" si="17"/>
        <v>22</v>
      </c>
      <c r="J47" s="718">
        <f t="shared" si="17"/>
        <v>22</v>
      </c>
      <c r="K47" s="718">
        <f t="shared" si="17"/>
        <v>22</v>
      </c>
      <c r="L47" s="718">
        <f t="shared" ref="L47:AG47" si="18">22-L49-L50</f>
        <v>22</v>
      </c>
      <c r="M47" s="718">
        <f t="shared" si="18"/>
        <v>22</v>
      </c>
      <c r="N47" s="718">
        <f t="shared" si="18"/>
        <v>22</v>
      </c>
      <c r="O47" s="718">
        <f t="shared" si="18"/>
        <v>22</v>
      </c>
      <c r="P47" s="718">
        <f t="shared" si="18"/>
        <v>22</v>
      </c>
      <c r="Q47" s="718">
        <f t="shared" si="18"/>
        <v>22</v>
      </c>
      <c r="R47" s="718">
        <f t="shared" si="18"/>
        <v>22</v>
      </c>
      <c r="S47" s="718">
        <f t="shared" si="18"/>
        <v>22</v>
      </c>
      <c r="T47" s="718">
        <f t="shared" si="18"/>
        <v>22</v>
      </c>
      <c r="U47" s="718">
        <f t="shared" si="18"/>
        <v>22</v>
      </c>
      <c r="V47" s="718">
        <f t="shared" si="18"/>
        <v>22</v>
      </c>
      <c r="W47" s="718">
        <f t="shared" si="18"/>
        <v>22</v>
      </c>
      <c r="X47" s="718">
        <f t="shared" si="18"/>
        <v>22</v>
      </c>
      <c r="Y47" s="718">
        <f t="shared" si="18"/>
        <v>22</v>
      </c>
      <c r="Z47" s="718">
        <f t="shared" si="18"/>
        <v>22</v>
      </c>
      <c r="AA47" s="718">
        <f t="shared" si="18"/>
        <v>22</v>
      </c>
      <c r="AB47" s="718">
        <f t="shared" si="18"/>
        <v>22</v>
      </c>
      <c r="AC47" s="718">
        <f t="shared" si="18"/>
        <v>22</v>
      </c>
      <c r="AD47" s="718">
        <f t="shared" si="18"/>
        <v>22</v>
      </c>
      <c r="AE47" s="718">
        <f t="shared" si="18"/>
        <v>22</v>
      </c>
      <c r="AF47" s="718">
        <f t="shared" si="18"/>
        <v>22</v>
      </c>
      <c r="AG47" s="718">
        <f t="shared" si="18"/>
        <v>22</v>
      </c>
      <c r="AH47" s="717">
        <f>AVERAGE(C47:AG47)</f>
        <v>22</v>
      </c>
    </row>
    <row r="48" spans="2:34" hidden="1">
      <c r="B48" s="392" t="s">
        <v>339</v>
      </c>
      <c r="C48" s="718">
        <f t="shared" ref="C48:K48" si="19">22-C50-C49</f>
        <v>22</v>
      </c>
      <c r="D48" s="718">
        <f t="shared" si="19"/>
        <v>22</v>
      </c>
      <c r="E48" s="718">
        <f t="shared" si="19"/>
        <v>22</v>
      </c>
      <c r="F48" s="718">
        <f t="shared" si="19"/>
        <v>22</v>
      </c>
      <c r="G48" s="718">
        <f t="shared" si="19"/>
        <v>22</v>
      </c>
      <c r="H48" s="718">
        <f t="shared" si="19"/>
        <v>22</v>
      </c>
      <c r="I48" s="718">
        <f t="shared" si="19"/>
        <v>22</v>
      </c>
      <c r="J48" s="718">
        <f t="shared" si="19"/>
        <v>22</v>
      </c>
      <c r="K48" s="718">
        <f t="shared" si="19"/>
        <v>22</v>
      </c>
      <c r="L48" s="718">
        <f t="shared" ref="L48:AG48" si="20">22-L50-L49</f>
        <v>22</v>
      </c>
      <c r="M48" s="718">
        <f t="shared" si="20"/>
        <v>22</v>
      </c>
      <c r="N48" s="718">
        <f t="shared" si="20"/>
        <v>22</v>
      </c>
      <c r="O48" s="718">
        <f t="shared" si="20"/>
        <v>22</v>
      </c>
      <c r="P48" s="718">
        <f t="shared" si="20"/>
        <v>22</v>
      </c>
      <c r="Q48" s="718">
        <f t="shared" si="20"/>
        <v>22</v>
      </c>
      <c r="R48" s="718">
        <f t="shared" si="20"/>
        <v>22</v>
      </c>
      <c r="S48" s="718">
        <f t="shared" si="20"/>
        <v>22</v>
      </c>
      <c r="T48" s="718">
        <f t="shared" si="20"/>
        <v>22</v>
      </c>
      <c r="U48" s="718">
        <f t="shared" si="20"/>
        <v>22</v>
      </c>
      <c r="V48" s="718">
        <f t="shared" si="20"/>
        <v>22</v>
      </c>
      <c r="W48" s="718">
        <f t="shared" si="20"/>
        <v>22</v>
      </c>
      <c r="X48" s="718">
        <f t="shared" si="20"/>
        <v>22</v>
      </c>
      <c r="Y48" s="718">
        <f t="shared" si="20"/>
        <v>22</v>
      </c>
      <c r="Z48" s="718">
        <f t="shared" si="20"/>
        <v>22</v>
      </c>
      <c r="AA48" s="718">
        <f t="shared" si="20"/>
        <v>22</v>
      </c>
      <c r="AB48" s="718">
        <f t="shared" si="20"/>
        <v>22</v>
      </c>
      <c r="AC48" s="718">
        <f t="shared" si="20"/>
        <v>22</v>
      </c>
      <c r="AD48" s="718">
        <f t="shared" si="20"/>
        <v>22</v>
      </c>
      <c r="AE48" s="718">
        <f t="shared" si="20"/>
        <v>22</v>
      </c>
      <c r="AF48" s="718">
        <f t="shared" si="20"/>
        <v>22</v>
      </c>
      <c r="AG48" s="718">
        <f t="shared" si="20"/>
        <v>22</v>
      </c>
      <c r="AH48" s="717">
        <f>AVERAGE(C48:AG48)</f>
        <v>22</v>
      </c>
    </row>
    <row r="49" spans="2:34" hidden="1">
      <c r="B49" s="392" t="s">
        <v>342</v>
      </c>
      <c r="C49" s="644">
        <f>Actual!F182</f>
        <v>0</v>
      </c>
      <c r="D49" s="644">
        <f>Actual!G182</f>
        <v>0</v>
      </c>
      <c r="E49" s="644">
        <f>Actual!H182</f>
        <v>0</v>
      </c>
      <c r="F49" s="644">
        <f>Actual!I182</f>
        <v>0</v>
      </c>
      <c r="G49" s="644">
        <f>Actual!J182</f>
        <v>0</v>
      </c>
      <c r="H49" s="644">
        <f>Actual!K182</f>
        <v>0</v>
      </c>
      <c r="I49" s="644">
        <f>Actual!L182</f>
        <v>0</v>
      </c>
      <c r="J49" s="644">
        <f>Actual!M182</f>
        <v>0</v>
      </c>
      <c r="K49" s="644">
        <f>Actual!N182</f>
        <v>0</v>
      </c>
      <c r="L49" s="644">
        <f>Actual!O182</f>
        <v>0</v>
      </c>
      <c r="M49" s="644">
        <f>Actual!P182</f>
        <v>0</v>
      </c>
      <c r="N49" s="644">
        <f>Actual!Q182</f>
        <v>0</v>
      </c>
      <c r="O49" s="644">
        <f>Actual!R182</f>
        <v>0</v>
      </c>
      <c r="P49" s="644">
        <f>Actual!S182</f>
        <v>0</v>
      </c>
      <c r="Q49" s="644">
        <f>Actual!T182</f>
        <v>0</v>
      </c>
      <c r="R49" s="644">
        <f>Actual!U182</f>
        <v>0</v>
      </c>
      <c r="S49" s="644">
        <f>Actual!V182</f>
        <v>0</v>
      </c>
      <c r="T49" s="644">
        <f>Actual!W182</f>
        <v>0</v>
      </c>
      <c r="U49" s="644">
        <f>Actual!X182</f>
        <v>0</v>
      </c>
      <c r="V49" s="644">
        <f>Actual!Y182</f>
        <v>0</v>
      </c>
      <c r="W49" s="644">
        <f>Actual!Z182</f>
        <v>0</v>
      </c>
      <c r="X49" s="644">
        <f>Actual!AA182</f>
        <v>0</v>
      </c>
      <c r="Y49" s="644">
        <f>Actual!AB182</f>
        <v>0</v>
      </c>
      <c r="Z49" s="644">
        <f>Actual!AC182</f>
        <v>0</v>
      </c>
      <c r="AA49" s="644">
        <f>Actual!AD182</f>
        <v>0</v>
      </c>
      <c r="AB49" s="644">
        <f>Actual!AE182</f>
        <v>0</v>
      </c>
      <c r="AC49" s="644">
        <f>Actual!AF182</f>
        <v>0</v>
      </c>
      <c r="AD49" s="644">
        <f>Actual!AG182</f>
        <v>0</v>
      </c>
      <c r="AE49" s="644">
        <f>Actual!AH182</f>
        <v>0</v>
      </c>
      <c r="AF49" s="644">
        <f>Actual!AI182</f>
        <v>0</v>
      </c>
      <c r="AG49" s="644">
        <f>Actual!AJ182</f>
        <v>0</v>
      </c>
      <c r="AH49" s="717">
        <f>SUM(C49:AG49)</f>
        <v>0</v>
      </c>
    </row>
    <row r="50" spans="2:34" hidden="1">
      <c r="B50" s="392" t="s">
        <v>343</v>
      </c>
      <c r="C50" s="644">
        <f>Actual!F189</f>
        <v>0</v>
      </c>
      <c r="D50" s="644">
        <f>Actual!G189</f>
        <v>0</v>
      </c>
      <c r="E50" s="644">
        <f>Actual!H189</f>
        <v>0</v>
      </c>
      <c r="F50" s="644">
        <f>Actual!I189</f>
        <v>0</v>
      </c>
      <c r="G50" s="644">
        <f>Actual!J189</f>
        <v>0</v>
      </c>
      <c r="H50" s="644">
        <f>Actual!K189</f>
        <v>0</v>
      </c>
      <c r="I50" s="644">
        <f>Actual!L189</f>
        <v>0</v>
      </c>
      <c r="J50" s="644">
        <f>Actual!M189</f>
        <v>0</v>
      </c>
      <c r="K50" s="644">
        <f>Actual!N189</f>
        <v>0</v>
      </c>
      <c r="L50" s="644">
        <f>Actual!O189</f>
        <v>0</v>
      </c>
      <c r="M50" s="644">
        <f>Actual!P189</f>
        <v>0</v>
      </c>
      <c r="N50" s="644">
        <f>Actual!Q189</f>
        <v>0</v>
      </c>
      <c r="O50" s="644">
        <f>Actual!R189</f>
        <v>0</v>
      </c>
      <c r="P50" s="644">
        <f>Actual!S189</f>
        <v>0</v>
      </c>
      <c r="Q50" s="644">
        <f>Actual!T189</f>
        <v>0</v>
      </c>
      <c r="R50" s="644">
        <f>Actual!U189</f>
        <v>0</v>
      </c>
      <c r="S50" s="644">
        <f>Actual!V189</f>
        <v>0</v>
      </c>
      <c r="T50" s="644">
        <f>Actual!W189</f>
        <v>0</v>
      </c>
      <c r="U50" s="644">
        <f>Actual!X189</f>
        <v>0</v>
      </c>
      <c r="V50" s="644">
        <f>Actual!Y189</f>
        <v>0</v>
      </c>
      <c r="W50" s="644">
        <f>Actual!Z189</f>
        <v>0</v>
      </c>
      <c r="X50" s="644">
        <f>Actual!AA189</f>
        <v>0</v>
      </c>
      <c r="Y50" s="644">
        <f>Actual!AB189</f>
        <v>0</v>
      </c>
      <c r="Z50" s="644">
        <f>Actual!AC189</f>
        <v>0</v>
      </c>
      <c r="AA50" s="644">
        <f>Actual!AD189</f>
        <v>0</v>
      </c>
      <c r="AB50" s="644">
        <f>Actual!AE189</f>
        <v>0</v>
      </c>
      <c r="AC50" s="644">
        <f>Actual!AF189</f>
        <v>0</v>
      </c>
      <c r="AD50" s="644">
        <f>Actual!AG189</f>
        <v>0</v>
      </c>
      <c r="AE50" s="644">
        <f>Actual!AH189</f>
        <v>0</v>
      </c>
      <c r="AF50" s="644">
        <f>Actual!AI189</f>
        <v>0</v>
      </c>
      <c r="AG50" s="644">
        <f>Actual!AJ189</f>
        <v>0</v>
      </c>
      <c r="AH50" s="717">
        <f>SUM(C50:AG50)</f>
        <v>0</v>
      </c>
    </row>
    <row r="51" spans="2:34" hidden="1"/>
    <row r="52" spans="2:34" hidden="1"/>
    <row r="53" spans="2:34" hidden="1"/>
    <row r="54" spans="2:34" hidden="1"/>
    <row r="55" spans="2:34" hidden="1"/>
    <row r="56" spans="2:34" hidden="1"/>
    <row r="57" spans="2:34" hidden="1"/>
    <row r="58" spans="2:34" hidden="1"/>
    <row r="59" spans="2:34" hidden="1"/>
    <row r="60" spans="2:34" hidden="1"/>
    <row r="61" spans="2:34" hidden="1"/>
    <row r="62" spans="2:34" hidden="1"/>
    <row r="63" spans="2:34" hidden="1"/>
    <row r="64" spans="2:34" hidden="1"/>
    <row r="65" spans="5:5" hidden="1"/>
    <row r="66" spans="5:5" hidden="1"/>
    <row r="67" spans="5:5" hidden="1"/>
    <row r="71" spans="5:5">
      <c r="E71" s="362"/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B3:BAN31"/>
  <sheetViews>
    <sheetView showGridLines="0" zoomScaleNormal="100" workbookViewId="0">
      <pane xSplit="2" topLeftCell="C1" activePane="topRight" state="frozen"/>
      <selection pane="topRight" activeCell="AH33" sqref="AH33"/>
    </sheetView>
  </sheetViews>
  <sheetFormatPr defaultColWidth="9.28515625" defaultRowHeight="14.45"/>
  <cols>
    <col min="1" max="1" width="5.7109375" style="227" customWidth="1"/>
    <col min="2" max="2" width="25.42578125" style="227" customWidth="1"/>
    <col min="3" max="33" width="9.28515625" style="227" customWidth="1"/>
    <col min="34" max="34" width="10.7109375" style="227" customWidth="1"/>
    <col min="35" max="35" width="8.7109375" style="227" hidden="1" customWidth="1"/>
    <col min="36" max="383" width="9.28515625" style="227" hidden="1" customWidth="1"/>
    <col min="384" max="508" width="0" style="227" hidden="1" customWidth="1"/>
    <col min="509" max="509" width="10.28515625" style="227" hidden="1" customWidth="1"/>
    <col min="510" max="1391" width="0" style="227" hidden="1" customWidth="1"/>
    <col min="1392" max="16384" width="9.28515625" style="227"/>
  </cols>
  <sheetData>
    <row r="3" spans="2:1392">
      <c r="B3" s="1367" t="s">
        <v>344</v>
      </c>
      <c r="C3" s="1362" t="str">
        <f>+RIGHT(Actual!C2,6)</f>
        <v>Sep'26</v>
      </c>
      <c r="D3" s="1365"/>
      <c r="E3" s="1365"/>
      <c r="F3" s="1365"/>
      <c r="G3" s="1365"/>
      <c r="H3" s="1365"/>
      <c r="I3" s="1365"/>
      <c r="J3" s="1365"/>
      <c r="K3" s="1365"/>
      <c r="L3" s="1365"/>
      <c r="M3" s="1365"/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1365"/>
      <c r="Z3" s="1365"/>
      <c r="AA3" s="1365"/>
      <c r="AB3" s="1365"/>
      <c r="AC3" s="1365"/>
      <c r="AD3" s="1365"/>
      <c r="AE3" s="926"/>
      <c r="AF3" s="926"/>
      <c r="AG3" s="926"/>
      <c r="AH3" s="1369" t="str">
        <f>+Dashboard!E9</f>
        <v>07-Sep-26</v>
      </c>
      <c r="AI3" s="1362" t="s">
        <v>345</v>
      </c>
      <c r="AJ3" s="1365"/>
      <c r="AK3" s="1365"/>
      <c r="AL3" s="1365"/>
      <c r="AM3" s="1365"/>
      <c r="AN3" s="1365"/>
      <c r="AO3" s="1365"/>
      <c r="AP3" s="1365"/>
      <c r="AQ3" s="1365"/>
      <c r="AR3" s="1365"/>
      <c r="AS3" s="1365"/>
      <c r="AT3" s="1365"/>
      <c r="AU3" s="1365"/>
      <c r="AV3" s="1365"/>
      <c r="AW3" s="1365"/>
      <c r="AX3" s="1365"/>
      <c r="AY3" s="1365"/>
      <c r="AZ3" s="1365"/>
      <c r="BA3" s="1365"/>
      <c r="BB3" s="1365"/>
      <c r="BC3" s="1365"/>
      <c r="BD3" s="1365"/>
      <c r="BE3" s="1365"/>
      <c r="BF3" s="1365"/>
      <c r="BG3" s="1365"/>
      <c r="BH3" s="1365"/>
      <c r="BI3" s="1365"/>
      <c r="BJ3" s="1365"/>
      <c r="BK3" s="1363" t="str">
        <f>AI3</f>
        <v>February</v>
      </c>
      <c r="BL3" s="1362" t="s">
        <v>346</v>
      </c>
      <c r="BM3" s="1365"/>
      <c r="BN3" s="1365"/>
      <c r="BO3" s="1365"/>
      <c r="BP3" s="1365"/>
      <c r="BQ3" s="1365"/>
      <c r="BR3" s="1365"/>
      <c r="BS3" s="1365"/>
      <c r="BT3" s="1365"/>
      <c r="BU3" s="1365"/>
      <c r="BV3" s="1365"/>
      <c r="BW3" s="1365"/>
      <c r="BX3" s="1365"/>
      <c r="BY3" s="1365"/>
      <c r="BZ3" s="1365"/>
      <c r="CA3" s="1365"/>
      <c r="CB3" s="1365"/>
      <c r="CC3" s="1365"/>
      <c r="CD3" s="1365"/>
      <c r="CE3" s="1365"/>
      <c r="CF3" s="1365"/>
      <c r="CG3" s="1365"/>
      <c r="CH3" s="1365"/>
      <c r="CI3" s="1365"/>
      <c r="CJ3" s="1365"/>
      <c r="CK3" s="1365"/>
      <c r="CL3" s="1365"/>
      <c r="CM3" s="1365"/>
      <c r="CN3" s="926"/>
      <c r="CO3" s="926"/>
      <c r="CP3" s="926"/>
      <c r="CQ3" s="1363" t="str">
        <f>BL3</f>
        <v>March</v>
      </c>
      <c r="CR3" s="1362" t="s">
        <v>347</v>
      </c>
      <c r="CS3" s="1365"/>
      <c r="CT3" s="1365"/>
      <c r="CU3" s="1365"/>
      <c r="CV3" s="1365"/>
      <c r="CW3" s="1365"/>
      <c r="CX3" s="1365"/>
      <c r="CY3" s="1365"/>
      <c r="CZ3" s="1365"/>
      <c r="DA3" s="1365"/>
      <c r="DB3" s="1365"/>
      <c r="DC3" s="1365"/>
      <c r="DD3" s="1365"/>
      <c r="DE3" s="1365"/>
      <c r="DF3" s="1365"/>
      <c r="DG3" s="1365"/>
      <c r="DH3" s="1365"/>
      <c r="DI3" s="1365"/>
      <c r="DJ3" s="1365"/>
      <c r="DK3" s="1365"/>
      <c r="DL3" s="1365"/>
      <c r="DM3" s="1365"/>
      <c r="DN3" s="1365"/>
      <c r="DO3" s="1365"/>
      <c r="DP3" s="1365"/>
      <c r="DQ3" s="1365"/>
      <c r="DR3" s="1365"/>
      <c r="DS3" s="1365"/>
      <c r="DT3" s="926"/>
      <c r="DU3" s="926"/>
      <c r="DV3" s="926"/>
      <c r="DW3" s="1363" t="str">
        <f>CR3</f>
        <v>April</v>
      </c>
      <c r="DX3" s="1362" t="s">
        <v>139</v>
      </c>
      <c r="DY3" s="1365"/>
      <c r="DZ3" s="1365"/>
      <c r="EA3" s="1365"/>
      <c r="EB3" s="1365"/>
      <c r="EC3" s="1365"/>
      <c r="ED3" s="1365"/>
      <c r="EE3" s="1365"/>
      <c r="EF3" s="1365"/>
      <c r="EG3" s="1365"/>
      <c r="EH3" s="1365"/>
      <c r="EI3" s="1365"/>
      <c r="EJ3" s="1365"/>
      <c r="EK3" s="1365"/>
      <c r="EL3" s="1365"/>
      <c r="EM3" s="1365"/>
      <c r="EN3" s="1365"/>
      <c r="EO3" s="1365"/>
      <c r="EP3" s="1365"/>
      <c r="EQ3" s="1365"/>
      <c r="ER3" s="1365"/>
      <c r="ES3" s="1365"/>
      <c r="ET3" s="1365"/>
      <c r="EU3" s="1365"/>
      <c r="EV3" s="1365"/>
      <c r="EW3" s="1365"/>
      <c r="EX3" s="1365"/>
      <c r="EY3" s="1365"/>
      <c r="EZ3" s="926"/>
      <c r="FA3" s="926"/>
      <c r="FB3" s="926"/>
      <c r="FC3" s="1363" t="str">
        <f>DX3</f>
        <v>May</v>
      </c>
      <c r="FD3" s="1362" t="s">
        <v>348</v>
      </c>
      <c r="FE3" s="1365"/>
      <c r="FF3" s="1365"/>
      <c r="FG3" s="1365"/>
      <c r="FH3" s="1365"/>
      <c r="FI3" s="1365"/>
      <c r="FJ3" s="1365"/>
      <c r="FK3" s="1365"/>
      <c r="FL3" s="1365"/>
      <c r="FM3" s="1365"/>
      <c r="FN3" s="1365"/>
      <c r="FO3" s="1365"/>
      <c r="FP3" s="1365"/>
      <c r="FQ3" s="1365"/>
      <c r="FR3" s="1365"/>
      <c r="FS3" s="1365"/>
      <c r="FT3" s="1365"/>
      <c r="FU3" s="1365"/>
      <c r="FV3" s="1365"/>
      <c r="FW3" s="1365"/>
      <c r="FX3" s="1365"/>
      <c r="FY3" s="1365"/>
      <c r="FZ3" s="1365"/>
      <c r="GA3" s="1365"/>
      <c r="GB3" s="1365"/>
      <c r="GC3" s="1365"/>
      <c r="GD3" s="1365"/>
      <c r="GE3" s="1365"/>
      <c r="GF3" s="926"/>
      <c r="GG3" s="926"/>
      <c r="GH3" s="926"/>
      <c r="GI3" s="1363" t="str">
        <f>FD3</f>
        <v>June</v>
      </c>
      <c r="GJ3" s="1362" t="s">
        <v>349</v>
      </c>
      <c r="GK3" s="1365"/>
      <c r="GL3" s="1365"/>
      <c r="GM3" s="1365"/>
      <c r="GN3" s="1365"/>
      <c r="GO3" s="1365"/>
      <c r="GP3" s="1365"/>
      <c r="GQ3" s="1365"/>
      <c r="GR3" s="1365"/>
      <c r="GS3" s="1365"/>
      <c r="GT3" s="1365"/>
      <c r="GU3" s="1365"/>
      <c r="GV3" s="1365"/>
      <c r="GW3" s="1365"/>
      <c r="GX3" s="1365"/>
      <c r="GY3" s="1365"/>
      <c r="GZ3" s="1365"/>
      <c r="HA3" s="1365"/>
      <c r="HB3" s="1365"/>
      <c r="HC3" s="1365"/>
      <c r="HD3" s="1365"/>
      <c r="HE3" s="1365"/>
      <c r="HF3" s="1365"/>
      <c r="HG3" s="1365"/>
      <c r="HH3" s="1365"/>
      <c r="HI3" s="1365"/>
      <c r="HJ3" s="1365"/>
      <c r="HK3" s="1365"/>
      <c r="HL3" s="926"/>
      <c r="HM3" s="926"/>
      <c r="HN3" s="926"/>
      <c r="HO3" s="1363" t="str">
        <f>GJ3</f>
        <v>July</v>
      </c>
      <c r="HP3" s="1362" t="s">
        <v>350</v>
      </c>
      <c r="HQ3" s="1365"/>
      <c r="HR3" s="1365"/>
      <c r="HS3" s="1365"/>
      <c r="HT3" s="1365"/>
      <c r="HU3" s="1365"/>
      <c r="HV3" s="1365"/>
      <c r="HW3" s="1365"/>
      <c r="HX3" s="1365"/>
      <c r="HY3" s="1365"/>
      <c r="HZ3" s="1365"/>
      <c r="IA3" s="1365"/>
      <c r="IB3" s="1365"/>
      <c r="IC3" s="1365"/>
      <c r="ID3" s="1365"/>
      <c r="IE3" s="1365"/>
      <c r="IF3" s="1365"/>
      <c r="IG3" s="1365"/>
      <c r="IH3" s="1365"/>
      <c r="II3" s="1365"/>
      <c r="IJ3" s="1365"/>
      <c r="IK3" s="1365"/>
      <c r="IL3" s="1365"/>
      <c r="IM3" s="1365"/>
      <c r="IN3" s="1365"/>
      <c r="IO3" s="1365"/>
      <c r="IP3" s="1365"/>
      <c r="IQ3" s="1365"/>
      <c r="IR3" s="926"/>
      <c r="IS3" s="926"/>
      <c r="IT3" s="926"/>
      <c r="IU3" s="1363" t="s">
        <v>350</v>
      </c>
      <c r="IV3" s="1362" t="s">
        <v>351</v>
      </c>
      <c r="IW3" s="1365"/>
      <c r="IX3" s="1365"/>
      <c r="IY3" s="1365"/>
      <c r="IZ3" s="1365"/>
      <c r="JA3" s="1365"/>
      <c r="JB3" s="1365"/>
      <c r="JC3" s="1365"/>
      <c r="JD3" s="1365"/>
      <c r="JE3" s="1365"/>
      <c r="JF3" s="1365"/>
      <c r="JG3" s="1365"/>
      <c r="JH3" s="1365"/>
      <c r="JI3" s="1365"/>
      <c r="JJ3" s="1365"/>
      <c r="JK3" s="1365"/>
      <c r="JL3" s="1365"/>
      <c r="JM3" s="1365"/>
      <c r="JN3" s="1365"/>
      <c r="JO3" s="1365"/>
      <c r="JP3" s="1365"/>
      <c r="JQ3" s="1365"/>
      <c r="JR3" s="1365"/>
      <c r="JS3" s="1365"/>
      <c r="JT3" s="1365"/>
      <c r="JU3" s="1365"/>
      <c r="JV3" s="1365"/>
      <c r="JW3" s="1365"/>
      <c r="JX3" s="926"/>
      <c r="JY3" s="926"/>
      <c r="JZ3" s="926"/>
      <c r="KA3" s="1363" t="s">
        <v>351</v>
      </c>
      <c r="KB3" s="1362" t="s">
        <v>352</v>
      </c>
      <c r="KC3" s="1365"/>
      <c r="KD3" s="1365"/>
      <c r="KE3" s="1365"/>
      <c r="KF3" s="1365"/>
      <c r="KG3" s="1365"/>
      <c r="KH3" s="1365"/>
      <c r="KI3" s="1365"/>
      <c r="KJ3" s="1365"/>
      <c r="KK3" s="1365"/>
      <c r="KL3" s="1365"/>
      <c r="KM3" s="1365"/>
      <c r="KN3" s="1365"/>
      <c r="KO3" s="1365"/>
      <c r="KP3" s="1365"/>
      <c r="KQ3" s="1365"/>
      <c r="KR3" s="1365"/>
      <c r="KS3" s="1365"/>
      <c r="KT3" s="1365"/>
      <c r="KU3" s="1365"/>
      <c r="KV3" s="1365"/>
      <c r="KW3" s="1365"/>
      <c r="KX3" s="1365"/>
      <c r="KY3" s="1365"/>
      <c r="KZ3" s="1365"/>
      <c r="LA3" s="1365"/>
      <c r="LB3" s="1365"/>
      <c r="LC3" s="1365"/>
      <c r="LD3" s="926"/>
      <c r="LE3" s="926"/>
      <c r="LF3" s="926"/>
      <c r="LG3" s="1363" t="s">
        <v>352</v>
      </c>
      <c r="LH3" s="1362" t="s">
        <v>353</v>
      </c>
      <c r="LI3" s="1365"/>
      <c r="LJ3" s="1365"/>
      <c r="LK3" s="1365"/>
      <c r="LL3" s="1365"/>
      <c r="LM3" s="1365"/>
      <c r="LN3" s="1365"/>
      <c r="LO3" s="1365"/>
      <c r="LP3" s="1365"/>
      <c r="LQ3" s="1365"/>
      <c r="LR3" s="1365"/>
      <c r="LS3" s="1365"/>
      <c r="LT3" s="1365"/>
      <c r="LU3" s="1365"/>
      <c r="LV3" s="1365"/>
      <c r="LW3" s="1365"/>
      <c r="LX3" s="1365"/>
      <c r="LY3" s="1365"/>
      <c r="LZ3" s="1365"/>
      <c r="MA3" s="1365"/>
      <c r="MB3" s="1365"/>
      <c r="MC3" s="1365"/>
      <c r="MD3" s="1365"/>
      <c r="ME3" s="1365"/>
      <c r="MF3" s="1365"/>
      <c r="MG3" s="1365"/>
      <c r="MH3" s="1365"/>
      <c r="MI3" s="1365"/>
      <c r="MJ3" s="926"/>
      <c r="MK3" s="926"/>
      <c r="ML3" s="926"/>
      <c r="MM3" s="1363" t="s">
        <v>353</v>
      </c>
      <c r="MN3" s="1362" t="s">
        <v>354</v>
      </c>
      <c r="MO3" s="1365"/>
      <c r="MP3" s="1365"/>
      <c r="MQ3" s="1365"/>
      <c r="MR3" s="1365"/>
      <c r="MS3" s="1365"/>
      <c r="MT3" s="1365"/>
      <c r="MU3" s="1365"/>
      <c r="MV3" s="1365"/>
      <c r="MW3" s="1365"/>
      <c r="MX3" s="1365"/>
      <c r="MY3" s="1365"/>
      <c r="MZ3" s="1365"/>
      <c r="NA3" s="1365"/>
      <c r="NB3" s="1365"/>
      <c r="NC3" s="1365"/>
      <c r="ND3" s="1365"/>
      <c r="NE3" s="1365"/>
      <c r="NF3" s="1365"/>
      <c r="NG3" s="1365"/>
      <c r="NH3" s="1365"/>
      <c r="NI3" s="1365"/>
      <c r="NJ3" s="1365"/>
      <c r="NK3" s="1365"/>
      <c r="NL3" s="1365"/>
      <c r="NM3" s="1365"/>
      <c r="NN3" s="1365"/>
      <c r="NO3" s="1365"/>
      <c r="NP3" s="926"/>
      <c r="NQ3" s="926"/>
      <c r="NR3" s="926"/>
      <c r="NS3" s="1363" t="s">
        <v>354</v>
      </c>
      <c r="NT3" s="1361" t="s">
        <v>346</v>
      </c>
      <c r="NU3" s="1362"/>
      <c r="NV3" s="1362"/>
      <c r="NW3" s="1362"/>
      <c r="NX3" s="1362"/>
      <c r="NY3" s="1362"/>
      <c r="NZ3" s="1362"/>
      <c r="OA3" s="1362"/>
      <c r="OB3" s="1362"/>
      <c r="OC3" s="1362"/>
      <c r="OD3" s="1362"/>
      <c r="OE3" s="1362"/>
      <c r="OF3" s="1362"/>
      <c r="OG3" s="1362"/>
      <c r="OH3" s="1362"/>
      <c r="OI3" s="1362"/>
      <c r="OJ3" s="1362"/>
      <c r="OK3" s="1362"/>
      <c r="OL3" s="1362"/>
      <c r="OM3" s="1362"/>
      <c r="ON3" s="1362"/>
      <c r="OO3" s="1362"/>
      <c r="OP3" s="1362"/>
      <c r="OQ3" s="1362"/>
      <c r="OR3" s="1362"/>
      <c r="OS3" s="1362"/>
      <c r="OT3" s="1362"/>
      <c r="OU3" s="1362"/>
      <c r="OV3" s="1362"/>
      <c r="OW3" s="1362"/>
      <c r="OX3" s="1366"/>
      <c r="OY3" s="1363" t="s">
        <v>346</v>
      </c>
      <c r="OZ3" s="1361" t="s">
        <v>347</v>
      </c>
      <c r="PA3" s="1362"/>
      <c r="PB3" s="1362"/>
      <c r="PC3" s="1362"/>
      <c r="PD3" s="1362"/>
      <c r="PE3" s="1362"/>
      <c r="PF3" s="1362"/>
      <c r="PG3" s="1362"/>
      <c r="PH3" s="1362"/>
      <c r="PI3" s="1362"/>
      <c r="PJ3" s="1362"/>
      <c r="PK3" s="1362"/>
      <c r="PL3" s="1362"/>
      <c r="PM3" s="1362"/>
      <c r="PN3" s="1362"/>
      <c r="PO3" s="1362"/>
      <c r="PP3" s="1362"/>
      <c r="PQ3" s="1362"/>
      <c r="PR3" s="1362"/>
      <c r="PS3" s="1362"/>
      <c r="PT3" s="1362"/>
      <c r="PU3" s="1362"/>
      <c r="PV3" s="1362"/>
      <c r="PW3" s="1362"/>
      <c r="PX3" s="1362"/>
      <c r="PY3" s="1362"/>
      <c r="PZ3" s="1362"/>
      <c r="QA3" s="1362"/>
      <c r="QB3" s="1362"/>
      <c r="QC3" s="1362"/>
      <c r="QD3" s="1363" t="s">
        <v>347</v>
      </c>
      <c r="QE3" s="1361" t="s">
        <v>139</v>
      </c>
      <c r="QF3" s="1362"/>
      <c r="QG3" s="1362"/>
      <c r="QH3" s="1362"/>
      <c r="QI3" s="1362"/>
      <c r="QJ3" s="1362"/>
      <c r="QK3" s="1362"/>
      <c r="QL3" s="1362"/>
      <c r="QM3" s="1362"/>
      <c r="QN3" s="1362"/>
      <c r="QO3" s="1362"/>
      <c r="QP3" s="1362"/>
      <c r="QQ3" s="1362"/>
      <c r="QR3" s="1362"/>
      <c r="QS3" s="1362"/>
      <c r="QT3" s="1362"/>
      <c r="QU3" s="1362"/>
      <c r="QV3" s="1362"/>
      <c r="QW3" s="1362"/>
      <c r="QX3" s="1362"/>
      <c r="QY3" s="1362"/>
      <c r="QZ3" s="1362"/>
      <c r="RA3" s="1362"/>
      <c r="RB3" s="1362"/>
      <c r="RC3" s="1362"/>
      <c r="RD3" s="1362"/>
      <c r="RE3" s="1362"/>
      <c r="RF3" s="1362"/>
      <c r="RG3" s="1362"/>
      <c r="RH3" s="1362"/>
      <c r="RI3" s="927"/>
      <c r="RJ3" s="1363" t="s">
        <v>139</v>
      </c>
      <c r="RK3" s="1361" t="s">
        <v>348</v>
      </c>
      <c r="RL3" s="1362"/>
      <c r="RM3" s="1362"/>
      <c r="RN3" s="1362"/>
      <c r="RO3" s="1362"/>
      <c r="RP3" s="1362"/>
      <c r="RQ3" s="1362"/>
      <c r="RR3" s="1362"/>
      <c r="RS3" s="1362"/>
      <c r="RT3" s="1362"/>
      <c r="RU3" s="1362"/>
      <c r="RV3" s="1362"/>
      <c r="RW3" s="1362"/>
      <c r="RX3" s="1362"/>
      <c r="RY3" s="1362"/>
      <c r="RZ3" s="1362"/>
      <c r="SA3" s="1362"/>
      <c r="SB3" s="1362"/>
      <c r="SC3" s="1362"/>
      <c r="SD3" s="1362"/>
      <c r="SE3" s="1362"/>
      <c r="SF3" s="1362"/>
      <c r="SG3" s="1362"/>
      <c r="SH3" s="1362"/>
      <c r="SI3" s="1362"/>
      <c r="SJ3" s="1362"/>
      <c r="SK3" s="1362"/>
      <c r="SL3" s="1362"/>
      <c r="SM3" s="1362"/>
      <c r="SN3" s="1362"/>
      <c r="SO3" s="1363" t="s">
        <v>348</v>
      </c>
      <c r="SP3" s="1361" t="s">
        <v>349</v>
      </c>
      <c r="SQ3" s="1362"/>
      <c r="SR3" s="1362"/>
      <c r="SS3" s="1362"/>
      <c r="ST3" s="1362"/>
      <c r="SU3" s="1362"/>
      <c r="SV3" s="1362"/>
      <c r="SW3" s="1362"/>
      <c r="SX3" s="1362"/>
      <c r="SY3" s="1362"/>
      <c r="SZ3" s="1362"/>
      <c r="TA3" s="1362"/>
      <c r="TB3" s="1362"/>
      <c r="TC3" s="1362"/>
      <c r="TD3" s="1362"/>
      <c r="TE3" s="1362"/>
      <c r="TF3" s="1362"/>
      <c r="TG3" s="1362"/>
      <c r="TH3" s="1362"/>
      <c r="TI3" s="1362"/>
      <c r="TJ3" s="1362"/>
      <c r="TK3" s="1362"/>
      <c r="TL3" s="1362"/>
      <c r="TM3" s="1362"/>
      <c r="TN3" s="1362"/>
      <c r="TO3" s="1362"/>
      <c r="TP3" s="1362"/>
      <c r="TQ3" s="1362"/>
      <c r="TR3" s="1362"/>
      <c r="TS3" s="1362"/>
      <c r="TT3" s="1362"/>
      <c r="TU3" s="1363" t="s">
        <v>349</v>
      </c>
      <c r="TV3" s="1361" t="s">
        <v>350</v>
      </c>
      <c r="TW3" s="1362"/>
      <c r="TX3" s="1362"/>
      <c r="TY3" s="1362"/>
      <c r="TZ3" s="1362"/>
      <c r="UA3" s="1362"/>
      <c r="UB3" s="1362"/>
      <c r="UC3" s="1362"/>
      <c r="UD3" s="1362"/>
      <c r="UE3" s="1362"/>
      <c r="UF3" s="1362"/>
      <c r="UG3" s="1362"/>
      <c r="UH3" s="1362"/>
      <c r="UI3" s="1362"/>
      <c r="UJ3" s="1362"/>
      <c r="UK3" s="1362"/>
      <c r="UL3" s="1362"/>
      <c r="UM3" s="1362"/>
      <c r="UN3" s="1362"/>
      <c r="UO3" s="1362"/>
      <c r="UP3" s="1362"/>
      <c r="UQ3" s="1362"/>
      <c r="UR3" s="1362"/>
      <c r="US3" s="1362"/>
      <c r="UT3" s="1362"/>
      <c r="UU3" s="1362"/>
      <c r="UV3" s="1362"/>
      <c r="UW3" s="1362"/>
      <c r="UX3" s="1362"/>
      <c r="UY3" s="1362"/>
      <c r="UZ3" s="1362"/>
      <c r="VA3" s="1363" t="s">
        <v>350</v>
      </c>
      <c r="VB3" s="1361" t="s">
        <v>351</v>
      </c>
      <c r="VC3" s="1362"/>
      <c r="VD3" s="1362"/>
      <c r="VE3" s="1362"/>
      <c r="VF3" s="1362"/>
      <c r="VG3" s="1362"/>
      <c r="VH3" s="1362"/>
      <c r="VI3" s="1362"/>
      <c r="VJ3" s="1362"/>
      <c r="VK3" s="1362"/>
      <c r="VL3" s="1362"/>
      <c r="VM3" s="1362"/>
      <c r="VN3" s="1362"/>
      <c r="VO3" s="1362"/>
      <c r="VP3" s="1362"/>
      <c r="VQ3" s="1362"/>
      <c r="VR3" s="1362"/>
      <c r="VS3" s="1362"/>
      <c r="VT3" s="1362"/>
      <c r="VU3" s="1362"/>
      <c r="VV3" s="1362"/>
      <c r="VW3" s="1362"/>
      <c r="VX3" s="1362"/>
      <c r="VY3" s="1362"/>
      <c r="VZ3" s="1362"/>
      <c r="WA3" s="1362"/>
      <c r="WB3" s="1362"/>
      <c r="WC3" s="1362"/>
      <c r="WD3" s="1362"/>
      <c r="WE3" s="1362"/>
      <c r="WF3" s="1363" t="s">
        <v>351</v>
      </c>
      <c r="WG3" s="1361" t="s">
        <v>352</v>
      </c>
      <c r="WH3" s="1362"/>
      <c r="WI3" s="1362"/>
      <c r="WJ3" s="1362"/>
      <c r="WK3" s="1362"/>
      <c r="WL3" s="1362"/>
      <c r="WM3" s="1362"/>
      <c r="WN3" s="1362"/>
      <c r="WO3" s="1362"/>
      <c r="WP3" s="1362"/>
      <c r="WQ3" s="1362"/>
      <c r="WR3" s="1362"/>
      <c r="WS3" s="1362"/>
      <c r="WT3" s="1362"/>
      <c r="WU3" s="1362"/>
      <c r="WV3" s="1362"/>
      <c r="WW3" s="1362"/>
      <c r="WX3" s="1362"/>
      <c r="WY3" s="1362"/>
      <c r="WZ3" s="1362"/>
      <c r="XA3" s="1362"/>
      <c r="XB3" s="1362"/>
      <c r="XC3" s="1362"/>
      <c r="XD3" s="1362"/>
      <c r="XE3" s="1362"/>
      <c r="XF3" s="1362"/>
      <c r="XG3" s="1362"/>
      <c r="XH3" s="1362"/>
      <c r="XI3" s="1362"/>
      <c r="XJ3" s="1362"/>
      <c r="XK3" s="927"/>
      <c r="XL3" s="1363" t="s">
        <v>352</v>
      </c>
      <c r="XM3" s="1361" t="s">
        <v>353</v>
      </c>
      <c r="XN3" s="1362"/>
      <c r="XO3" s="1362"/>
      <c r="XP3" s="1362"/>
      <c r="XQ3" s="1362"/>
      <c r="XR3" s="1362"/>
      <c r="XS3" s="1362"/>
      <c r="XT3" s="1362"/>
      <c r="XU3" s="1362"/>
      <c r="XV3" s="1362"/>
      <c r="XW3" s="1362"/>
      <c r="XX3" s="1362"/>
      <c r="XY3" s="1362"/>
      <c r="XZ3" s="1362"/>
      <c r="YA3" s="1362"/>
      <c r="YB3" s="1362"/>
      <c r="YC3" s="1362"/>
      <c r="YD3" s="1362"/>
      <c r="YE3" s="1362"/>
      <c r="YF3" s="1362"/>
      <c r="YG3" s="1362"/>
      <c r="YH3" s="1362"/>
      <c r="YI3" s="1362"/>
      <c r="YJ3" s="1362"/>
      <c r="YK3" s="1362"/>
      <c r="YL3" s="1362"/>
      <c r="YM3" s="1362"/>
      <c r="YN3" s="1362"/>
      <c r="YO3" s="1362"/>
      <c r="YP3" s="1362"/>
      <c r="YQ3" s="927"/>
      <c r="YR3" s="1363" t="s">
        <v>353</v>
      </c>
      <c r="YS3" s="1361" t="s">
        <v>354</v>
      </c>
      <c r="YT3" s="1362"/>
      <c r="YU3" s="1362"/>
      <c r="YV3" s="1362"/>
      <c r="YW3" s="1362"/>
      <c r="YX3" s="1362"/>
      <c r="YY3" s="1362"/>
      <c r="YZ3" s="1362"/>
      <c r="ZA3" s="1362"/>
      <c r="ZB3" s="1362"/>
      <c r="ZC3" s="1362"/>
      <c r="ZD3" s="1362"/>
      <c r="ZE3" s="1362"/>
      <c r="ZF3" s="1362"/>
      <c r="ZG3" s="1362"/>
      <c r="ZH3" s="1362"/>
      <c r="ZI3" s="1362"/>
      <c r="ZJ3" s="1362"/>
      <c r="ZK3" s="1362"/>
      <c r="ZL3" s="1362"/>
      <c r="ZM3" s="1362"/>
      <c r="ZN3" s="1362"/>
      <c r="ZO3" s="1362"/>
      <c r="ZP3" s="1362"/>
      <c r="ZQ3" s="1362"/>
      <c r="ZR3" s="1362"/>
      <c r="ZS3" s="1362"/>
      <c r="ZT3" s="1362"/>
      <c r="ZU3" s="1362"/>
      <c r="ZV3" s="1362"/>
      <c r="ZW3" s="927"/>
      <c r="ZX3" s="1363" t="s">
        <v>354</v>
      </c>
      <c r="ZY3" s="1362" t="s">
        <v>345</v>
      </c>
      <c r="ZZ3" s="1365"/>
      <c r="AAA3" s="1365"/>
      <c r="AAB3" s="1365"/>
      <c r="AAC3" s="1365"/>
      <c r="AAD3" s="1365"/>
      <c r="AAE3" s="1365"/>
      <c r="AAF3" s="1365"/>
      <c r="AAG3" s="1365"/>
      <c r="AAH3" s="1365"/>
      <c r="AAI3" s="1365"/>
      <c r="AAJ3" s="1365"/>
      <c r="AAK3" s="1365"/>
      <c r="AAL3" s="1365"/>
      <c r="AAM3" s="1365"/>
      <c r="AAN3" s="1365"/>
      <c r="AAO3" s="1365"/>
      <c r="AAP3" s="1365"/>
      <c r="AAQ3" s="1365"/>
      <c r="AAR3" s="1365"/>
      <c r="AAS3" s="1365"/>
      <c r="AAT3" s="1365"/>
      <c r="AAU3" s="1365"/>
      <c r="AAV3" s="1365"/>
      <c r="AAW3" s="1365"/>
      <c r="AAX3" s="1365"/>
      <c r="AAY3" s="1365"/>
      <c r="AAZ3" s="1365"/>
      <c r="ABA3" s="1363" t="str">
        <f>ZY3</f>
        <v>February</v>
      </c>
      <c r="ABB3" s="1362" t="s">
        <v>346</v>
      </c>
      <c r="ABC3" s="1365"/>
      <c r="ABD3" s="1365"/>
      <c r="ABE3" s="1365"/>
      <c r="ABF3" s="1365"/>
      <c r="ABG3" s="1365"/>
      <c r="ABH3" s="1365"/>
      <c r="ABI3" s="1365"/>
      <c r="ABJ3" s="1365"/>
      <c r="ABK3" s="1365"/>
      <c r="ABL3" s="1365"/>
      <c r="ABM3" s="1365"/>
      <c r="ABN3" s="1365"/>
      <c r="ABO3" s="1365"/>
      <c r="ABP3" s="1365"/>
      <c r="ABQ3" s="1365"/>
      <c r="ABR3" s="1365"/>
      <c r="ABS3" s="1365"/>
      <c r="ABT3" s="1365"/>
      <c r="ABU3" s="1365"/>
      <c r="ABV3" s="1365"/>
      <c r="ABW3" s="1365"/>
      <c r="ABX3" s="1365"/>
      <c r="ABY3" s="1365"/>
      <c r="ABZ3" s="1365"/>
      <c r="ACA3" s="1365"/>
      <c r="ACB3" s="1365"/>
      <c r="ACC3" s="1365"/>
      <c r="ACD3" s="1365"/>
      <c r="ACE3" s="1365"/>
      <c r="ACF3" s="1365"/>
      <c r="ACG3" s="1363" t="str">
        <f>ABB3</f>
        <v>March</v>
      </c>
      <c r="ACH3" s="1362" t="s">
        <v>347</v>
      </c>
      <c r="ACI3" s="1365"/>
      <c r="ACJ3" s="1365"/>
      <c r="ACK3" s="1365"/>
      <c r="ACL3" s="1365"/>
      <c r="ACM3" s="1365"/>
      <c r="ACN3" s="1365"/>
      <c r="ACO3" s="1365"/>
      <c r="ACP3" s="1365"/>
      <c r="ACQ3" s="1365"/>
      <c r="ACR3" s="1365"/>
      <c r="ACS3" s="1365"/>
      <c r="ACT3" s="1365"/>
      <c r="ACU3" s="1365"/>
      <c r="ACV3" s="1365"/>
      <c r="ACW3" s="1365"/>
      <c r="ACX3" s="1365"/>
      <c r="ACY3" s="1365"/>
      <c r="ACZ3" s="1365"/>
      <c r="ADA3" s="1365"/>
      <c r="ADB3" s="1365"/>
      <c r="ADC3" s="1365"/>
      <c r="ADD3" s="1365"/>
      <c r="ADE3" s="1365"/>
      <c r="ADF3" s="1365"/>
      <c r="ADG3" s="1365"/>
      <c r="ADH3" s="1365"/>
      <c r="ADI3" s="1365"/>
      <c r="ADJ3" s="1365"/>
      <c r="ADK3" s="1365"/>
      <c r="ADL3" s="1365"/>
      <c r="ADM3" s="1363" t="str">
        <f>ACH3</f>
        <v>April</v>
      </c>
      <c r="ADN3" s="1362" t="s">
        <v>139</v>
      </c>
      <c r="ADO3" s="1365"/>
      <c r="ADP3" s="1365"/>
      <c r="ADQ3" s="1365"/>
      <c r="ADR3" s="1365"/>
      <c r="ADS3" s="1365"/>
      <c r="ADT3" s="1365"/>
      <c r="ADU3" s="1365"/>
      <c r="ADV3" s="1365"/>
      <c r="ADW3" s="1365"/>
      <c r="ADX3" s="1365"/>
      <c r="ADY3" s="1365"/>
      <c r="ADZ3" s="1365"/>
      <c r="AEA3" s="1365"/>
      <c r="AEB3" s="1365"/>
      <c r="AEC3" s="1365"/>
      <c r="AED3" s="1365"/>
      <c r="AEE3" s="1365"/>
      <c r="AEF3" s="1365"/>
      <c r="AEG3" s="1365"/>
      <c r="AEH3" s="1365"/>
      <c r="AEI3" s="1365"/>
      <c r="AEJ3" s="1365"/>
      <c r="AEK3" s="1365"/>
      <c r="AEL3" s="1365"/>
      <c r="AEM3" s="1365"/>
      <c r="AEN3" s="1365"/>
      <c r="AEO3" s="1365"/>
      <c r="AEP3" s="1365"/>
      <c r="AEQ3" s="1365"/>
      <c r="AER3" s="1365"/>
      <c r="AES3" s="1363" t="str">
        <f>ADN3</f>
        <v>May</v>
      </c>
      <c r="AET3" s="1362" t="s">
        <v>348</v>
      </c>
      <c r="AEU3" s="1365"/>
      <c r="AEV3" s="1365"/>
      <c r="AEW3" s="1365"/>
      <c r="AEX3" s="1365"/>
      <c r="AEY3" s="1365"/>
      <c r="AEZ3" s="1365"/>
      <c r="AFA3" s="1365"/>
      <c r="AFB3" s="1365"/>
      <c r="AFC3" s="1365"/>
      <c r="AFD3" s="1365"/>
      <c r="AFE3" s="1365"/>
      <c r="AFF3" s="1365"/>
      <c r="AFG3" s="1365"/>
      <c r="AFH3" s="1365"/>
      <c r="AFI3" s="1365"/>
      <c r="AFJ3" s="1365"/>
      <c r="AFK3" s="1365"/>
      <c r="AFL3" s="1365"/>
      <c r="AFM3" s="1365"/>
      <c r="AFN3" s="1365"/>
      <c r="AFO3" s="1365"/>
      <c r="AFP3" s="1365"/>
      <c r="AFQ3" s="1365"/>
      <c r="AFR3" s="1365"/>
      <c r="AFS3" s="1365"/>
      <c r="AFT3" s="1365"/>
      <c r="AFU3" s="1365"/>
      <c r="AFV3" s="1365"/>
      <c r="AFW3" s="1365"/>
      <c r="AFX3" s="1363" t="str">
        <f>AET3</f>
        <v>June</v>
      </c>
      <c r="AFY3" s="1362" t="s">
        <v>349</v>
      </c>
      <c r="AFZ3" s="1365"/>
      <c r="AGA3" s="1365"/>
      <c r="AGB3" s="1365"/>
      <c r="AGC3" s="1365"/>
      <c r="AGD3" s="1365"/>
      <c r="AGE3" s="1365"/>
      <c r="AGF3" s="1365"/>
      <c r="AGG3" s="1365"/>
      <c r="AGH3" s="1365"/>
      <c r="AGI3" s="1365"/>
      <c r="AGJ3" s="1365"/>
      <c r="AGK3" s="1365"/>
      <c r="AGL3" s="1365"/>
      <c r="AGM3" s="1365"/>
      <c r="AGN3" s="1365"/>
      <c r="AGO3" s="1365"/>
      <c r="AGP3" s="1365"/>
      <c r="AGQ3" s="1365"/>
      <c r="AGR3" s="1365"/>
      <c r="AGS3" s="1365"/>
      <c r="AGT3" s="1365"/>
      <c r="AGU3" s="1365"/>
      <c r="AGV3" s="1365"/>
      <c r="AGW3" s="1365"/>
      <c r="AGX3" s="1365"/>
      <c r="AGY3" s="1365"/>
      <c r="AGZ3" s="1365"/>
      <c r="AHA3" s="1365"/>
      <c r="AHB3" s="1365"/>
      <c r="AHC3" s="1365"/>
      <c r="AHD3" s="1363" t="s">
        <v>349</v>
      </c>
      <c r="AHE3" s="1362" t="s">
        <v>350</v>
      </c>
      <c r="AHF3" s="1365"/>
      <c r="AHG3" s="1365"/>
      <c r="AHH3" s="1365"/>
      <c r="AHI3" s="1365"/>
      <c r="AHJ3" s="1365"/>
      <c r="AHK3" s="1365"/>
      <c r="AHL3" s="1365"/>
      <c r="AHM3" s="1365"/>
      <c r="AHN3" s="1365"/>
      <c r="AHO3" s="1365"/>
      <c r="AHP3" s="1365"/>
      <c r="AHQ3" s="1365"/>
      <c r="AHR3" s="1365"/>
      <c r="AHS3" s="1365"/>
      <c r="AHT3" s="1365"/>
      <c r="AHU3" s="1365"/>
      <c r="AHV3" s="1365"/>
      <c r="AHW3" s="1365"/>
      <c r="AHX3" s="1365"/>
      <c r="AHY3" s="1365"/>
      <c r="AHZ3" s="1365"/>
      <c r="AIA3" s="1365"/>
      <c r="AIB3" s="1365"/>
      <c r="AIC3" s="1365"/>
      <c r="AID3" s="1365"/>
      <c r="AIE3" s="1365"/>
      <c r="AIF3" s="1365"/>
      <c r="AIG3" s="1365"/>
      <c r="AIH3" s="1365"/>
      <c r="AII3" s="1365"/>
      <c r="AIJ3" s="1363" t="s">
        <v>350</v>
      </c>
      <c r="AIK3" s="1362" t="s">
        <v>351</v>
      </c>
      <c r="AIL3" s="1365"/>
      <c r="AIM3" s="1365"/>
      <c r="AIN3" s="1365"/>
      <c r="AIO3" s="1365"/>
      <c r="AIP3" s="1365"/>
      <c r="AIQ3" s="1365"/>
      <c r="AIR3" s="1365"/>
      <c r="AIS3" s="1365"/>
      <c r="AIT3" s="1365"/>
      <c r="AIU3" s="1365"/>
      <c r="AIV3" s="1365"/>
      <c r="AIW3" s="1365"/>
      <c r="AIX3" s="1365"/>
      <c r="AIY3" s="1365"/>
      <c r="AIZ3" s="1365"/>
      <c r="AJA3" s="1365"/>
      <c r="AJB3" s="1365"/>
      <c r="AJC3" s="1365"/>
      <c r="AJD3" s="1365"/>
      <c r="AJE3" s="1365"/>
      <c r="AJF3" s="1365"/>
      <c r="AJG3" s="1365"/>
      <c r="AJH3" s="1365"/>
      <c r="AJI3" s="1365"/>
      <c r="AJJ3" s="1365"/>
      <c r="AJK3" s="1365"/>
      <c r="AJL3" s="1365"/>
      <c r="AJM3" s="1365"/>
      <c r="AJN3" s="1365"/>
      <c r="AJO3" s="1363" t="s">
        <v>351</v>
      </c>
      <c r="AJP3" s="1362" t="s">
        <v>352</v>
      </c>
      <c r="AJQ3" s="1365"/>
      <c r="AJR3" s="1365"/>
      <c r="AJS3" s="1365"/>
      <c r="AJT3" s="1365"/>
      <c r="AJU3" s="1365"/>
      <c r="AJV3" s="1365"/>
      <c r="AJW3" s="1365"/>
      <c r="AJX3" s="1365"/>
      <c r="AJY3" s="1365"/>
      <c r="AJZ3" s="1365"/>
      <c r="AKA3" s="1365"/>
      <c r="AKB3" s="1365"/>
      <c r="AKC3" s="1365"/>
      <c r="AKD3" s="1365"/>
      <c r="AKE3" s="1365"/>
      <c r="AKF3" s="1365"/>
      <c r="AKG3" s="1365"/>
      <c r="AKH3" s="1365"/>
      <c r="AKI3" s="1365"/>
      <c r="AKJ3" s="1365"/>
      <c r="AKK3" s="1365"/>
      <c r="AKL3" s="1365"/>
      <c r="AKM3" s="1365"/>
      <c r="AKN3" s="1365"/>
      <c r="AKO3" s="1365"/>
      <c r="AKP3" s="1365"/>
      <c r="AKQ3" s="1365"/>
      <c r="AKR3" s="1365"/>
      <c r="AKS3" s="1365"/>
      <c r="AKT3" s="1365"/>
      <c r="AKU3" s="1363" t="s">
        <v>352</v>
      </c>
      <c r="AKV3" s="1362" t="s">
        <v>353</v>
      </c>
      <c r="AKW3" s="1365"/>
      <c r="AKX3" s="1365"/>
      <c r="AKY3" s="1365"/>
      <c r="AKZ3" s="1365"/>
      <c r="ALA3" s="1365"/>
      <c r="ALB3" s="1365"/>
      <c r="ALC3" s="1365"/>
      <c r="ALD3" s="1365"/>
      <c r="ALE3" s="1365"/>
      <c r="ALF3" s="1365"/>
      <c r="ALG3" s="1365"/>
      <c r="ALH3" s="1365"/>
      <c r="ALI3" s="1365"/>
      <c r="ALJ3" s="1365"/>
      <c r="ALK3" s="1365"/>
      <c r="ALL3" s="1365"/>
      <c r="ALM3" s="1365"/>
      <c r="ALN3" s="1365"/>
      <c r="ALO3" s="1365"/>
      <c r="ALP3" s="1365"/>
      <c r="ALQ3" s="1365"/>
      <c r="ALR3" s="1365"/>
      <c r="ALS3" s="1365"/>
      <c r="ALT3" s="1365"/>
      <c r="ALU3" s="1365"/>
      <c r="ALV3" s="1365"/>
      <c r="ALW3" s="1365"/>
      <c r="ALX3" s="1365"/>
      <c r="ALY3" s="1365"/>
      <c r="ALZ3" s="1363" t="s">
        <v>353</v>
      </c>
      <c r="AMA3" s="1362" t="s">
        <v>354</v>
      </c>
      <c r="AMB3" s="1365"/>
      <c r="AMC3" s="1365"/>
      <c r="AMD3" s="1365"/>
      <c r="AME3" s="1365"/>
      <c r="AMF3" s="1365"/>
      <c r="AMG3" s="1365"/>
      <c r="AMH3" s="1365"/>
      <c r="AMI3" s="1365"/>
      <c r="AMJ3" s="1365"/>
      <c r="AMK3" s="1365"/>
      <c r="AML3" s="1365"/>
      <c r="AMM3" s="1365"/>
      <c r="AMN3" s="1365"/>
      <c r="AMO3" s="1365"/>
      <c r="AMP3" s="1365"/>
      <c r="AMQ3" s="1365"/>
      <c r="AMR3" s="1365"/>
      <c r="AMS3" s="1365"/>
      <c r="AMT3" s="1365"/>
      <c r="AMU3" s="1365"/>
      <c r="AMV3" s="1365"/>
      <c r="AMW3" s="1365"/>
      <c r="AMX3" s="1365"/>
      <c r="AMY3" s="1365"/>
      <c r="AMZ3" s="1365"/>
      <c r="ANA3" s="1365"/>
      <c r="ANB3" s="1365"/>
      <c r="ANC3" s="1365"/>
      <c r="AND3" s="1365"/>
      <c r="ANE3" s="1365"/>
      <c r="ANF3" s="1363" t="s">
        <v>354</v>
      </c>
      <c r="ANG3" s="1362" t="s">
        <v>345</v>
      </c>
      <c r="ANH3" s="1365"/>
      <c r="ANI3" s="1365"/>
      <c r="ANJ3" s="1365"/>
      <c r="ANK3" s="1365"/>
      <c r="ANL3" s="1365"/>
      <c r="ANM3" s="1365"/>
      <c r="ANN3" s="1365"/>
      <c r="ANO3" s="1365"/>
      <c r="ANP3" s="1365"/>
      <c r="ANQ3" s="1365"/>
      <c r="ANR3" s="1365"/>
      <c r="ANS3" s="1365"/>
      <c r="ANT3" s="1365"/>
      <c r="ANU3" s="1365"/>
      <c r="ANV3" s="1365"/>
      <c r="ANW3" s="1365"/>
      <c r="ANX3" s="1365"/>
      <c r="ANY3" s="1365"/>
      <c r="ANZ3" s="1365"/>
      <c r="AOA3" s="1365"/>
      <c r="AOB3" s="1365"/>
      <c r="AOC3" s="1365"/>
      <c r="AOD3" s="1365"/>
      <c r="AOE3" s="1365"/>
      <c r="AOF3" s="1365"/>
      <c r="AOG3" s="1365"/>
      <c r="AOH3" s="1365"/>
      <c r="AOI3" s="1363" t="str">
        <f>ANG3</f>
        <v>February</v>
      </c>
      <c r="AOJ3" s="1361" t="s">
        <v>346</v>
      </c>
      <c r="AOK3" s="1362"/>
      <c r="AOL3" s="1362"/>
      <c r="AOM3" s="1362"/>
      <c r="AON3" s="1362"/>
      <c r="AOO3" s="1362"/>
      <c r="AOP3" s="1362"/>
      <c r="AOQ3" s="1362"/>
      <c r="AOR3" s="1362"/>
      <c r="AOS3" s="1362"/>
      <c r="AOT3" s="1362"/>
      <c r="AOU3" s="1362"/>
      <c r="AOV3" s="1362"/>
      <c r="AOW3" s="1362"/>
      <c r="AOX3" s="1362"/>
      <c r="AOY3" s="1362"/>
      <c r="AOZ3" s="1362"/>
      <c r="APA3" s="1362"/>
      <c r="APB3" s="1362"/>
      <c r="APC3" s="1362"/>
      <c r="APD3" s="1362"/>
      <c r="APE3" s="1362"/>
      <c r="APF3" s="1362"/>
      <c r="APG3" s="1362"/>
      <c r="APH3" s="1362"/>
      <c r="API3" s="1362"/>
      <c r="APJ3" s="1362"/>
      <c r="APK3" s="1362"/>
      <c r="APL3" s="1362"/>
      <c r="APM3" s="1362"/>
      <c r="APN3" s="1366"/>
      <c r="APO3" s="1363" t="s">
        <v>346</v>
      </c>
      <c r="APP3" s="1361" t="s">
        <v>347</v>
      </c>
      <c r="APQ3" s="1362"/>
      <c r="APR3" s="1362"/>
      <c r="APS3" s="1362"/>
      <c r="APT3" s="1362"/>
      <c r="APU3" s="1362"/>
      <c r="APV3" s="1362"/>
      <c r="APW3" s="1362"/>
      <c r="APX3" s="1362"/>
      <c r="APY3" s="1362"/>
      <c r="APZ3" s="1362"/>
      <c r="AQA3" s="1362"/>
      <c r="AQB3" s="1362"/>
      <c r="AQC3" s="1362"/>
      <c r="AQD3" s="1362"/>
      <c r="AQE3" s="1362"/>
      <c r="AQF3" s="1362"/>
      <c r="AQG3" s="1362"/>
      <c r="AQH3" s="1362"/>
      <c r="AQI3" s="1362"/>
      <c r="AQJ3" s="1362"/>
      <c r="AQK3" s="1362"/>
      <c r="AQL3" s="1362"/>
      <c r="AQM3" s="1362"/>
      <c r="AQN3" s="1362"/>
      <c r="AQO3" s="1362"/>
      <c r="AQP3" s="1362"/>
      <c r="AQQ3" s="1362"/>
      <c r="AQR3" s="1362"/>
      <c r="AQS3" s="1362"/>
      <c r="AQT3" s="1363" t="s">
        <v>347</v>
      </c>
      <c r="AQU3" s="1361" t="s">
        <v>139</v>
      </c>
      <c r="AQV3" s="1362"/>
      <c r="AQW3" s="1362"/>
      <c r="AQX3" s="1362"/>
      <c r="AQY3" s="1362"/>
      <c r="AQZ3" s="1362"/>
      <c r="ARA3" s="1362"/>
      <c r="ARB3" s="1362"/>
      <c r="ARC3" s="1362"/>
      <c r="ARD3" s="1362"/>
      <c r="ARE3" s="1362"/>
      <c r="ARF3" s="1362"/>
      <c r="ARG3" s="1362"/>
      <c r="ARH3" s="1362"/>
      <c r="ARI3" s="1362"/>
      <c r="ARJ3" s="1362"/>
      <c r="ARK3" s="1362"/>
      <c r="ARL3" s="1362"/>
      <c r="ARM3" s="1362"/>
      <c r="ARN3" s="1362"/>
      <c r="ARO3" s="1362"/>
      <c r="ARP3" s="1362"/>
      <c r="ARQ3" s="1362"/>
      <c r="ARR3" s="1362"/>
      <c r="ARS3" s="1362"/>
      <c r="ART3" s="1362"/>
      <c r="ARU3" s="1362"/>
      <c r="ARV3" s="1362"/>
      <c r="ARW3" s="1362"/>
      <c r="ARX3" s="1362"/>
      <c r="ARY3" s="1362"/>
      <c r="ARZ3" s="1363" t="s">
        <v>139</v>
      </c>
      <c r="ASA3" s="1361" t="s">
        <v>348</v>
      </c>
      <c r="ASB3" s="1362"/>
      <c r="ASC3" s="1362"/>
      <c r="ASD3" s="1362"/>
      <c r="ASE3" s="1362"/>
      <c r="ASF3" s="1362"/>
      <c r="ASG3" s="1362"/>
      <c r="ASH3" s="1362"/>
      <c r="ASI3" s="1362"/>
      <c r="ASJ3" s="1362"/>
      <c r="ASK3" s="1362"/>
      <c r="ASL3" s="1362"/>
      <c r="ASM3" s="1362"/>
      <c r="ASN3" s="1362"/>
      <c r="ASO3" s="1362"/>
      <c r="ASP3" s="1362"/>
      <c r="ASQ3" s="1362"/>
      <c r="ASR3" s="1362"/>
      <c r="ASS3" s="1362"/>
      <c r="AST3" s="1362"/>
      <c r="ASU3" s="1362"/>
      <c r="ASV3" s="1362"/>
      <c r="ASW3" s="1362"/>
      <c r="ASX3" s="1362"/>
      <c r="ASY3" s="1362"/>
      <c r="ASZ3" s="1362"/>
      <c r="ATA3" s="1362"/>
      <c r="ATB3" s="1362"/>
      <c r="ATC3" s="1362"/>
      <c r="ATD3" s="1362"/>
      <c r="ATE3" s="1363" t="s">
        <v>348</v>
      </c>
      <c r="ATF3" s="1361" t="s">
        <v>349</v>
      </c>
      <c r="ATG3" s="1362"/>
      <c r="ATH3" s="1362"/>
      <c r="ATI3" s="1362"/>
      <c r="ATJ3" s="1362"/>
      <c r="ATK3" s="1362"/>
      <c r="ATL3" s="1362"/>
      <c r="ATM3" s="1362"/>
      <c r="ATN3" s="1362"/>
      <c r="ATO3" s="1362"/>
      <c r="ATP3" s="1362"/>
      <c r="ATQ3" s="1362"/>
      <c r="ATR3" s="1362"/>
      <c r="ATS3" s="1362"/>
      <c r="ATT3" s="1362"/>
      <c r="ATU3" s="1362"/>
      <c r="ATV3" s="1362"/>
      <c r="ATW3" s="1362"/>
      <c r="ATX3" s="1362"/>
      <c r="ATY3" s="1362"/>
      <c r="ATZ3" s="1362"/>
      <c r="AUA3" s="1362"/>
      <c r="AUB3" s="1362"/>
      <c r="AUC3" s="1362"/>
      <c r="AUD3" s="1362"/>
      <c r="AUE3" s="1362"/>
      <c r="AUF3" s="1362"/>
      <c r="AUG3" s="1362"/>
      <c r="AUH3" s="1362"/>
      <c r="AUI3" s="1362"/>
      <c r="AUJ3" s="927"/>
      <c r="AUK3" s="1363" t="s">
        <v>349</v>
      </c>
      <c r="AUL3" s="1361" t="s">
        <v>350</v>
      </c>
      <c r="AUM3" s="1362"/>
      <c r="AUN3" s="1362"/>
      <c r="AUO3" s="1362"/>
      <c r="AUP3" s="1362"/>
      <c r="AUQ3" s="1362"/>
      <c r="AUR3" s="1362"/>
      <c r="AUS3" s="1362"/>
      <c r="AUT3" s="1362"/>
      <c r="AUU3" s="1362"/>
      <c r="AUV3" s="1362"/>
      <c r="AUW3" s="1362"/>
      <c r="AUX3" s="1362"/>
      <c r="AUY3" s="1362"/>
      <c r="AUZ3" s="1362"/>
      <c r="AVA3" s="1362"/>
      <c r="AVB3" s="1362"/>
      <c r="AVC3" s="1362"/>
      <c r="AVD3" s="1362"/>
      <c r="AVE3" s="1362"/>
      <c r="AVF3" s="1362"/>
      <c r="AVG3" s="1362"/>
      <c r="AVH3" s="1362"/>
      <c r="AVI3" s="1362"/>
      <c r="AVJ3" s="1362"/>
      <c r="AVK3" s="1362"/>
      <c r="AVL3" s="1362"/>
      <c r="AVM3" s="1362"/>
      <c r="AVN3" s="1362"/>
      <c r="AVO3" s="1362"/>
      <c r="AVP3" s="1366"/>
      <c r="AVQ3" s="1363" t="s">
        <v>350</v>
      </c>
      <c r="AVR3" s="1361" t="s">
        <v>351</v>
      </c>
      <c r="AVS3" s="1362"/>
      <c r="AVT3" s="1362"/>
      <c r="AVU3" s="1362"/>
      <c r="AVV3" s="1362"/>
      <c r="AVW3" s="1362"/>
      <c r="AVX3" s="1362"/>
      <c r="AVY3" s="1362"/>
      <c r="AVZ3" s="1362"/>
      <c r="AWA3" s="1362"/>
      <c r="AWB3" s="1362"/>
      <c r="AWC3" s="1362"/>
      <c r="AWD3" s="1362"/>
      <c r="AWE3" s="1362"/>
      <c r="AWF3" s="1362"/>
      <c r="AWG3" s="1362"/>
      <c r="AWH3" s="1362"/>
      <c r="AWI3" s="1362"/>
      <c r="AWJ3" s="1362"/>
      <c r="AWK3" s="1362"/>
      <c r="AWL3" s="1362"/>
      <c r="AWM3" s="1362"/>
      <c r="AWN3" s="1362"/>
      <c r="AWO3" s="1362"/>
      <c r="AWP3" s="1362"/>
      <c r="AWQ3" s="1362"/>
      <c r="AWR3" s="1362"/>
      <c r="AWS3" s="1362"/>
      <c r="AWT3" s="1362"/>
      <c r="AWU3" s="1362"/>
      <c r="AWV3" s="1363" t="s">
        <v>351</v>
      </c>
      <c r="AWW3" s="1361" t="s">
        <v>352</v>
      </c>
      <c r="AWX3" s="1362"/>
      <c r="AWY3" s="1362"/>
      <c r="AWZ3" s="1362"/>
      <c r="AXA3" s="1362"/>
      <c r="AXB3" s="1362"/>
      <c r="AXC3" s="1362"/>
      <c r="AXD3" s="1362"/>
      <c r="AXE3" s="1362"/>
      <c r="AXF3" s="1362"/>
      <c r="AXG3" s="1362"/>
      <c r="AXH3" s="1362"/>
      <c r="AXI3" s="1362"/>
      <c r="AXJ3" s="1362"/>
      <c r="AXK3" s="1362"/>
      <c r="AXL3" s="1362"/>
      <c r="AXM3" s="1362"/>
      <c r="AXN3" s="1362"/>
      <c r="AXO3" s="1362"/>
      <c r="AXP3" s="1362"/>
      <c r="AXQ3" s="1362"/>
      <c r="AXR3" s="1362"/>
      <c r="AXS3" s="1362"/>
      <c r="AXT3" s="1362"/>
      <c r="AXU3" s="1362"/>
      <c r="AXV3" s="1362"/>
      <c r="AXW3" s="1362"/>
      <c r="AXX3" s="1362"/>
      <c r="AXY3" s="1362"/>
      <c r="AXZ3" s="1362"/>
      <c r="AYA3" s="1362"/>
      <c r="AYB3" s="1363" t="s">
        <v>352</v>
      </c>
      <c r="AYC3" s="1361" t="s">
        <v>353</v>
      </c>
      <c r="AYD3" s="1362"/>
      <c r="AYE3" s="1362"/>
      <c r="AYF3" s="1362"/>
      <c r="AYG3" s="1362"/>
      <c r="AYH3" s="1362"/>
      <c r="AYI3" s="1362"/>
      <c r="AYJ3" s="1362"/>
      <c r="AYK3" s="1362"/>
      <c r="AYL3" s="1362"/>
      <c r="AYM3" s="1362"/>
      <c r="AYN3" s="1362"/>
      <c r="AYO3" s="1362"/>
      <c r="AYP3" s="1362"/>
      <c r="AYQ3" s="1362"/>
      <c r="AYR3" s="1362"/>
      <c r="AYS3" s="1362"/>
      <c r="AYT3" s="1362"/>
      <c r="AYU3" s="1362"/>
      <c r="AYV3" s="1362"/>
      <c r="AYW3" s="1362"/>
      <c r="AYX3" s="1362"/>
      <c r="AYY3" s="1362"/>
      <c r="AYZ3" s="1362"/>
      <c r="AZA3" s="1362"/>
      <c r="AZB3" s="1362"/>
      <c r="AZC3" s="1362"/>
      <c r="AZD3" s="1362"/>
      <c r="AZE3" s="1362"/>
      <c r="AZF3" s="1362"/>
      <c r="AZG3" s="1363" t="s">
        <v>353</v>
      </c>
      <c r="AZH3" s="1361" t="s">
        <v>354</v>
      </c>
      <c r="AZI3" s="1362"/>
      <c r="AZJ3" s="1362"/>
      <c r="AZK3" s="1362"/>
      <c r="AZL3" s="1362"/>
      <c r="AZM3" s="1362"/>
      <c r="AZN3" s="1362"/>
      <c r="AZO3" s="1362"/>
      <c r="AZP3" s="1362"/>
      <c r="AZQ3" s="1362"/>
      <c r="AZR3" s="1362"/>
      <c r="AZS3" s="1362"/>
      <c r="AZT3" s="1362"/>
      <c r="AZU3" s="1362"/>
      <c r="AZV3" s="1362"/>
      <c r="AZW3" s="1362"/>
      <c r="AZX3" s="1362"/>
      <c r="AZY3" s="1362"/>
      <c r="AZZ3" s="1362"/>
      <c r="BAA3" s="1362"/>
      <c r="BAB3" s="1362"/>
      <c r="BAC3" s="1362"/>
      <c r="BAD3" s="1362"/>
      <c r="BAE3" s="1362"/>
      <c r="BAF3" s="1362"/>
      <c r="BAG3" s="1362"/>
      <c r="BAH3" s="1362"/>
      <c r="BAI3" s="1362"/>
      <c r="BAJ3" s="1362"/>
      <c r="BAK3" s="1362"/>
      <c r="BAL3" s="1362"/>
      <c r="BAM3" s="1363" t="s">
        <v>354</v>
      </c>
      <c r="BAN3" s="227" t="str">
        <f>LEFT(AH3,2)</f>
        <v>07</v>
      </c>
    </row>
    <row r="4" spans="2:1392" s="229" customFormat="1" ht="10.15">
      <c r="B4" s="1368"/>
      <c r="C4" s="228">
        <v>1</v>
      </c>
      <c r="D4" s="228">
        <v>2</v>
      </c>
      <c r="E4" s="228">
        <v>3</v>
      </c>
      <c r="F4" s="228">
        <v>4</v>
      </c>
      <c r="G4" s="228">
        <v>5</v>
      </c>
      <c r="H4" s="228">
        <v>6</v>
      </c>
      <c r="I4" s="228">
        <v>7</v>
      </c>
      <c r="J4" s="228">
        <v>8</v>
      </c>
      <c r="K4" s="228">
        <v>9</v>
      </c>
      <c r="L4" s="228">
        <v>10</v>
      </c>
      <c r="M4" s="228">
        <v>11</v>
      </c>
      <c r="N4" s="228">
        <v>12</v>
      </c>
      <c r="O4" s="228">
        <v>13</v>
      </c>
      <c r="P4" s="228">
        <v>14</v>
      </c>
      <c r="Q4" s="228">
        <v>15</v>
      </c>
      <c r="R4" s="228">
        <v>16</v>
      </c>
      <c r="S4" s="228">
        <v>17</v>
      </c>
      <c r="T4" s="228">
        <v>18</v>
      </c>
      <c r="U4" s="228">
        <v>19</v>
      </c>
      <c r="V4" s="228">
        <v>20</v>
      </c>
      <c r="W4" s="228">
        <v>21</v>
      </c>
      <c r="X4" s="228">
        <v>22</v>
      </c>
      <c r="Y4" s="228">
        <v>23</v>
      </c>
      <c r="Z4" s="228">
        <v>24</v>
      </c>
      <c r="AA4" s="228">
        <v>25</v>
      </c>
      <c r="AB4" s="228">
        <v>26</v>
      </c>
      <c r="AC4" s="228">
        <v>27</v>
      </c>
      <c r="AD4" s="228">
        <v>28</v>
      </c>
      <c r="AE4" s="228">
        <v>29</v>
      </c>
      <c r="AF4" s="228">
        <v>30</v>
      </c>
      <c r="AG4" s="228">
        <v>31</v>
      </c>
      <c r="AH4" s="1370"/>
      <c r="AI4" s="228">
        <v>1</v>
      </c>
      <c r="AJ4" s="228">
        <v>2</v>
      </c>
      <c r="AK4" s="228">
        <v>3</v>
      </c>
      <c r="AL4" s="228">
        <v>4</v>
      </c>
      <c r="AM4" s="228">
        <v>5</v>
      </c>
      <c r="AN4" s="228">
        <v>6</v>
      </c>
      <c r="AO4" s="228">
        <v>7</v>
      </c>
      <c r="AP4" s="228">
        <v>8</v>
      </c>
      <c r="AQ4" s="228">
        <v>9</v>
      </c>
      <c r="AR4" s="228">
        <v>10</v>
      </c>
      <c r="AS4" s="228">
        <v>11</v>
      </c>
      <c r="AT4" s="228">
        <v>12</v>
      </c>
      <c r="AU4" s="228">
        <v>13</v>
      </c>
      <c r="AV4" s="228">
        <v>14</v>
      </c>
      <c r="AW4" s="228">
        <v>15</v>
      </c>
      <c r="AX4" s="228">
        <v>16</v>
      </c>
      <c r="AY4" s="228">
        <v>17</v>
      </c>
      <c r="AZ4" s="228">
        <v>18</v>
      </c>
      <c r="BA4" s="228">
        <v>19</v>
      </c>
      <c r="BB4" s="228">
        <v>20</v>
      </c>
      <c r="BC4" s="228">
        <v>21</v>
      </c>
      <c r="BD4" s="228">
        <v>22</v>
      </c>
      <c r="BE4" s="228">
        <v>23</v>
      </c>
      <c r="BF4" s="228">
        <v>24</v>
      </c>
      <c r="BG4" s="228">
        <v>25</v>
      </c>
      <c r="BH4" s="228">
        <v>26</v>
      </c>
      <c r="BI4" s="228">
        <v>27</v>
      </c>
      <c r="BJ4" s="228">
        <v>28</v>
      </c>
      <c r="BK4" s="1364"/>
      <c r="BL4" s="228">
        <v>1</v>
      </c>
      <c r="BM4" s="228">
        <v>2</v>
      </c>
      <c r="BN4" s="228">
        <v>3</v>
      </c>
      <c r="BO4" s="228">
        <v>4</v>
      </c>
      <c r="BP4" s="228">
        <v>5</v>
      </c>
      <c r="BQ4" s="228">
        <v>6</v>
      </c>
      <c r="BR4" s="228">
        <v>7</v>
      </c>
      <c r="BS4" s="228">
        <v>8</v>
      </c>
      <c r="BT4" s="228">
        <v>9</v>
      </c>
      <c r="BU4" s="228">
        <v>10</v>
      </c>
      <c r="BV4" s="228">
        <v>11</v>
      </c>
      <c r="BW4" s="228">
        <v>12</v>
      </c>
      <c r="BX4" s="228">
        <v>13</v>
      </c>
      <c r="BY4" s="228">
        <v>14</v>
      </c>
      <c r="BZ4" s="228">
        <v>15</v>
      </c>
      <c r="CA4" s="228">
        <v>16</v>
      </c>
      <c r="CB4" s="228">
        <v>17</v>
      </c>
      <c r="CC4" s="228">
        <v>18</v>
      </c>
      <c r="CD4" s="228">
        <v>19</v>
      </c>
      <c r="CE4" s="228">
        <v>20</v>
      </c>
      <c r="CF4" s="228">
        <v>21</v>
      </c>
      <c r="CG4" s="228">
        <v>22</v>
      </c>
      <c r="CH4" s="228">
        <v>23</v>
      </c>
      <c r="CI4" s="228">
        <v>24</v>
      </c>
      <c r="CJ4" s="228">
        <v>25</v>
      </c>
      <c r="CK4" s="228">
        <v>26</v>
      </c>
      <c r="CL4" s="228">
        <v>27</v>
      </c>
      <c r="CM4" s="228">
        <v>28</v>
      </c>
      <c r="CN4" s="228">
        <v>29</v>
      </c>
      <c r="CO4" s="228">
        <v>30</v>
      </c>
      <c r="CP4" s="228">
        <v>31</v>
      </c>
      <c r="CQ4" s="1364"/>
      <c r="CR4" s="228">
        <v>1</v>
      </c>
      <c r="CS4" s="228">
        <v>2</v>
      </c>
      <c r="CT4" s="228">
        <v>3</v>
      </c>
      <c r="CU4" s="228">
        <v>4</v>
      </c>
      <c r="CV4" s="228">
        <v>5</v>
      </c>
      <c r="CW4" s="228">
        <v>6</v>
      </c>
      <c r="CX4" s="228">
        <v>7</v>
      </c>
      <c r="CY4" s="228">
        <v>8</v>
      </c>
      <c r="CZ4" s="228">
        <v>9</v>
      </c>
      <c r="DA4" s="228">
        <v>10</v>
      </c>
      <c r="DB4" s="228">
        <v>11</v>
      </c>
      <c r="DC4" s="228">
        <v>12</v>
      </c>
      <c r="DD4" s="228">
        <v>13</v>
      </c>
      <c r="DE4" s="228">
        <v>14</v>
      </c>
      <c r="DF4" s="228">
        <v>15</v>
      </c>
      <c r="DG4" s="228">
        <v>16</v>
      </c>
      <c r="DH4" s="228">
        <v>17</v>
      </c>
      <c r="DI4" s="228">
        <v>18</v>
      </c>
      <c r="DJ4" s="228">
        <v>19</v>
      </c>
      <c r="DK4" s="228">
        <v>20</v>
      </c>
      <c r="DL4" s="228">
        <v>21</v>
      </c>
      <c r="DM4" s="228">
        <v>22</v>
      </c>
      <c r="DN4" s="228">
        <v>23</v>
      </c>
      <c r="DO4" s="228">
        <v>24</v>
      </c>
      <c r="DP4" s="228">
        <v>25</v>
      </c>
      <c r="DQ4" s="228">
        <v>26</v>
      </c>
      <c r="DR4" s="228">
        <v>27</v>
      </c>
      <c r="DS4" s="228">
        <v>28</v>
      </c>
      <c r="DT4" s="228">
        <v>29</v>
      </c>
      <c r="DU4" s="228">
        <v>30</v>
      </c>
      <c r="DV4" s="228">
        <v>31</v>
      </c>
      <c r="DW4" s="1364"/>
      <c r="DX4" s="228">
        <v>1</v>
      </c>
      <c r="DY4" s="228">
        <v>2</v>
      </c>
      <c r="DZ4" s="228">
        <v>3</v>
      </c>
      <c r="EA4" s="228">
        <v>4</v>
      </c>
      <c r="EB4" s="228">
        <v>5</v>
      </c>
      <c r="EC4" s="228">
        <v>6</v>
      </c>
      <c r="ED4" s="228">
        <v>7</v>
      </c>
      <c r="EE4" s="228">
        <v>8</v>
      </c>
      <c r="EF4" s="228">
        <v>9</v>
      </c>
      <c r="EG4" s="228">
        <v>10</v>
      </c>
      <c r="EH4" s="228">
        <v>11</v>
      </c>
      <c r="EI4" s="228">
        <v>12</v>
      </c>
      <c r="EJ4" s="228">
        <v>13</v>
      </c>
      <c r="EK4" s="228">
        <v>14</v>
      </c>
      <c r="EL4" s="228">
        <v>15</v>
      </c>
      <c r="EM4" s="228">
        <v>16</v>
      </c>
      <c r="EN4" s="228">
        <v>17</v>
      </c>
      <c r="EO4" s="228">
        <v>18</v>
      </c>
      <c r="EP4" s="228">
        <v>19</v>
      </c>
      <c r="EQ4" s="228">
        <v>20</v>
      </c>
      <c r="ER4" s="228">
        <v>21</v>
      </c>
      <c r="ES4" s="228">
        <v>22</v>
      </c>
      <c r="ET4" s="228">
        <v>23</v>
      </c>
      <c r="EU4" s="228">
        <v>24</v>
      </c>
      <c r="EV4" s="228">
        <v>25</v>
      </c>
      <c r="EW4" s="228">
        <v>26</v>
      </c>
      <c r="EX4" s="228">
        <v>27</v>
      </c>
      <c r="EY4" s="228">
        <v>28</v>
      </c>
      <c r="EZ4" s="228">
        <v>29</v>
      </c>
      <c r="FA4" s="228">
        <v>30</v>
      </c>
      <c r="FB4" s="228">
        <v>31</v>
      </c>
      <c r="FC4" s="1364"/>
      <c r="FD4" s="228">
        <v>1</v>
      </c>
      <c r="FE4" s="228">
        <v>2</v>
      </c>
      <c r="FF4" s="228">
        <v>3</v>
      </c>
      <c r="FG4" s="228">
        <v>4</v>
      </c>
      <c r="FH4" s="228">
        <v>5</v>
      </c>
      <c r="FI4" s="228">
        <v>6</v>
      </c>
      <c r="FJ4" s="228">
        <v>7</v>
      </c>
      <c r="FK4" s="228">
        <v>8</v>
      </c>
      <c r="FL4" s="228">
        <v>9</v>
      </c>
      <c r="FM4" s="228">
        <v>10</v>
      </c>
      <c r="FN4" s="228">
        <v>11</v>
      </c>
      <c r="FO4" s="228">
        <v>12</v>
      </c>
      <c r="FP4" s="228">
        <v>13</v>
      </c>
      <c r="FQ4" s="228">
        <v>14</v>
      </c>
      <c r="FR4" s="228">
        <v>15</v>
      </c>
      <c r="FS4" s="228">
        <v>16</v>
      </c>
      <c r="FT4" s="228">
        <v>17</v>
      </c>
      <c r="FU4" s="228">
        <v>18</v>
      </c>
      <c r="FV4" s="228">
        <v>19</v>
      </c>
      <c r="FW4" s="228">
        <v>20</v>
      </c>
      <c r="FX4" s="228">
        <v>21</v>
      </c>
      <c r="FY4" s="228">
        <v>22</v>
      </c>
      <c r="FZ4" s="228">
        <v>23</v>
      </c>
      <c r="GA4" s="228">
        <v>24</v>
      </c>
      <c r="GB4" s="228">
        <v>25</v>
      </c>
      <c r="GC4" s="228">
        <v>26</v>
      </c>
      <c r="GD4" s="228">
        <v>27</v>
      </c>
      <c r="GE4" s="228">
        <v>28</v>
      </c>
      <c r="GF4" s="228">
        <v>29</v>
      </c>
      <c r="GG4" s="228">
        <v>30</v>
      </c>
      <c r="GH4" s="228"/>
      <c r="GI4" s="1364"/>
      <c r="GJ4" s="228">
        <v>1</v>
      </c>
      <c r="GK4" s="228">
        <v>2</v>
      </c>
      <c r="GL4" s="228">
        <v>3</v>
      </c>
      <c r="GM4" s="228">
        <v>4</v>
      </c>
      <c r="GN4" s="228">
        <v>5</v>
      </c>
      <c r="GO4" s="228">
        <v>6</v>
      </c>
      <c r="GP4" s="228">
        <v>7</v>
      </c>
      <c r="GQ4" s="228">
        <v>8</v>
      </c>
      <c r="GR4" s="228">
        <v>9</v>
      </c>
      <c r="GS4" s="228">
        <v>10</v>
      </c>
      <c r="GT4" s="228">
        <v>11</v>
      </c>
      <c r="GU4" s="228">
        <v>12</v>
      </c>
      <c r="GV4" s="228">
        <v>13</v>
      </c>
      <c r="GW4" s="228">
        <v>14</v>
      </c>
      <c r="GX4" s="228">
        <v>15</v>
      </c>
      <c r="GY4" s="228">
        <v>16</v>
      </c>
      <c r="GZ4" s="228">
        <v>17</v>
      </c>
      <c r="HA4" s="228">
        <v>18</v>
      </c>
      <c r="HB4" s="228">
        <v>19</v>
      </c>
      <c r="HC4" s="228">
        <v>20</v>
      </c>
      <c r="HD4" s="228">
        <v>21</v>
      </c>
      <c r="HE4" s="228">
        <v>22</v>
      </c>
      <c r="HF4" s="228">
        <v>23</v>
      </c>
      <c r="HG4" s="228">
        <v>24</v>
      </c>
      <c r="HH4" s="228">
        <v>25</v>
      </c>
      <c r="HI4" s="228">
        <v>26</v>
      </c>
      <c r="HJ4" s="228">
        <v>27</v>
      </c>
      <c r="HK4" s="228">
        <v>28</v>
      </c>
      <c r="HL4" s="228">
        <v>29</v>
      </c>
      <c r="HM4" s="228">
        <v>30</v>
      </c>
      <c r="HN4" s="228">
        <v>31</v>
      </c>
      <c r="HO4" s="1364"/>
      <c r="HP4" s="228">
        <v>1</v>
      </c>
      <c r="HQ4" s="228">
        <v>2</v>
      </c>
      <c r="HR4" s="228">
        <v>3</v>
      </c>
      <c r="HS4" s="228">
        <v>4</v>
      </c>
      <c r="HT4" s="228">
        <v>5</v>
      </c>
      <c r="HU4" s="228">
        <v>6</v>
      </c>
      <c r="HV4" s="228">
        <v>7</v>
      </c>
      <c r="HW4" s="228">
        <v>8</v>
      </c>
      <c r="HX4" s="228">
        <v>9</v>
      </c>
      <c r="HY4" s="228">
        <v>10</v>
      </c>
      <c r="HZ4" s="228">
        <v>11</v>
      </c>
      <c r="IA4" s="228">
        <v>12</v>
      </c>
      <c r="IB4" s="228">
        <v>13</v>
      </c>
      <c r="IC4" s="228">
        <v>14</v>
      </c>
      <c r="ID4" s="228">
        <v>15</v>
      </c>
      <c r="IE4" s="228">
        <v>16</v>
      </c>
      <c r="IF4" s="228">
        <v>17</v>
      </c>
      <c r="IG4" s="228">
        <v>18</v>
      </c>
      <c r="IH4" s="228">
        <v>19</v>
      </c>
      <c r="II4" s="228">
        <v>20</v>
      </c>
      <c r="IJ4" s="228">
        <v>21</v>
      </c>
      <c r="IK4" s="228">
        <v>22</v>
      </c>
      <c r="IL4" s="228">
        <v>23</v>
      </c>
      <c r="IM4" s="228">
        <v>24</v>
      </c>
      <c r="IN4" s="228">
        <v>25</v>
      </c>
      <c r="IO4" s="228">
        <v>26</v>
      </c>
      <c r="IP4" s="228">
        <v>27</v>
      </c>
      <c r="IQ4" s="228">
        <v>28</v>
      </c>
      <c r="IR4" s="228">
        <v>29</v>
      </c>
      <c r="IS4" s="228">
        <v>30</v>
      </c>
      <c r="IT4" s="228">
        <v>31</v>
      </c>
      <c r="IU4" s="1364"/>
      <c r="IV4" s="228">
        <v>1</v>
      </c>
      <c r="IW4" s="228">
        <v>2</v>
      </c>
      <c r="IX4" s="228">
        <v>3</v>
      </c>
      <c r="IY4" s="228">
        <v>4</v>
      </c>
      <c r="IZ4" s="228">
        <v>5</v>
      </c>
      <c r="JA4" s="228">
        <v>6</v>
      </c>
      <c r="JB4" s="228">
        <v>7</v>
      </c>
      <c r="JC4" s="228">
        <v>8</v>
      </c>
      <c r="JD4" s="228">
        <v>9</v>
      </c>
      <c r="JE4" s="228">
        <v>10</v>
      </c>
      <c r="JF4" s="228">
        <v>11</v>
      </c>
      <c r="JG4" s="228">
        <v>12</v>
      </c>
      <c r="JH4" s="228">
        <v>13</v>
      </c>
      <c r="JI4" s="228">
        <v>14</v>
      </c>
      <c r="JJ4" s="228">
        <v>15</v>
      </c>
      <c r="JK4" s="228">
        <v>16</v>
      </c>
      <c r="JL4" s="228">
        <v>17</v>
      </c>
      <c r="JM4" s="228">
        <v>18</v>
      </c>
      <c r="JN4" s="228">
        <v>19</v>
      </c>
      <c r="JO4" s="228">
        <v>20</v>
      </c>
      <c r="JP4" s="228">
        <v>21</v>
      </c>
      <c r="JQ4" s="228">
        <v>22</v>
      </c>
      <c r="JR4" s="228">
        <v>23</v>
      </c>
      <c r="JS4" s="228">
        <v>24</v>
      </c>
      <c r="JT4" s="228">
        <v>25</v>
      </c>
      <c r="JU4" s="228">
        <v>26</v>
      </c>
      <c r="JV4" s="228">
        <v>27</v>
      </c>
      <c r="JW4" s="228">
        <v>28</v>
      </c>
      <c r="JX4" s="228">
        <v>29</v>
      </c>
      <c r="JY4" s="228">
        <v>30</v>
      </c>
      <c r="JZ4" s="228">
        <v>31</v>
      </c>
      <c r="KA4" s="1364"/>
      <c r="KB4" s="228">
        <v>1</v>
      </c>
      <c r="KC4" s="228">
        <v>2</v>
      </c>
      <c r="KD4" s="228">
        <v>3</v>
      </c>
      <c r="KE4" s="228">
        <v>4</v>
      </c>
      <c r="KF4" s="228">
        <v>5</v>
      </c>
      <c r="KG4" s="228">
        <v>6</v>
      </c>
      <c r="KH4" s="228">
        <v>7</v>
      </c>
      <c r="KI4" s="228">
        <v>8</v>
      </c>
      <c r="KJ4" s="228">
        <v>9</v>
      </c>
      <c r="KK4" s="228">
        <v>10</v>
      </c>
      <c r="KL4" s="228">
        <v>11</v>
      </c>
      <c r="KM4" s="228">
        <v>12</v>
      </c>
      <c r="KN4" s="228">
        <v>13</v>
      </c>
      <c r="KO4" s="228">
        <v>14</v>
      </c>
      <c r="KP4" s="228">
        <v>15</v>
      </c>
      <c r="KQ4" s="228">
        <v>16</v>
      </c>
      <c r="KR4" s="228">
        <v>17</v>
      </c>
      <c r="KS4" s="228">
        <v>18</v>
      </c>
      <c r="KT4" s="228">
        <v>19</v>
      </c>
      <c r="KU4" s="228">
        <v>20</v>
      </c>
      <c r="KV4" s="228">
        <v>21</v>
      </c>
      <c r="KW4" s="228">
        <v>22</v>
      </c>
      <c r="KX4" s="228">
        <v>23</v>
      </c>
      <c r="KY4" s="228">
        <v>24</v>
      </c>
      <c r="KZ4" s="228">
        <v>25</v>
      </c>
      <c r="LA4" s="228">
        <v>26</v>
      </c>
      <c r="LB4" s="228">
        <v>27</v>
      </c>
      <c r="LC4" s="228">
        <v>28</v>
      </c>
      <c r="LD4" s="228">
        <v>29</v>
      </c>
      <c r="LE4" s="228">
        <v>30</v>
      </c>
      <c r="LF4" s="228">
        <v>31</v>
      </c>
      <c r="LG4" s="1364"/>
      <c r="LH4" s="228">
        <v>1</v>
      </c>
      <c r="LI4" s="228">
        <v>2</v>
      </c>
      <c r="LJ4" s="228">
        <v>3</v>
      </c>
      <c r="LK4" s="228">
        <v>4</v>
      </c>
      <c r="LL4" s="228">
        <v>5</v>
      </c>
      <c r="LM4" s="228">
        <v>6</v>
      </c>
      <c r="LN4" s="228">
        <v>7</v>
      </c>
      <c r="LO4" s="228">
        <v>8</v>
      </c>
      <c r="LP4" s="228">
        <v>9</v>
      </c>
      <c r="LQ4" s="228">
        <v>10</v>
      </c>
      <c r="LR4" s="228">
        <v>11</v>
      </c>
      <c r="LS4" s="228">
        <v>12</v>
      </c>
      <c r="LT4" s="228">
        <v>13</v>
      </c>
      <c r="LU4" s="228">
        <v>14</v>
      </c>
      <c r="LV4" s="228">
        <v>15</v>
      </c>
      <c r="LW4" s="228">
        <v>16</v>
      </c>
      <c r="LX4" s="228">
        <v>17</v>
      </c>
      <c r="LY4" s="228">
        <v>18</v>
      </c>
      <c r="LZ4" s="228">
        <v>19</v>
      </c>
      <c r="MA4" s="228">
        <v>20</v>
      </c>
      <c r="MB4" s="228">
        <v>21</v>
      </c>
      <c r="MC4" s="228">
        <v>22</v>
      </c>
      <c r="MD4" s="228">
        <v>23</v>
      </c>
      <c r="ME4" s="228">
        <v>24</v>
      </c>
      <c r="MF4" s="228">
        <v>25</v>
      </c>
      <c r="MG4" s="228">
        <v>26</v>
      </c>
      <c r="MH4" s="228">
        <v>27</v>
      </c>
      <c r="MI4" s="228">
        <v>28</v>
      </c>
      <c r="MJ4" s="228">
        <v>29</v>
      </c>
      <c r="MK4" s="228">
        <v>30</v>
      </c>
      <c r="ML4" s="228"/>
      <c r="MM4" s="1364"/>
      <c r="MN4" s="228">
        <v>1</v>
      </c>
      <c r="MO4" s="228">
        <v>2</v>
      </c>
      <c r="MP4" s="228">
        <v>3</v>
      </c>
      <c r="MQ4" s="228">
        <v>4</v>
      </c>
      <c r="MR4" s="228">
        <v>5</v>
      </c>
      <c r="MS4" s="228">
        <v>6</v>
      </c>
      <c r="MT4" s="228">
        <v>7</v>
      </c>
      <c r="MU4" s="228">
        <v>8</v>
      </c>
      <c r="MV4" s="228">
        <v>9</v>
      </c>
      <c r="MW4" s="228">
        <v>10</v>
      </c>
      <c r="MX4" s="228">
        <v>11</v>
      </c>
      <c r="MY4" s="228">
        <v>12</v>
      </c>
      <c r="MZ4" s="228">
        <v>13</v>
      </c>
      <c r="NA4" s="228">
        <v>14</v>
      </c>
      <c r="NB4" s="228">
        <v>15</v>
      </c>
      <c r="NC4" s="228">
        <v>16</v>
      </c>
      <c r="ND4" s="228">
        <v>17</v>
      </c>
      <c r="NE4" s="228">
        <v>18</v>
      </c>
      <c r="NF4" s="228">
        <v>19</v>
      </c>
      <c r="NG4" s="228">
        <v>20</v>
      </c>
      <c r="NH4" s="228">
        <v>21</v>
      </c>
      <c r="NI4" s="228">
        <v>22</v>
      </c>
      <c r="NJ4" s="228">
        <v>23</v>
      </c>
      <c r="NK4" s="228">
        <v>24</v>
      </c>
      <c r="NL4" s="228">
        <v>25</v>
      </c>
      <c r="NM4" s="228">
        <v>26</v>
      </c>
      <c r="NN4" s="228">
        <v>27</v>
      </c>
      <c r="NO4" s="228">
        <v>28</v>
      </c>
      <c r="NP4" s="228">
        <v>29</v>
      </c>
      <c r="NQ4" s="228">
        <v>30</v>
      </c>
      <c r="NR4" s="228">
        <v>31</v>
      </c>
      <c r="NS4" s="1364"/>
      <c r="NT4" s="228">
        <v>1</v>
      </c>
      <c r="NU4" s="228">
        <v>2</v>
      </c>
      <c r="NV4" s="228">
        <v>3</v>
      </c>
      <c r="NW4" s="228">
        <v>4</v>
      </c>
      <c r="NX4" s="228">
        <v>5</v>
      </c>
      <c r="NY4" s="228">
        <v>6</v>
      </c>
      <c r="NZ4" s="228">
        <v>7</v>
      </c>
      <c r="OA4" s="228">
        <v>8</v>
      </c>
      <c r="OB4" s="228">
        <v>9</v>
      </c>
      <c r="OC4" s="228">
        <v>10</v>
      </c>
      <c r="OD4" s="228">
        <v>11</v>
      </c>
      <c r="OE4" s="228">
        <v>12</v>
      </c>
      <c r="OF4" s="228">
        <v>13</v>
      </c>
      <c r="OG4" s="228">
        <v>14</v>
      </c>
      <c r="OH4" s="228">
        <v>15</v>
      </c>
      <c r="OI4" s="228">
        <v>16</v>
      </c>
      <c r="OJ4" s="228">
        <v>17</v>
      </c>
      <c r="OK4" s="228">
        <v>18</v>
      </c>
      <c r="OL4" s="228">
        <v>19</v>
      </c>
      <c r="OM4" s="228">
        <v>20</v>
      </c>
      <c r="ON4" s="228">
        <v>21</v>
      </c>
      <c r="OO4" s="228">
        <v>22</v>
      </c>
      <c r="OP4" s="228">
        <v>23</v>
      </c>
      <c r="OQ4" s="228">
        <v>24</v>
      </c>
      <c r="OR4" s="228">
        <v>25</v>
      </c>
      <c r="OS4" s="228">
        <v>26</v>
      </c>
      <c r="OT4" s="228">
        <v>27</v>
      </c>
      <c r="OU4" s="228">
        <v>28</v>
      </c>
      <c r="OV4" s="228">
        <v>29</v>
      </c>
      <c r="OW4" s="228">
        <v>30</v>
      </c>
      <c r="OX4" s="228">
        <v>31</v>
      </c>
      <c r="OY4" s="1364"/>
      <c r="OZ4" s="228">
        <v>1</v>
      </c>
      <c r="PA4" s="228">
        <v>2</v>
      </c>
      <c r="PB4" s="228">
        <v>3</v>
      </c>
      <c r="PC4" s="228">
        <v>4</v>
      </c>
      <c r="PD4" s="228">
        <v>5</v>
      </c>
      <c r="PE4" s="228">
        <v>6</v>
      </c>
      <c r="PF4" s="228">
        <v>7</v>
      </c>
      <c r="PG4" s="228">
        <v>8</v>
      </c>
      <c r="PH4" s="228">
        <v>9</v>
      </c>
      <c r="PI4" s="228">
        <v>10</v>
      </c>
      <c r="PJ4" s="228">
        <v>11</v>
      </c>
      <c r="PK4" s="228">
        <v>12</v>
      </c>
      <c r="PL4" s="228">
        <v>13</v>
      </c>
      <c r="PM4" s="228">
        <v>14</v>
      </c>
      <c r="PN4" s="228">
        <v>15</v>
      </c>
      <c r="PO4" s="228">
        <v>16</v>
      </c>
      <c r="PP4" s="228">
        <v>17</v>
      </c>
      <c r="PQ4" s="228">
        <v>18</v>
      </c>
      <c r="PR4" s="228">
        <v>19</v>
      </c>
      <c r="PS4" s="228">
        <v>20</v>
      </c>
      <c r="PT4" s="228">
        <v>21</v>
      </c>
      <c r="PU4" s="228">
        <v>22</v>
      </c>
      <c r="PV4" s="228">
        <v>23</v>
      </c>
      <c r="PW4" s="228">
        <v>24</v>
      </c>
      <c r="PX4" s="228">
        <v>25</v>
      </c>
      <c r="PY4" s="228">
        <v>26</v>
      </c>
      <c r="PZ4" s="228">
        <v>27</v>
      </c>
      <c r="QA4" s="228">
        <v>28</v>
      </c>
      <c r="QB4" s="228">
        <v>29</v>
      </c>
      <c r="QC4" s="228">
        <v>30</v>
      </c>
      <c r="QD4" s="1364"/>
      <c r="QE4" s="228">
        <v>1</v>
      </c>
      <c r="QF4" s="228">
        <v>2</v>
      </c>
      <c r="QG4" s="228">
        <v>3</v>
      </c>
      <c r="QH4" s="228">
        <v>4</v>
      </c>
      <c r="QI4" s="228">
        <v>5</v>
      </c>
      <c r="QJ4" s="228">
        <v>6</v>
      </c>
      <c r="QK4" s="228">
        <v>7</v>
      </c>
      <c r="QL4" s="228">
        <v>8</v>
      </c>
      <c r="QM4" s="228">
        <v>9</v>
      </c>
      <c r="QN4" s="228">
        <v>10</v>
      </c>
      <c r="QO4" s="228">
        <v>11</v>
      </c>
      <c r="QP4" s="228">
        <v>12</v>
      </c>
      <c r="QQ4" s="228">
        <v>13</v>
      </c>
      <c r="QR4" s="228">
        <v>14</v>
      </c>
      <c r="QS4" s="228">
        <v>15</v>
      </c>
      <c r="QT4" s="228">
        <v>16</v>
      </c>
      <c r="QU4" s="228">
        <v>17</v>
      </c>
      <c r="QV4" s="228">
        <v>18</v>
      </c>
      <c r="QW4" s="228">
        <v>19</v>
      </c>
      <c r="QX4" s="228">
        <v>20</v>
      </c>
      <c r="QY4" s="228">
        <v>21</v>
      </c>
      <c r="QZ4" s="228">
        <v>22</v>
      </c>
      <c r="RA4" s="228">
        <v>23</v>
      </c>
      <c r="RB4" s="228">
        <v>24</v>
      </c>
      <c r="RC4" s="228">
        <v>25</v>
      </c>
      <c r="RD4" s="228">
        <v>26</v>
      </c>
      <c r="RE4" s="228">
        <v>27</v>
      </c>
      <c r="RF4" s="228">
        <v>28</v>
      </c>
      <c r="RG4" s="228">
        <v>29</v>
      </c>
      <c r="RH4" s="228">
        <v>30</v>
      </c>
      <c r="RI4" s="228">
        <v>31</v>
      </c>
      <c r="RJ4" s="1364"/>
      <c r="RK4" s="228">
        <v>1</v>
      </c>
      <c r="RL4" s="228">
        <v>2</v>
      </c>
      <c r="RM4" s="228">
        <v>3</v>
      </c>
      <c r="RN4" s="228">
        <v>4</v>
      </c>
      <c r="RO4" s="228">
        <v>5</v>
      </c>
      <c r="RP4" s="228">
        <v>6</v>
      </c>
      <c r="RQ4" s="228">
        <v>7</v>
      </c>
      <c r="RR4" s="228">
        <v>8</v>
      </c>
      <c r="RS4" s="228">
        <v>9</v>
      </c>
      <c r="RT4" s="228">
        <v>10</v>
      </c>
      <c r="RU4" s="228">
        <v>11</v>
      </c>
      <c r="RV4" s="228">
        <v>12</v>
      </c>
      <c r="RW4" s="228">
        <v>13</v>
      </c>
      <c r="RX4" s="228">
        <v>14</v>
      </c>
      <c r="RY4" s="228">
        <v>15</v>
      </c>
      <c r="RZ4" s="228">
        <v>16</v>
      </c>
      <c r="SA4" s="228">
        <v>17</v>
      </c>
      <c r="SB4" s="228">
        <v>18</v>
      </c>
      <c r="SC4" s="228">
        <v>19</v>
      </c>
      <c r="SD4" s="228">
        <v>20</v>
      </c>
      <c r="SE4" s="228">
        <v>21</v>
      </c>
      <c r="SF4" s="228">
        <v>22</v>
      </c>
      <c r="SG4" s="228">
        <v>23</v>
      </c>
      <c r="SH4" s="228">
        <v>24</v>
      </c>
      <c r="SI4" s="228">
        <v>25</v>
      </c>
      <c r="SJ4" s="228">
        <v>26</v>
      </c>
      <c r="SK4" s="228">
        <v>27</v>
      </c>
      <c r="SL4" s="228">
        <v>28</v>
      </c>
      <c r="SM4" s="228">
        <v>29</v>
      </c>
      <c r="SN4" s="228">
        <v>30</v>
      </c>
      <c r="SO4" s="1364"/>
      <c r="SP4" s="228">
        <v>1</v>
      </c>
      <c r="SQ4" s="228">
        <v>2</v>
      </c>
      <c r="SR4" s="228">
        <v>3</v>
      </c>
      <c r="SS4" s="228">
        <v>4</v>
      </c>
      <c r="ST4" s="228">
        <v>5</v>
      </c>
      <c r="SU4" s="228">
        <v>6</v>
      </c>
      <c r="SV4" s="228">
        <v>7</v>
      </c>
      <c r="SW4" s="228">
        <v>8</v>
      </c>
      <c r="SX4" s="228">
        <v>9</v>
      </c>
      <c r="SY4" s="228">
        <v>10</v>
      </c>
      <c r="SZ4" s="228">
        <v>11</v>
      </c>
      <c r="TA4" s="228">
        <v>12</v>
      </c>
      <c r="TB4" s="228">
        <v>13</v>
      </c>
      <c r="TC4" s="228">
        <v>14</v>
      </c>
      <c r="TD4" s="228">
        <v>15</v>
      </c>
      <c r="TE4" s="228">
        <v>16</v>
      </c>
      <c r="TF4" s="228">
        <v>17</v>
      </c>
      <c r="TG4" s="228">
        <v>18</v>
      </c>
      <c r="TH4" s="228">
        <v>19</v>
      </c>
      <c r="TI4" s="228">
        <v>20</v>
      </c>
      <c r="TJ4" s="228">
        <v>21</v>
      </c>
      <c r="TK4" s="228">
        <v>22</v>
      </c>
      <c r="TL4" s="228">
        <v>23</v>
      </c>
      <c r="TM4" s="228">
        <v>24</v>
      </c>
      <c r="TN4" s="228">
        <v>25</v>
      </c>
      <c r="TO4" s="228">
        <v>26</v>
      </c>
      <c r="TP4" s="228">
        <v>27</v>
      </c>
      <c r="TQ4" s="228">
        <v>28</v>
      </c>
      <c r="TR4" s="228">
        <v>29</v>
      </c>
      <c r="TS4" s="228">
        <v>30</v>
      </c>
      <c r="TT4" s="228">
        <v>31</v>
      </c>
      <c r="TU4" s="1364"/>
      <c r="TV4" s="228">
        <v>1</v>
      </c>
      <c r="TW4" s="228">
        <v>2</v>
      </c>
      <c r="TX4" s="228">
        <v>3</v>
      </c>
      <c r="TY4" s="228">
        <v>4</v>
      </c>
      <c r="TZ4" s="228">
        <v>5</v>
      </c>
      <c r="UA4" s="228">
        <v>6</v>
      </c>
      <c r="UB4" s="228">
        <v>7</v>
      </c>
      <c r="UC4" s="228">
        <v>8</v>
      </c>
      <c r="UD4" s="228">
        <v>9</v>
      </c>
      <c r="UE4" s="228">
        <v>10</v>
      </c>
      <c r="UF4" s="228">
        <v>11</v>
      </c>
      <c r="UG4" s="228">
        <v>12</v>
      </c>
      <c r="UH4" s="228">
        <v>13</v>
      </c>
      <c r="UI4" s="228">
        <v>14</v>
      </c>
      <c r="UJ4" s="228">
        <v>15</v>
      </c>
      <c r="UK4" s="228">
        <v>16</v>
      </c>
      <c r="UL4" s="228">
        <v>17</v>
      </c>
      <c r="UM4" s="228">
        <v>18</v>
      </c>
      <c r="UN4" s="228">
        <v>19</v>
      </c>
      <c r="UO4" s="228">
        <v>20</v>
      </c>
      <c r="UP4" s="228">
        <v>21</v>
      </c>
      <c r="UQ4" s="228">
        <v>22</v>
      </c>
      <c r="UR4" s="228">
        <v>23</v>
      </c>
      <c r="US4" s="228">
        <v>24</v>
      </c>
      <c r="UT4" s="228">
        <v>25</v>
      </c>
      <c r="UU4" s="228">
        <v>26</v>
      </c>
      <c r="UV4" s="228">
        <v>27</v>
      </c>
      <c r="UW4" s="228">
        <v>28</v>
      </c>
      <c r="UX4" s="228">
        <v>29</v>
      </c>
      <c r="UY4" s="228">
        <v>30</v>
      </c>
      <c r="UZ4" s="228">
        <v>31</v>
      </c>
      <c r="VA4" s="1364"/>
      <c r="VB4" s="228">
        <v>1</v>
      </c>
      <c r="VC4" s="228">
        <v>2</v>
      </c>
      <c r="VD4" s="228">
        <v>3</v>
      </c>
      <c r="VE4" s="228">
        <v>4</v>
      </c>
      <c r="VF4" s="228">
        <v>5</v>
      </c>
      <c r="VG4" s="228">
        <v>6</v>
      </c>
      <c r="VH4" s="228">
        <v>7</v>
      </c>
      <c r="VI4" s="228">
        <v>8</v>
      </c>
      <c r="VJ4" s="228">
        <v>9</v>
      </c>
      <c r="VK4" s="228">
        <v>10</v>
      </c>
      <c r="VL4" s="228">
        <v>11</v>
      </c>
      <c r="VM4" s="228">
        <v>12</v>
      </c>
      <c r="VN4" s="228">
        <v>13</v>
      </c>
      <c r="VO4" s="228">
        <v>14</v>
      </c>
      <c r="VP4" s="228">
        <v>15</v>
      </c>
      <c r="VQ4" s="228">
        <v>16</v>
      </c>
      <c r="VR4" s="228">
        <v>17</v>
      </c>
      <c r="VS4" s="228">
        <v>18</v>
      </c>
      <c r="VT4" s="228">
        <v>19</v>
      </c>
      <c r="VU4" s="228">
        <v>20</v>
      </c>
      <c r="VV4" s="228">
        <v>21</v>
      </c>
      <c r="VW4" s="228">
        <v>22</v>
      </c>
      <c r="VX4" s="228">
        <v>23</v>
      </c>
      <c r="VY4" s="228">
        <v>24</v>
      </c>
      <c r="VZ4" s="228">
        <v>25</v>
      </c>
      <c r="WA4" s="228">
        <v>26</v>
      </c>
      <c r="WB4" s="228">
        <v>27</v>
      </c>
      <c r="WC4" s="228">
        <v>28</v>
      </c>
      <c r="WD4" s="228">
        <v>29</v>
      </c>
      <c r="WE4" s="228">
        <v>30</v>
      </c>
      <c r="WF4" s="1364"/>
      <c r="WG4" s="228">
        <v>1</v>
      </c>
      <c r="WH4" s="228">
        <v>2</v>
      </c>
      <c r="WI4" s="228">
        <v>3</v>
      </c>
      <c r="WJ4" s="228">
        <v>4</v>
      </c>
      <c r="WK4" s="228">
        <v>5</v>
      </c>
      <c r="WL4" s="228">
        <v>6</v>
      </c>
      <c r="WM4" s="228">
        <v>7</v>
      </c>
      <c r="WN4" s="228">
        <v>8</v>
      </c>
      <c r="WO4" s="228">
        <v>9</v>
      </c>
      <c r="WP4" s="228">
        <v>10</v>
      </c>
      <c r="WQ4" s="228">
        <v>11</v>
      </c>
      <c r="WR4" s="228">
        <v>12</v>
      </c>
      <c r="WS4" s="228">
        <v>13</v>
      </c>
      <c r="WT4" s="228">
        <v>14</v>
      </c>
      <c r="WU4" s="228">
        <v>15</v>
      </c>
      <c r="WV4" s="228">
        <v>16</v>
      </c>
      <c r="WW4" s="228">
        <v>17</v>
      </c>
      <c r="WX4" s="228">
        <v>18</v>
      </c>
      <c r="WY4" s="228">
        <v>19</v>
      </c>
      <c r="WZ4" s="228">
        <v>20</v>
      </c>
      <c r="XA4" s="228">
        <v>21</v>
      </c>
      <c r="XB4" s="228">
        <v>22</v>
      </c>
      <c r="XC4" s="228">
        <v>23</v>
      </c>
      <c r="XD4" s="228">
        <v>24</v>
      </c>
      <c r="XE4" s="228">
        <v>25</v>
      </c>
      <c r="XF4" s="228">
        <v>26</v>
      </c>
      <c r="XG4" s="228">
        <v>27</v>
      </c>
      <c r="XH4" s="228">
        <v>28</v>
      </c>
      <c r="XI4" s="228">
        <v>29</v>
      </c>
      <c r="XJ4" s="228">
        <v>30</v>
      </c>
      <c r="XK4" s="228">
        <v>31</v>
      </c>
      <c r="XL4" s="1364"/>
      <c r="XM4" s="228">
        <v>1</v>
      </c>
      <c r="XN4" s="228">
        <v>2</v>
      </c>
      <c r="XO4" s="228">
        <v>3</v>
      </c>
      <c r="XP4" s="228">
        <v>4</v>
      </c>
      <c r="XQ4" s="228">
        <v>5</v>
      </c>
      <c r="XR4" s="228">
        <v>6</v>
      </c>
      <c r="XS4" s="228">
        <v>7</v>
      </c>
      <c r="XT4" s="228">
        <v>8</v>
      </c>
      <c r="XU4" s="228">
        <v>9</v>
      </c>
      <c r="XV4" s="228">
        <v>10</v>
      </c>
      <c r="XW4" s="228">
        <v>11</v>
      </c>
      <c r="XX4" s="228">
        <v>12</v>
      </c>
      <c r="XY4" s="228">
        <v>13</v>
      </c>
      <c r="XZ4" s="228">
        <v>14</v>
      </c>
      <c r="YA4" s="228">
        <v>15</v>
      </c>
      <c r="YB4" s="228">
        <v>16</v>
      </c>
      <c r="YC4" s="228">
        <v>17</v>
      </c>
      <c r="YD4" s="228">
        <v>18</v>
      </c>
      <c r="YE4" s="228">
        <v>19</v>
      </c>
      <c r="YF4" s="228">
        <v>20</v>
      </c>
      <c r="YG4" s="228">
        <v>21</v>
      </c>
      <c r="YH4" s="228">
        <v>22</v>
      </c>
      <c r="YI4" s="228">
        <v>23</v>
      </c>
      <c r="YJ4" s="228">
        <v>24</v>
      </c>
      <c r="YK4" s="228">
        <v>25</v>
      </c>
      <c r="YL4" s="228">
        <v>26</v>
      </c>
      <c r="YM4" s="228">
        <v>27</v>
      </c>
      <c r="YN4" s="228">
        <v>28</v>
      </c>
      <c r="YO4" s="228">
        <v>29</v>
      </c>
      <c r="YP4" s="228">
        <v>30</v>
      </c>
      <c r="YQ4" s="228">
        <v>31</v>
      </c>
      <c r="YR4" s="1364"/>
      <c r="YS4" s="228">
        <v>1</v>
      </c>
      <c r="YT4" s="228">
        <v>2</v>
      </c>
      <c r="YU4" s="228">
        <v>3</v>
      </c>
      <c r="YV4" s="228">
        <v>4</v>
      </c>
      <c r="YW4" s="228">
        <v>5</v>
      </c>
      <c r="YX4" s="228">
        <v>6</v>
      </c>
      <c r="YY4" s="228">
        <v>7</v>
      </c>
      <c r="YZ4" s="228">
        <v>8</v>
      </c>
      <c r="ZA4" s="228">
        <v>9</v>
      </c>
      <c r="ZB4" s="228">
        <v>10</v>
      </c>
      <c r="ZC4" s="228">
        <v>11</v>
      </c>
      <c r="ZD4" s="228">
        <v>12</v>
      </c>
      <c r="ZE4" s="228">
        <v>13</v>
      </c>
      <c r="ZF4" s="228">
        <v>14</v>
      </c>
      <c r="ZG4" s="228">
        <v>15</v>
      </c>
      <c r="ZH4" s="228">
        <v>16</v>
      </c>
      <c r="ZI4" s="228">
        <v>17</v>
      </c>
      <c r="ZJ4" s="228">
        <v>18</v>
      </c>
      <c r="ZK4" s="228">
        <v>19</v>
      </c>
      <c r="ZL4" s="228">
        <v>20</v>
      </c>
      <c r="ZM4" s="228">
        <v>21</v>
      </c>
      <c r="ZN4" s="228">
        <v>22</v>
      </c>
      <c r="ZO4" s="228">
        <v>23</v>
      </c>
      <c r="ZP4" s="228">
        <v>24</v>
      </c>
      <c r="ZQ4" s="228">
        <v>25</v>
      </c>
      <c r="ZR4" s="228">
        <v>26</v>
      </c>
      <c r="ZS4" s="228">
        <v>27</v>
      </c>
      <c r="ZT4" s="228">
        <v>28</v>
      </c>
      <c r="ZU4" s="228">
        <v>29</v>
      </c>
      <c r="ZV4" s="228">
        <v>30</v>
      </c>
      <c r="ZW4" s="228">
        <v>31</v>
      </c>
      <c r="ZX4" s="1364"/>
      <c r="ZY4" s="228">
        <v>1</v>
      </c>
      <c r="ZZ4" s="228">
        <v>2</v>
      </c>
      <c r="AAA4" s="228">
        <v>3</v>
      </c>
      <c r="AAB4" s="228">
        <v>4</v>
      </c>
      <c r="AAC4" s="228">
        <v>5</v>
      </c>
      <c r="AAD4" s="228">
        <v>6</v>
      </c>
      <c r="AAE4" s="228">
        <v>7</v>
      </c>
      <c r="AAF4" s="228">
        <v>8</v>
      </c>
      <c r="AAG4" s="228">
        <v>9</v>
      </c>
      <c r="AAH4" s="228">
        <v>10</v>
      </c>
      <c r="AAI4" s="228">
        <v>11</v>
      </c>
      <c r="AAJ4" s="228">
        <v>12</v>
      </c>
      <c r="AAK4" s="228">
        <v>13</v>
      </c>
      <c r="AAL4" s="228">
        <v>14</v>
      </c>
      <c r="AAM4" s="228">
        <v>15</v>
      </c>
      <c r="AAN4" s="228">
        <v>16</v>
      </c>
      <c r="AAO4" s="228">
        <v>17</v>
      </c>
      <c r="AAP4" s="228">
        <v>18</v>
      </c>
      <c r="AAQ4" s="228">
        <v>19</v>
      </c>
      <c r="AAR4" s="228">
        <v>20</v>
      </c>
      <c r="AAS4" s="228">
        <v>21</v>
      </c>
      <c r="AAT4" s="228">
        <v>22</v>
      </c>
      <c r="AAU4" s="228">
        <v>23</v>
      </c>
      <c r="AAV4" s="228">
        <v>24</v>
      </c>
      <c r="AAW4" s="228">
        <v>25</v>
      </c>
      <c r="AAX4" s="228">
        <v>26</v>
      </c>
      <c r="AAY4" s="228">
        <v>27</v>
      </c>
      <c r="AAZ4" s="228">
        <v>28</v>
      </c>
      <c r="ABA4" s="1364"/>
      <c r="ABB4" s="228">
        <v>1</v>
      </c>
      <c r="ABC4" s="228">
        <v>2</v>
      </c>
      <c r="ABD4" s="228">
        <v>3</v>
      </c>
      <c r="ABE4" s="228">
        <v>4</v>
      </c>
      <c r="ABF4" s="228">
        <v>5</v>
      </c>
      <c r="ABG4" s="228">
        <v>6</v>
      </c>
      <c r="ABH4" s="228">
        <v>7</v>
      </c>
      <c r="ABI4" s="228">
        <v>8</v>
      </c>
      <c r="ABJ4" s="228">
        <v>9</v>
      </c>
      <c r="ABK4" s="228">
        <v>10</v>
      </c>
      <c r="ABL4" s="228">
        <v>11</v>
      </c>
      <c r="ABM4" s="228">
        <v>12</v>
      </c>
      <c r="ABN4" s="228">
        <v>13</v>
      </c>
      <c r="ABO4" s="228">
        <v>14</v>
      </c>
      <c r="ABP4" s="228">
        <v>15</v>
      </c>
      <c r="ABQ4" s="228">
        <v>16</v>
      </c>
      <c r="ABR4" s="228">
        <v>17</v>
      </c>
      <c r="ABS4" s="228">
        <v>18</v>
      </c>
      <c r="ABT4" s="228">
        <v>19</v>
      </c>
      <c r="ABU4" s="228">
        <v>20</v>
      </c>
      <c r="ABV4" s="228">
        <v>21</v>
      </c>
      <c r="ABW4" s="228">
        <v>22</v>
      </c>
      <c r="ABX4" s="228">
        <v>23</v>
      </c>
      <c r="ABY4" s="228">
        <v>24</v>
      </c>
      <c r="ABZ4" s="228">
        <v>25</v>
      </c>
      <c r="ACA4" s="228">
        <v>26</v>
      </c>
      <c r="ACB4" s="228">
        <v>27</v>
      </c>
      <c r="ACC4" s="228">
        <v>28</v>
      </c>
      <c r="ACD4" s="228">
        <v>29</v>
      </c>
      <c r="ACE4" s="228">
        <v>30</v>
      </c>
      <c r="ACF4" s="228">
        <v>31</v>
      </c>
      <c r="ACG4" s="1364"/>
      <c r="ACH4" s="228">
        <v>1</v>
      </c>
      <c r="ACI4" s="228">
        <v>2</v>
      </c>
      <c r="ACJ4" s="228">
        <v>3</v>
      </c>
      <c r="ACK4" s="228">
        <v>4</v>
      </c>
      <c r="ACL4" s="228">
        <v>5</v>
      </c>
      <c r="ACM4" s="228">
        <v>6</v>
      </c>
      <c r="ACN4" s="228">
        <v>7</v>
      </c>
      <c r="ACO4" s="228">
        <v>8</v>
      </c>
      <c r="ACP4" s="228">
        <v>9</v>
      </c>
      <c r="ACQ4" s="228">
        <v>10</v>
      </c>
      <c r="ACR4" s="228">
        <v>11</v>
      </c>
      <c r="ACS4" s="228">
        <v>12</v>
      </c>
      <c r="ACT4" s="228">
        <v>13</v>
      </c>
      <c r="ACU4" s="228">
        <v>14</v>
      </c>
      <c r="ACV4" s="228">
        <v>15</v>
      </c>
      <c r="ACW4" s="228">
        <v>16</v>
      </c>
      <c r="ACX4" s="228">
        <v>17</v>
      </c>
      <c r="ACY4" s="228">
        <v>18</v>
      </c>
      <c r="ACZ4" s="228">
        <v>19</v>
      </c>
      <c r="ADA4" s="228">
        <v>20</v>
      </c>
      <c r="ADB4" s="228">
        <v>21</v>
      </c>
      <c r="ADC4" s="228">
        <v>22</v>
      </c>
      <c r="ADD4" s="228">
        <v>23</v>
      </c>
      <c r="ADE4" s="228">
        <v>24</v>
      </c>
      <c r="ADF4" s="228">
        <v>25</v>
      </c>
      <c r="ADG4" s="228">
        <v>26</v>
      </c>
      <c r="ADH4" s="228">
        <v>27</v>
      </c>
      <c r="ADI4" s="228">
        <v>28</v>
      </c>
      <c r="ADJ4" s="228">
        <v>29</v>
      </c>
      <c r="ADK4" s="228">
        <v>30</v>
      </c>
      <c r="ADL4" s="228">
        <v>31</v>
      </c>
      <c r="ADM4" s="1364"/>
      <c r="ADN4" s="228">
        <v>1</v>
      </c>
      <c r="ADO4" s="228">
        <v>2</v>
      </c>
      <c r="ADP4" s="228">
        <v>3</v>
      </c>
      <c r="ADQ4" s="228">
        <v>4</v>
      </c>
      <c r="ADR4" s="228">
        <v>5</v>
      </c>
      <c r="ADS4" s="228">
        <v>6</v>
      </c>
      <c r="ADT4" s="228">
        <v>7</v>
      </c>
      <c r="ADU4" s="228">
        <v>8</v>
      </c>
      <c r="ADV4" s="228">
        <v>9</v>
      </c>
      <c r="ADW4" s="228">
        <v>10</v>
      </c>
      <c r="ADX4" s="228">
        <v>11</v>
      </c>
      <c r="ADY4" s="228">
        <v>12</v>
      </c>
      <c r="ADZ4" s="228">
        <v>13</v>
      </c>
      <c r="AEA4" s="228">
        <v>14</v>
      </c>
      <c r="AEB4" s="228">
        <v>15</v>
      </c>
      <c r="AEC4" s="228">
        <v>16</v>
      </c>
      <c r="AED4" s="228">
        <v>17</v>
      </c>
      <c r="AEE4" s="228">
        <v>18</v>
      </c>
      <c r="AEF4" s="228">
        <v>19</v>
      </c>
      <c r="AEG4" s="228">
        <v>20</v>
      </c>
      <c r="AEH4" s="228">
        <v>21</v>
      </c>
      <c r="AEI4" s="228">
        <v>22</v>
      </c>
      <c r="AEJ4" s="228">
        <v>23</v>
      </c>
      <c r="AEK4" s="228">
        <v>24</v>
      </c>
      <c r="AEL4" s="228">
        <v>25</v>
      </c>
      <c r="AEM4" s="228">
        <v>26</v>
      </c>
      <c r="AEN4" s="228">
        <v>27</v>
      </c>
      <c r="AEO4" s="228">
        <v>28</v>
      </c>
      <c r="AEP4" s="228">
        <v>29</v>
      </c>
      <c r="AEQ4" s="228">
        <v>30</v>
      </c>
      <c r="AER4" s="228">
        <v>31</v>
      </c>
      <c r="AES4" s="1364"/>
      <c r="AET4" s="228">
        <v>1</v>
      </c>
      <c r="AEU4" s="228">
        <v>2</v>
      </c>
      <c r="AEV4" s="228">
        <v>3</v>
      </c>
      <c r="AEW4" s="228">
        <v>4</v>
      </c>
      <c r="AEX4" s="228">
        <v>5</v>
      </c>
      <c r="AEY4" s="228">
        <v>6</v>
      </c>
      <c r="AEZ4" s="228">
        <v>7</v>
      </c>
      <c r="AFA4" s="228">
        <v>8</v>
      </c>
      <c r="AFB4" s="228">
        <v>9</v>
      </c>
      <c r="AFC4" s="228">
        <v>10</v>
      </c>
      <c r="AFD4" s="228">
        <v>11</v>
      </c>
      <c r="AFE4" s="228">
        <v>12</v>
      </c>
      <c r="AFF4" s="228">
        <v>13</v>
      </c>
      <c r="AFG4" s="228">
        <v>14</v>
      </c>
      <c r="AFH4" s="228">
        <v>15</v>
      </c>
      <c r="AFI4" s="228">
        <v>16</v>
      </c>
      <c r="AFJ4" s="228">
        <v>17</v>
      </c>
      <c r="AFK4" s="228">
        <v>18</v>
      </c>
      <c r="AFL4" s="228">
        <v>19</v>
      </c>
      <c r="AFM4" s="228">
        <v>20</v>
      </c>
      <c r="AFN4" s="228">
        <v>21</v>
      </c>
      <c r="AFO4" s="228">
        <v>22</v>
      </c>
      <c r="AFP4" s="228">
        <v>23</v>
      </c>
      <c r="AFQ4" s="228">
        <v>24</v>
      </c>
      <c r="AFR4" s="228">
        <v>25</v>
      </c>
      <c r="AFS4" s="228">
        <v>26</v>
      </c>
      <c r="AFT4" s="228">
        <v>27</v>
      </c>
      <c r="AFU4" s="228">
        <v>28</v>
      </c>
      <c r="AFV4" s="228">
        <v>29</v>
      </c>
      <c r="AFW4" s="228">
        <v>30</v>
      </c>
      <c r="AFX4" s="1364"/>
      <c r="AFY4" s="228">
        <v>1</v>
      </c>
      <c r="AFZ4" s="228">
        <v>2</v>
      </c>
      <c r="AGA4" s="228">
        <v>3</v>
      </c>
      <c r="AGB4" s="228">
        <v>4</v>
      </c>
      <c r="AGC4" s="228">
        <v>5</v>
      </c>
      <c r="AGD4" s="228">
        <v>6</v>
      </c>
      <c r="AGE4" s="228">
        <v>7</v>
      </c>
      <c r="AGF4" s="228">
        <v>8</v>
      </c>
      <c r="AGG4" s="228">
        <v>9</v>
      </c>
      <c r="AGH4" s="228">
        <v>10</v>
      </c>
      <c r="AGI4" s="228">
        <v>11</v>
      </c>
      <c r="AGJ4" s="228">
        <v>12</v>
      </c>
      <c r="AGK4" s="228">
        <v>13</v>
      </c>
      <c r="AGL4" s="228">
        <v>14</v>
      </c>
      <c r="AGM4" s="228">
        <v>15</v>
      </c>
      <c r="AGN4" s="228">
        <v>16</v>
      </c>
      <c r="AGO4" s="228">
        <v>17</v>
      </c>
      <c r="AGP4" s="228">
        <v>18</v>
      </c>
      <c r="AGQ4" s="228">
        <v>19</v>
      </c>
      <c r="AGR4" s="228">
        <v>20</v>
      </c>
      <c r="AGS4" s="228">
        <v>21</v>
      </c>
      <c r="AGT4" s="228">
        <v>22</v>
      </c>
      <c r="AGU4" s="228">
        <v>23</v>
      </c>
      <c r="AGV4" s="228">
        <v>24</v>
      </c>
      <c r="AGW4" s="228">
        <v>25</v>
      </c>
      <c r="AGX4" s="228">
        <v>26</v>
      </c>
      <c r="AGY4" s="228">
        <v>27</v>
      </c>
      <c r="AGZ4" s="228">
        <v>28</v>
      </c>
      <c r="AHA4" s="228">
        <v>29</v>
      </c>
      <c r="AHB4" s="228">
        <v>30</v>
      </c>
      <c r="AHC4" s="228">
        <v>31</v>
      </c>
      <c r="AHD4" s="1364"/>
      <c r="AHE4" s="228">
        <v>1</v>
      </c>
      <c r="AHF4" s="228">
        <v>2</v>
      </c>
      <c r="AHG4" s="228">
        <v>3</v>
      </c>
      <c r="AHH4" s="228">
        <v>4</v>
      </c>
      <c r="AHI4" s="228">
        <v>5</v>
      </c>
      <c r="AHJ4" s="228">
        <v>6</v>
      </c>
      <c r="AHK4" s="228">
        <v>7</v>
      </c>
      <c r="AHL4" s="228">
        <v>8</v>
      </c>
      <c r="AHM4" s="228">
        <v>9</v>
      </c>
      <c r="AHN4" s="228">
        <v>10</v>
      </c>
      <c r="AHO4" s="228">
        <v>11</v>
      </c>
      <c r="AHP4" s="228">
        <v>12</v>
      </c>
      <c r="AHQ4" s="228">
        <v>13</v>
      </c>
      <c r="AHR4" s="228">
        <v>14</v>
      </c>
      <c r="AHS4" s="228">
        <v>15</v>
      </c>
      <c r="AHT4" s="228">
        <v>16</v>
      </c>
      <c r="AHU4" s="228">
        <v>17</v>
      </c>
      <c r="AHV4" s="228">
        <v>18</v>
      </c>
      <c r="AHW4" s="228">
        <v>19</v>
      </c>
      <c r="AHX4" s="228">
        <v>20</v>
      </c>
      <c r="AHY4" s="228">
        <v>21</v>
      </c>
      <c r="AHZ4" s="228">
        <v>22</v>
      </c>
      <c r="AIA4" s="228">
        <v>23</v>
      </c>
      <c r="AIB4" s="228">
        <v>24</v>
      </c>
      <c r="AIC4" s="228">
        <v>25</v>
      </c>
      <c r="AID4" s="228">
        <v>26</v>
      </c>
      <c r="AIE4" s="228">
        <v>27</v>
      </c>
      <c r="AIF4" s="228">
        <v>28</v>
      </c>
      <c r="AIG4" s="228">
        <v>29</v>
      </c>
      <c r="AIH4" s="228">
        <v>30</v>
      </c>
      <c r="AII4" s="228">
        <v>31</v>
      </c>
      <c r="AIJ4" s="1364"/>
      <c r="AIK4" s="228">
        <v>1</v>
      </c>
      <c r="AIL4" s="228">
        <v>2</v>
      </c>
      <c r="AIM4" s="228">
        <v>3</v>
      </c>
      <c r="AIN4" s="228">
        <v>4</v>
      </c>
      <c r="AIO4" s="228">
        <v>5</v>
      </c>
      <c r="AIP4" s="228">
        <v>6</v>
      </c>
      <c r="AIQ4" s="228">
        <v>7</v>
      </c>
      <c r="AIR4" s="228">
        <v>8</v>
      </c>
      <c r="AIS4" s="228">
        <v>9</v>
      </c>
      <c r="AIT4" s="228">
        <v>10</v>
      </c>
      <c r="AIU4" s="228">
        <v>11</v>
      </c>
      <c r="AIV4" s="228">
        <v>12</v>
      </c>
      <c r="AIW4" s="228">
        <v>13</v>
      </c>
      <c r="AIX4" s="228">
        <v>14</v>
      </c>
      <c r="AIY4" s="228">
        <v>15</v>
      </c>
      <c r="AIZ4" s="228">
        <v>16</v>
      </c>
      <c r="AJA4" s="228">
        <v>17</v>
      </c>
      <c r="AJB4" s="228">
        <v>18</v>
      </c>
      <c r="AJC4" s="228">
        <v>19</v>
      </c>
      <c r="AJD4" s="228">
        <v>20</v>
      </c>
      <c r="AJE4" s="228">
        <v>21</v>
      </c>
      <c r="AJF4" s="228">
        <v>22</v>
      </c>
      <c r="AJG4" s="228">
        <v>23</v>
      </c>
      <c r="AJH4" s="228">
        <v>24</v>
      </c>
      <c r="AJI4" s="228">
        <v>25</v>
      </c>
      <c r="AJJ4" s="228">
        <v>26</v>
      </c>
      <c r="AJK4" s="228">
        <v>27</v>
      </c>
      <c r="AJL4" s="228">
        <v>28</v>
      </c>
      <c r="AJM4" s="228">
        <v>29</v>
      </c>
      <c r="AJN4" s="228">
        <v>30</v>
      </c>
      <c r="AJO4" s="1364"/>
      <c r="AJP4" s="228">
        <v>1</v>
      </c>
      <c r="AJQ4" s="228">
        <v>2</v>
      </c>
      <c r="AJR4" s="228">
        <v>3</v>
      </c>
      <c r="AJS4" s="228">
        <v>4</v>
      </c>
      <c r="AJT4" s="228">
        <v>5</v>
      </c>
      <c r="AJU4" s="228">
        <v>6</v>
      </c>
      <c r="AJV4" s="228">
        <v>7</v>
      </c>
      <c r="AJW4" s="228">
        <v>8</v>
      </c>
      <c r="AJX4" s="228">
        <v>9</v>
      </c>
      <c r="AJY4" s="228">
        <v>10</v>
      </c>
      <c r="AJZ4" s="228">
        <v>11</v>
      </c>
      <c r="AKA4" s="228">
        <v>12</v>
      </c>
      <c r="AKB4" s="228">
        <v>13</v>
      </c>
      <c r="AKC4" s="228">
        <v>14</v>
      </c>
      <c r="AKD4" s="228">
        <v>15</v>
      </c>
      <c r="AKE4" s="228">
        <v>16</v>
      </c>
      <c r="AKF4" s="228">
        <v>17</v>
      </c>
      <c r="AKG4" s="228">
        <v>18</v>
      </c>
      <c r="AKH4" s="228">
        <v>19</v>
      </c>
      <c r="AKI4" s="228">
        <v>20</v>
      </c>
      <c r="AKJ4" s="228">
        <v>21</v>
      </c>
      <c r="AKK4" s="228">
        <v>22</v>
      </c>
      <c r="AKL4" s="228">
        <v>23</v>
      </c>
      <c r="AKM4" s="228">
        <v>24</v>
      </c>
      <c r="AKN4" s="228">
        <v>25</v>
      </c>
      <c r="AKO4" s="228">
        <v>26</v>
      </c>
      <c r="AKP4" s="228">
        <v>27</v>
      </c>
      <c r="AKQ4" s="228">
        <v>28</v>
      </c>
      <c r="AKR4" s="228">
        <v>29</v>
      </c>
      <c r="AKS4" s="228">
        <v>30</v>
      </c>
      <c r="AKT4" s="228">
        <v>31</v>
      </c>
      <c r="AKU4" s="1364"/>
      <c r="AKV4" s="228">
        <v>1</v>
      </c>
      <c r="AKW4" s="228">
        <v>2</v>
      </c>
      <c r="AKX4" s="228">
        <v>3</v>
      </c>
      <c r="AKY4" s="228">
        <v>4</v>
      </c>
      <c r="AKZ4" s="228">
        <v>5</v>
      </c>
      <c r="ALA4" s="228">
        <v>6</v>
      </c>
      <c r="ALB4" s="228">
        <v>7</v>
      </c>
      <c r="ALC4" s="228">
        <v>8</v>
      </c>
      <c r="ALD4" s="228">
        <v>9</v>
      </c>
      <c r="ALE4" s="228">
        <v>10</v>
      </c>
      <c r="ALF4" s="228">
        <v>11</v>
      </c>
      <c r="ALG4" s="228">
        <v>12</v>
      </c>
      <c r="ALH4" s="228">
        <v>13</v>
      </c>
      <c r="ALI4" s="228">
        <v>14</v>
      </c>
      <c r="ALJ4" s="228">
        <v>15</v>
      </c>
      <c r="ALK4" s="228">
        <v>16</v>
      </c>
      <c r="ALL4" s="228">
        <v>17</v>
      </c>
      <c r="ALM4" s="228">
        <v>18</v>
      </c>
      <c r="ALN4" s="228">
        <v>19</v>
      </c>
      <c r="ALO4" s="228">
        <v>20</v>
      </c>
      <c r="ALP4" s="228">
        <v>21</v>
      </c>
      <c r="ALQ4" s="228">
        <v>22</v>
      </c>
      <c r="ALR4" s="228">
        <v>23</v>
      </c>
      <c r="ALS4" s="228">
        <v>24</v>
      </c>
      <c r="ALT4" s="228">
        <v>25</v>
      </c>
      <c r="ALU4" s="228">
        <v>26</v>
      </c>
      <c r="ALV4" s="228">
        <v>27</v>
      </c>
      <c r="ALW4" s="228">
        <v>28</v>
      </c>
      <c r="ALX4" s="228">
        <v>29</v>
      </c>
      <c r="ALY4" s="228">
        <v>30</v>
      </c>
      <c r="ALZ4" s="1364"/>
      <c r="AMA4" s="228">
        <v>1</v>
      </c>
      <c r="AMB4" s="228">
        <v>2</v>
      </c>
      <c r="AMC4" s="228">
        <v>3</v>
      </c>
      <c r="AMD4" s="228">
        <v>4</v>
      </c>
      <c r="AME4" s="228">
        <v>5</v>
      </c>
      <c r="AMF4" s="228">
        <v>6</v>
      </c>
      <c r="AMG4" s="228">
        <v>7</v>
      </c>
      <c r="AMH4" s="228">
        <v>8</v>
      </c>
      <c r="AMI4" s="228">
        <v>9</v>
      </c>
      <c r="AMJ4" s="228">
        <v>10</v>
      </c>
      <c r="AMK4" s="228">
        <v>11</v>
      </c>
      <c r="AML4" s="228">
        <v>12</v>
      </c>
      <c r="AMM4" s="228">
        <v>13</v>
      </c>
      <c r="AMN4" s="228">
        <v>14</v>
      </c>
      <c r="AMO4" s="228">
        <v>15</v>
      </c>
      <c r="AMP4" s="228">
        <v>16</v>
      </c>
      <c r="AMQ4" s="228">
        <v>17</v>
      </c>
      <c r="AMR4" s="228">
        <v>18</v>
      </c>
      <c r="AMS4" s="228">
        <v>19</v>
      </c>
      <c r="AMT4" s="228">
        <v>20</v>
      </c>
      <c r="AMU4" s="228">
        <v>21</v>
      </c>
      <c r="AMV4" s="228">
        <v>22</v>
      </c>
      <c r="AMW4" s="228">
        <v>23</v>
      </c>
      <c r="AMX4" s="228">
        <v>24</v>
      </c>
      <c r="AMY4" s="228">
        <v>25</v>
      </c>
      <c r="AMZ4" s="228">
        <v>26</v>
      </c>
      <c r="ANA4" s="228">
        <v>27</v>
      </c>
      <c r="ANB4" s="228">
        <v>28</v>
      </c>
      <c r="ANC4" s="228">
        <v>29</v>
      </c>
      <c r="AND4" s="228">
        <v>30</v>
      </c>
      <c r="ANE4" s="228">
        <v>31</v>
      </c>
      <c r="ANF4" s="1364"/>
      <c r="ANG4" s="228">
        <v>1</v>
      </c>
      <c r="ANH4" s="228">
        <v>2</v>
      </c>
      <c r="ANI4" s="228">
        <v>3</v>
      </c>
      <c r="ANJ4" s="228">
        <v>4</v>
      </c>
      <c r="ANK4" s="228">
        <v>5</v>
      </c>
      <c r="ANL4" s="228">
        <v>6</v>
      </c>
      <c r="ANM4" s="228">
        <v>7</v>
      </c>
      <c r="ANN4" s="228">
        <v>8</v>
      </c>
      <c r="ANO4" s="228">
        <v>9</v>
      </c>
      <c r="ANP4" s="228">
        <v>10</v>
      </c>
      <c r="ANQ4" s="228">
        <v>11</v>
      </c>
      <c r="ANR4" s="228">
        <v>12</v>
      </c>
      <c r="ANS4" s="228">
        <v>13</v>
      </c>
      <c r="ANT4" s="228">
        <v>14</v>
      </c>
      <c r="ANU4" s="228">
        <v>15</v>
      </c>
      <c r="ANV4" s="228">
        <v>16</v>
      </c>
      <c r="ANW4" s="228">
        <v>17</v>
      </c>
      <c r="ANX4" s="228">
        <v>18</v>
      </c>
      <c r="ANY4" s="228">
        <v>19</v>
      </c>
      <c r="ANZ4" s="228">
        <v>20</v>
      </c>
      <c r="AOA4" s="228">
        <v>21</v>
      </c>
      <c r="AOB4" s="228">
        <v>22</v>
      </c>
      <c r="AOC4" s="228">
        <v>23</v>
      </c>
      <c r="AOD4" s="228">
        <v>24</v>
      </c>
      <c r="AOE4" s="228">
        <v>25</v>
      </c>
      <c r="AOF4" s="228">
        <v>26</v>
      </c>
      <c r="AOG4" s="228">
        <v>27</v>
      </c>
      <c r="AOH4" s="228">
        <v>28</v>
      </c>
      <c r="AOI4" s="1364"/>
      <c r="AOJ4" s="228">
        <v>1</v>
      </c>
      <c r="AOK4" s="228">
        <v>2</v>
      </c>
      <c r="AOL4" s="228">
        <v>3</v>
      </c>
      <c r="AOM4" s="228">
        <v>4</v>
      </c>
      <c r="AON4" s="228">
        <v>5</v>
      </c>
      <c r="AOO4" s="228">
        <v>6</v>
      </c>
      <c r="AOP4" s="228">
        <v>7</v>
      </c>
      <c r="AOQ4" s="228">
        <v>8</v>
      </c>
      <c r="AOR4" s="228">
        <v>9</v>
      </c>
      <c r="AOS4" s="228">
        <v>10</v>
      </c>
      <c r="AOT4" s="228">
        <v>11</v>
      </c>
      <c r="AOU4" s="228">
        <v>12</v>
      </c>
      <c r="AOV4" s="228">
        <v>13</v>
      </c>
      <c r="AOW4" s="228">
        <v>14</v>
      </c>
      <c r="AOX4" s="228">
        <v>15</v>
      </c>
      <c r="AOY4" s="228">
        <v>16</v>
      </c>
      <c r="AOZ4" s="228">
        <v>17</v>
      </c>
      <c r="APA4" s="228">
        <v>18</v>
      </c>
      <c r="APB4" s="228">
        <v>19</v>
      </c>
      <c r="APC4" s="228">
        <v>20</v>
      </c>
      <c r="APD4" s="228">
        <v>21</v>
      </c>
      <c r="APE4" s="228">
        <v>22</v>
      </c>
      <c r="APF4" s="228">
        <v>23</v>
      </c>
      <c r="APG4" s="228">
        <v>24</v>
      </c>
      <c r="APH4" s="228">
        <v>25</v>
      </c>
      <c r="API4" s="228">
        <v>26</v>
      </c>
      <c r="APJ4" s="228">
        <v>27</v>
      </c>
      <c r="APK4" s="228">
        <v>28</v>
      </c>
      <c r="APL4" s="228">
        <v>29</v>
      </c>
      <c r="APM4" s="228">
        <v>30</v>
      </c>
      <c r="APN4" s="228">
        <v>31</v>
      </c>
      <c r="APO4" s="1364"/>
      <c r="APP4" s="228">
        <v>1</v>
      </c>
      <c r="APQ4" s="228">
        <v>2</v>
      </c>
      <c r="APR4" s="228">
        <v>3</v>
      </c>
      <c r="APS4" s="228">
        <v>4</v>
      </c>
      <c r="APT4" s="228">
        <v>5</v>
      </c>
      <c r="APU4" s="228">
        <v>6</v>
      </c>
      <c r="APV4" s="228">
        <v>7</v>
      </c>
      <c r="APW4" s="228">
        <v>8</v>
      </c>
      <c r="APX4" s="228">
        <v>9</v>
      </c>
      <c r="APY4" s="228">
        <v>10</v>
      </c>
      <c r="APZ4" s="228">
        <v>11</v>
      </c>
      <c r="AQA4" s="228">
        <v>12</v>
      </c>
      <c r="AQB4" s="228">
        <v>13</v>
      </c>
      <c r="AQC4" s="228">
        <v>14</v>
      </c>
      <c r="AQD4" s="228">
        <v>15</v>
      </c>
      <c r="AQE4" s="228">
        <v>16</v>
      </c>
      <c r="AQF4" s="228">
        <v>17</v>
      </c>
      <c r="AQG4" s="228">
        <v>18</v>
      </c>
      <c r="AQH4" s="228">
        <v>19</v>
      </c>
      <c r="AQI4" s="228">
        <v>20</v>
      </c>
      <c r="AQJ4" s="228">
        <v>21</v>
      </c>
      <c r="AQK4" s="228">
        <v>22</v>
      </c>
      <c r="AQL4" s="228">
        <v>23</v>
      </c>
      <c r="AQM4" s="228">
        <v>24</v>
      </c>
      <c r="AQN4" s="228">
        <v>25</v>
      </c>
      <c r="AQO4" s="228">
        <v>26</v>
      </c>
      <c r="AQP4" s="228">
        <v>27</v>
      </c>
      <c r="AQQ4" s="228">
        <v>28</v>
      </c>
      <c r="AQR4" s="228">
        <v>29</v>
      </c>
      <c r="AQS4" s="228">
        <v>30</v>
      </c>
      <c r="AQT4" s="1364"/>
      <c r="AQU4" s="228">
        <v>1</v>
      </c>
      <c r="AQV4" s="228">
        <v>2</v>
      </c>
      <c r="AQW4" s="228">
        <v>3</v>
      </c>
      <c r="AQX4" s="228">
        <v>4</v>
      </c>
      <c r="AQY4" s="228">
        <v>5</v>
      </c>
      <c r="AQZ4" s="228">
        <v>6</v>
      </c>
      <c r="ARA4" s="228">
        <v>7</v>
      </c>
      <c r="ARB4" s="228">
        <v>8</v>
      </c>
      <c r="ARC4" s="228">
        <v>9</v>
      </c>
      <c r="ARD4" s="228">
        <v>10</v>
      </c>
      <c r="ARE4" s="228">
        <v>11</v>
      </c>
      <c r="ARF4" s="228">
        <v>12</v>
      </c>
      <c r="ARG4" s="228">
        <v>13</v>
      </c>
      <c r="ARH4" s="228">
        <v>14</v>
      </c>
      <c r="ARI4" s="228">
        <v>15</v>
      </c>
      <c r="ARJ4" s="228">
        <v>16</v>
      </c>
      <c r="ARK4" s="228">
        <v>17</v>
      </c>
      <c r="ARL4" s="228">
        <v>18</v>
      </c>
      <c r="ARM4" s="228">
        <v>19</v>
      </c>
      <c r="ARN4" s="228">
        <v>20</v>
      </c>
      <c r="ARO4" s="228">
        <v>21</v>
      </c>
      <c r="ARP4" s="228">
        <v>22</v>
      </c>
      <c r="ARQ4" s="228">
        <v>23</v>
      </c>
      <c r="ARR4" s="228">
        <v>24</v>
      </c>
      <c r="ARS4" s="228">
        <v>25</v>
      </c>
      <c r="ART4" s="228">
        <v>26</v>
      </c>
      <c r="ARU4" s="228">
        <v>27</v>
      </c>
      <c r="ARV4" s="228">
        <v>28</v>
      </c>
      <c r="ARW4" s="228">
        <v>29</v>
      </c>
      <c r="ARX4" s="228">
        <v>30</v>
      </c>
      <c r="ARY4" s="228">
        <v>31</v>
      </c>
      <c r="ARZ4" s="1364"/>
      <c r="ASA4" s="228">
        <v>1</v>
      </c>
      <c r="ASB4" s="228">
        <v>2</v>
      </c>
      <c r="ASC4" s="228">
        <v>3</v>
      </c>
      <c r="ASD4" s="228">
        <v>4</v>
      </c>
      <c r="ASE4" s="228">
        <v>5</v>
      </c>
      <c r="ASF4" s="228">
        <v>6</v>
      </c>
      <c r="ASG4" s="228">
        <v>7</v>
      </c>
      <c r="ASH4" s="228">
        <v>8</v>
      </c>
      <c r="ASI4" s="228">
        <v>9</v>
      </c>
      <c r="ASJ4" s="228">
        <v>10</v>
      </c>
      <c r="ASK4" s="228">
        <v>11</v>
      </c>
      <c r="ASL4" s="228">
        <v>12</v>
      </c>
      <c r="ASM4" s="228">
        <v>13</v>
      </c>
      <c r="ASN4" s="228">
        <v>14</v>
      </c>
      <c r="ASO4" s="228">
        <v>15</v>
      </c>
      <c r="ASP4" s="228">
        <v>16</v>
      </c>
      <c r="ASQ4" s="228">
        <v>17</v>
      </c>
      <c r="ASR4" s="228">
        <v>18</v>
      </c>
      <c r="ASS4" s="228">
        <v>19</v>
      </c>
      <c r="AST4" s="228">
        <v>20</v>
      </c>
      <c r="ASU4" s="228">
        <v>21</v>
      </c>
      <c r="ASV4" s="228">
        <v>22</v>
      </c>
      <c r="ASW4" s="228">
        <v>23</v>
      </c>
      <c r="ASX4" s="228">
        <v>24</v>
      </c>
      <c r="ASY4" s="228">
        <v>25</v>
      </c>
      <c r="ASZ4" s="228">
        <v>26</v>
      </c>
      <c r="ATA4" s="228">
        <v>27</v>
      </c>
      <c r="ATB4" s="228">
        <v>28</v>
      </c>
      <c r="ATC4" s="228">
        <v>29</v>
      </c>
      <c r="ATD4" s="228">
        <v>30</v>
      </c>
      <c r="ATE4" s="1364"/>
      <c r="ATF4" s="228">
        <v>1</v>
      </c>
      <c r="ATG4" s="228">
        <v>2</v>
      </c>
      <c r="ATH4" s="228">
        <v>3</v>
      </c>
      <c r="ATI4" s="228">
        <v>4</v>
      </c>
      <c r="ATJ4" s="228">
        <v>5</v>
      </c>
      <c r="ATK4" s="228">
        <v>6</v>
      </c>
      <c r="ATL4" s="228">
        <v>7</v>
      </c>
      <c r="ATM4" s="228">
        <v>8</v>
      </c>
      <c r="ATN4" s="228">
        <v>9</v>
      </c>
      <c r="ATO4" s="228">
        <v>10</v>
      </c>
      <c r="ATP4" s="228">
        <v>11</v>
      </c>
      <c r="ATQ4" s="228">
        <v>12</v>
      </c>
      <c r="ATR4" s="228">
        <v>13</v>
      </c>
      <c r="ATS4" s="228">
        <v>14</v>
      </c>
      <c r="ATT4" s="228">
        <v>15</v>
      </c>
      <c r="ATU4" s="228">
        <v>16</v>
      </c>
      <c r="ATV4" s="228">
        <v>17</v>
      </c>
      <c r="ATW4" s="228">
        <v>18</v>
      </c>
      <c r="ATX4" s="228">
        <v>19</v>
      </c>
      <c r="ATY4" s="228">
        <v>20</v>
      </c>
      <c r="ATZ4" s="228">
        <v>21</v>
      </c>
      <c r="AUA4" s="228">
        <v>22</v>
      </c>
      <c r="AUB4" s="228">
        <v>23</v>
      </c>
      <c r="AUC4" s="228">
        <v>24</v>
      </c>
      <c r="AUD4" s="228">
        <v>25</v>
      </c>
      <c r="AUE4" s="228">
        <v>26</v>
      </c>
      <c r="AUF4" s="228">
        <v>27</v>
      </c>
      <c r="AUG4" s="228">
        <v>28</v>
      </c>
      <c r="AUH4" s="228">
        <v>29</v>
      </c>
      <c r="AUI4" s="228">
        <v>30</v>
      </c>
      <c r="AUJ4" s="228">
        <v>31</v>
      </c>
      <c r="AUK4" s="1364"/>
      <c r="AUL4" s="228">
        <v>1</v>
      </c>
      <c r="AUM4" s="228">
        <v>2</v>
      </c>
      <c r="AUN4" s="228">
        <v>3</v>
      </c>
      <c r="AUO4" s="228">
        <v>4</v>
      </c>
      <c r="AUP4" s="228">
        <v>5</v>
      </c>
      <c r="AUQ4" s="228">
        <v>6</v>
      </c>
      <c r="AUR4" s="228">
        <v>7</v>
      </c>
      <c r="AUS4" s="228">
        <v>8</v>
      </c>
      <c r="AUT4" s="228">
        <v>9</v>
      </c>
      <c r="AUU4" s="228">
        <v>10</v>
      </c>
      <c r="AUV4" s="228">
        <v>11</v>
      </c>
      <c r="AUW4" s="228">
        <v>12</v>
      </c>
      <c r="AUX4" s="228">
        <v>13</v>
      </c>
      <c r="AUY4" s="228">
        <v>14</v>
      </c>
      <c r="AUZ4" s="228">
        <v>15</v>
      </c>
      <c r="AVA4" s="228">
        <v>16</v>
      </c>
      <c r="AVB4" s="228">
        <v>17</v>
      </c>
      <c r="AVC4" s="228">
        <v>18</v>
      </c>
      <c r="AVD4" s="228">
        <v>19</v>
      </c>
      <c r="AVE4" s="228">
        <v>20</v>
      </c>
      <c r="AVF4" s="228">
        <v>21</v>
      </c>
      <c r="AVG4" s="228">
        <v>22</v>
      </c>
      <c r="AVH4" s="228">
        <v>23</v>
      </c>
      <c r="AVI4" s="228">
        <v>24</v>
      </c>
      <c r="AVJ4" s="228">
        <v>25</v>
      </c>
      <c r="AVK4" s="228">
        <v>26</v>
      </c>
      <c r="AVL4" s="228">
        <v>27</v>
      </c>
      <c r="AVM4" s="228">
        <v>28</v>
      </c>
      <c r="AVN4" s="228">
        <v>29</v>
      </c>
      <c r="AVO4" s="228">
        <v>30</v>
      </c>
      <c r="AVP4" s="228">
        <v>31</v>
      </c>
      <c r="AVQ4" s="1364"/>
      <c r="AVR4" s="228">
        <v>1</v>
      </c>
      <c r="AVS4" s="228">
        <v>2</v>
      </c>
      <c r="AVT4" s="228">
        <v>3</v>
      </c>
      <c r="AVU4" s="228">
        <v>4</v>
      </c>
      <c r="AVV4" s="228">
        <v>5</v>
      </c>
      <c r="AVW4" s="228">
        <v>6</v>
      </c>
      <c r="AVX4" s="228">
        <v>7</v>
      </c>
      <c r="AVY4" s="228">
        <v>8</v>
      </c>
      <c r="AVZ4" s="228">
        <v>9</v>
      </c>
      <c r="AWA4" s="228">
        <v>10</v>
      </c>
      <c r="AWB4" s="228">
        <v>11</v>
      </c>
      <c r="AWC4" s="228">
        <v>12</v>
      </c>
      <c r="AWD4" s="228">
        <v>13</v>
      </c>
      <c r="AWE4" s="228">
        <v>14</v>
      </c>
      <c r="AWF4" s="228">
        <v>15</v>
      </c>
      <c r="AWG4" s="228">
        <v>16</v>
      </c>
      <c r="AWH4" s="228">
        <v>17</v>
      </c>
      <c r="AWI4" s="228">
        <v>18</v>
      </c>
      <c r="AWJ4" s="228">
        <v>19</v>
      </c>
      <c r="AWK4" s="228">
        <v>20</v>
      </c>
      <c r="AWL4" s="228">
        <v>21</v>
      </c>
      <c r="AWM4" s="228">
        <v>22</v>
      </c>
      <c r="AWN4" s="228">
        <v>23</v>
      </c>
      <c r="AWO4" s="228">
        <v>24</v>
      </c>
      <c r="AWP4" s="228">
        <v>25</v>
      </c>
      <c r="AWQ4" s="228">
        <v>26</v>
      </c>
      <c r="AWR4" s="228">
        <v>27</v>
      </c>
      <c r="AWS4" s="228">
        <v>28</v>
      </c>
      <c r="AWT4" s="228">
        <v>29</v>
      </c>
      <c r="AWU4" s="228">
        <v>30</v>
      </c>
      <c r="AWV4" s="1364"/>
      <c r="AWW4" s="228">
        <v>1</v>
      </c>
      <c r="AWX4" s="228">
        <v>2</v>
      </c>
      <c r="AWY4" s="228">
        <v>3</v>
      </c>
      <c r="AWZ4" s="228">
        <v>4</v>
      </c>
      <c r="AXA4" s="228">
        <v>5</v>
      </c>
      <c r="AXB4" s="228">
        <v>6</v>
      </c>
      <c r="AXC4" s="228">
        <v>7</v>
      </c>
      <c r="AXD4" s="228">
        <v>8</v>
      </c>
      <c r="AXE4" s="228">
        <v>9</v>
      </c>
      <c r="AXF4" s="228">
        <v>10</v>
      </c>
      <c r="AXG4" s="228">
        <v>11</v>
      </c>
      <c r="AXH4" s="228">
        <v>12</v>
      </c>
      <c r="AXI4" s="228">
        <v>13</v>
      </c>
      <c r="AXJ4" s="228">
        <v>14</v>
      </c>
      <c r="AXK4" s="228">
        <v>15</v>
      </c>
      <c r="AXL4" s="228">
        <v>16</v>
      </c>
      <c r="AXM4" s="228">
        <v>17</v>
      </c>
      <c r="AXN4" s="228">
        <v>18</v>
      </c>
      <c r="AXO4" s="228">
        <v>19</v>
      </c>
      <c r="AXP4" s="228">
        <v>20</v>
      </c>
      <c r="AXQ4" s="228">
        <v>21</v>
      </c>
      <c r="AXR4" s="228">
        <v>22</v>
      </c>
      <c r="AXS4" s="228">
        <v>23</v>
      </c>
      <c r="AXT4" s="228">
        <v>24</v>
      </c>
      <c r="AXU4" s="228">
        <v>25</v>
      </c>
      <c r="AXV4" s="228">
        <v>26</v>
      </c>
      <c r="AXW4" s="228">
        <v>27</v>
      </c>
      <c r="AXX4" s="228">
        <v>28</v>
      </c>
      <c r="AXY4" s="228">
        <v>29</v>
      </c>
      <c r="AXZ4" s="228">
        <v>30</v>
      </c>
      <c r="AYA4" s="228">
        <v>31</v>
      </c>
      <c r="AYB4" s="1364"/>
      <c r="AYC4" s="228">
        <v>1</v>
      </c>
      <c r="AYD4" s="228">
        <v>2</v>
      </c>
      <c r="AYE4" s="228">
        <v>3</v>
      </c>
      <c r="AYF4" s="228">
        <v>4</v>
      </c>
      <c r="AYG4" s="228">
        <v>5</v>
      </c>
      <c r="AYH4" s="228">
        <v>6</v>
      </c>
      <c r="AYI4" s="228">
        <v>7</v>
      </c>
      <c r="AYJ4" s="228">
        <v>8</v>
      </c>
      <c r="AYK4" s="228">
        <v>9</v>
      </c>
      <c r="AYL4" s="228">
        <v>10</v>
      </c>
      <c r="AYM4" s="228">
        <v>11</v>
      </c>
      <c r="AYN4" s="228">
        <v>12</v>
      </c>
      <c r="AYO4" s="228">
        <v>13</v>
      </c>
      <c r="AYP4" s="228">
        <v>14</v>
      </c>
      <c r="AYQ4" s="228">
        <v>15</v>
      </c>
      <c r="AYR4" s="228">
        <v>16</v>
      </c>
      <c r="AYS4" s="228">
        <v>17</v>
      </c>
      <c r="AYT4" s="228">
        <v>18</v>
      </c>
      <c r="AYU4" s="228">
        <v>19</v>
      </c>
      <c r="AYV4" s="228">
        <v>20</v>
      </c>
      <c r="AYW4" s="228">
        <v>21</v>
      </c>
      <c r="AYX4" s="228">
        <v>22</v>
      </c>
      <c r="AYY4" s="228">
        <v>23</v>
      </c>
      <c r="AYZ4" s="228">
        <v>24</v>
      </c>
      <c r="AZA4" s="228">
        <v>25</v>
      </c>
      <c r="AZB4" s="228">
        <v>26</v>
      </c>
      <c r="AZC4" s="228">
        <v>27</v>
      </c>
      <c r="AZD4" s="228">
        <v>28</v>
      </c>
      <c r="AZE4" s="228">
        <v>29</v>
      </c>
      <c r="AZF4" s="228">
        <v>30</v>
      </c>
      <c r="AZG4" s="1364"/>
      <c r="AZH4" s="228">
        <v>1</v>
      </c>
      <c r="AZI4" s="228">
        <v>2</v>
      </c>
      <c r="AZJ4" s="228">
        <v>3</v>
      </c>
      <c r="AZK4" s="228">
        <v>4</v>
      </c>
      <c r="AZL4" s="228">
        <v>5</v>
      </c>
      <c r="AZM4" s="228">
        <v>6</v>
      </c>
      <c r="AZN4" s="228">
        <v>7</v>
      </c>
      <c r="AZO4" s="228">
        <v>8</v>
      </c>
      <c r="AZP4" s="228">
        <v>9</v>
      </c>
      <c r="AZQ4" s="228">
        <v>10</v>
      </c>
      <c r="AZR4" s="228">
        <v>11</v>
      </c>
      <c r="AZS4" s="228">
        <v>12</v>
      </c>
      <c r="AZT4" s="228">
        <v>13</v>
      </c>
      <c r="AZU4" s="228">
        <v>14</v>
      </c>
      <c r="AZV4" s="228">
        <v>15</v>
      </c>
      <c r="AZW4" s="228">
        <v>16</v>
      </c>
      <c r="AZX4" s="228">
        <v>17</v>
      </c>
      <c r="AZY4" s="228">
        <v>18</v>
      </c>
      <c r="AZZ4" s="228">
        <v>19</v>
      </c>
      <c r="BAA4" s="228">
        <v>20</v>
      </c>
      <c r="BAB4" s="228">
        <v>21</v>
      </c>
      <c r="BAC4" s="228">
        <v>22</v>
      </c>
      <c r="BAD4" s="228">
        <v>23</v>
      </c>
      <c r="BAE4" s="228">
        <v>24</v>
      </c>
      <c r="BAF4" s="228">
        <v>25</v>
      </c>
      <c r="BAG4" s="228">
        <v>26</v>
      </c>
      <c r="BAH4" s="228">
        <v>27</v>
      </c>
      <c r="BAI4" s="228">
        <v>28</v>
      </c>
      <c r="BAJ4" s="228">
        <v>29</v>
      </c>
      <c r="BAK4" s="228">
        <v>30</v>
      </c>
      <c r="BAL4" s="228">
        <v>31</v>
      </c>
      <c r="BAM4" s="1364"/>
    </row>
    <row r="5" spans="2:1392">
      <c r="B5" s="230" t="s">
        <v>355</v>
      </c>
      <c r="C5" s="231">
        <f>Actual!F163/1000</f>
        <v>53.492115106</v>
      </c>
      <c r="D5" s="231">
        <f>Actual!G163/1000</f>
        <v>53.492115106</v>
      </c>
      <c r="E5" s="231">
        <f>Actual!H163/1000</f>
        <v>53.492115106</v>
      </c>
      <c r="F5" s="231">
        <f>Actual!I163/1000</f>
        <v>53.492115106</v>
      </c>
      <c r="G5" s="231">
        <f>Actual!J163/1000</f>
        <v>53.492115106</v>
      </c>
      <c r="H5" s="231">
        <f>Actual!K163/1000</f>
        <v>53.492115106</v>
      </c>
      <c r="I5" s="231">
        <f>Actual!L163/1000</f>
        <v>53.492115106</v>
      </c>
      <c r="J5" s="231">
        <f>Actual!M163/1000</f>
        <v>53.492115106</v>
      </c>
      <c r="K5" s="231">
        <f>Actual!N163/1000</f>
        <v>53.492115106</v>
      </c>
      <c r="L5" s="231">
        <f>Actual!O163/1000</f>
        <v>53.492115106</v>
      </c>
      <c r="M5" s="231">
        <f>Actual!P163/1000</f>
        <v>53.492115106</v>
      </c>
      <c r="N5" s="231">
        <f>Actual!Q163/1000</f>
        <v>53.492115106</v>
      </c>
      <c r="O5" s="231">
        <f>Actual!R163/1000</f>
        <v>53.492115106</v>
      </c>
      <c r="P5" s="231">
        <f>Actual!S163/1000</f>
        <v>53.492115106</v>
      </c>
      <c r="Q5" s="231">
        <f>Actual!T163/1000</f>
        <v>53.492115106</v>
      </c>
      <c r="R5" s="231">
        <f>Actual!U163/1000</f>
        <v>53.492115106</v>
      </c>
      <c r="S5" s="231">
        <f>Actual!V163/1000</f>
        <v>53.492115106</v>
      </c>
      <c r="T5" s="231">
        <f>Actual!W163/1000</f>
        <v>53.492115106</v>
      </c>
      <c r="U5" s="231">
        <f>Actual!X163/1000</f>
        <v>53.492115106</v>
      </c>
      <c r="V5" s="231">
        <f>Actual!Y163/1000</f>
        <v>53.492115106</v>
      </c>
      <c r="W5" s="231">
        <f>Actual!Z163/1000</f>
        <v>53.492115106</v>
      </c>
      <c r="X5" s="231">
        <f>Actual!AA163/1000</f>
        <v>53.492115106</v>
      </c>
      <c r="Y5" s="231">
        <f>Actual!AB163/1000</f>
        <v>53.492115106</v>
      </c>
      <c r="Z5" s="231">
        <f>Actual!AC163/1000</f>
        <v>53.492115106</v>
      </c>
      <c r="AA5" s="231">
        <f>Actual!AD163/1000</f>
        <v>53.492115106</v>
      </c>
      <c r="AB5" s="231">
        <f>Actual!AE163/1000</f>
        <v>53.492115106</v>
      </c>
      <c r="AC5" s="231">
        <f>Actual!AF163/1000</f>
        <v>53.492115106</v>
      </c>
      <c r="AD5" s="231">
        <f>Actual!AG163/1000</f>
        <v>53.492115106</v>
      </c>
      <c r="AE5" s="231">
        <f>Actual!AH163/1000</f>
        <v>53.492115106</v>
      </c>
      <c r="AF5" s="231">
        <f>Actual!AI163/1000</f>
        <v>53.492115106</v>
      </c>
      <c r="AG5" s="231">
        <f>Actual!AJ163/1000</f>
        <v>53.492115106</v>
      </c>
      <c r="AH5" s="232">
        <f>AG5</f>
        <v>53.492115106</v>
      </c>
      <c r="AI5" s="231">
        <v>42480.495999999999</v>
      </c>
      <c r="AJ5" s="231">
        <v>43817.046000000002</v>
      </c>
      <c r="AK5" s="231">
        <v>39018.137000000002</v>
      </c>
      <c r="AL5" s="231">
        <v>40898.656999999999</v>
      </c>
      <c r="AM5" s="231">
        <v>41877.356999999996</v>
      </c>
      <c r="AN5" s="231">
        <v>44593.956999999995</v>
      </c>
      <c r="AO5" s="231">
        <v>47119.686999999998</v>
      </c>
      <c r="AP5" s="231">
        <v>49108.996999999996</v>
      </c>
      <c r="AQ5" s="231">
        <v>50945.386999999995</v>
      </c>
      <c r="AR5" s="231">
        <v>56303.866999999998</v>
      </c>
      <c r="AS5" s="231">
        <v>60530.226999999999</v>
      </c>
      <c r="AT5" s="231">
        <v>55538.788999999997</v>
      </c>
      <c r="AU5" s="231">
        <v>61300.698999999993</v>
      </c>
      <c r="AV5" s="231">
        <v>56574.126999999993</v>
      </c>
      <c r="AW5" s="231">
        <v>60190.386999999995</v>
      </c>
      <c r="AX5" s="231">
        <v>61890.276999999995</v>
      </c>
      <c r="AY5" s="231">
        <v>66483.307000000001</v>
      </c>
      <c r="AZ5" s="231">
        <v>70398.797000000006</v>
      </c>
      <c r="BA5" s="231">
        <v>72979.047000000006</v>
      </c>
      <c r="BB5" s="231">
        <v>74689.917000000001</v>
      </c>
      <c r="BC5" s="231">
        <v>77595.346999999994</v>
      </c>
      <c r="BD5" s="231">
        <v>79357.46699999999</v>
      </c>
      <c r="BE5" s="231">
        <v>79700.846999999994</v>
      </c>
      <c r="BF5" s="231">
        <v>63479.563999999984</v>
      </c>
      <c r="BG5" s="231">
        <v>64298.073999999986</v>
      </c>
      <c r="BH5" s="231">
        <v>66950.923999999985</v>
      </c>
      <c r="BI5" s="231">
        <v>58825.712999999982</v>
      </c>
      <c r="BJ5" s="231">
        <v>61934.752999999982</v>
      </c>
      <c r="BK5" s="232">
        <f>BJ5</f>
        <v>61934.752999999982</v>
      </c>
      <c r="BL5" s="231">
        <v>19332.647000000001</v>
      </c>
      <c r="BM5" s="231">
        <v>21919.358</v>
      </c>
      <c r="BN5" s="231">
        <v>25226.448</v>
      </c>
      <c r="BO5" s="231">
        <v>28401.067999999999</v>
      </c>
      <c r="BP5" s="231">
        <v>31142.948</v>
      </c>
      <c r="BQ5" s="231">
        <v>33006.597999999998</v>
      </c>
      <c r="BR5" s="231">
        <v>34128.907999999996</v>
      </c>
      <c r="BS5" s="231">
        <v>36312.577999999994</v>
      </c>
      <c r="BT5" s="231">
        <v>32509.383999999995</v>
      </c>
      <c r="BU5" s="231">
        <v>34871.693999999996</v>
      </c>
      <c r="BV5" s="231">
        <v>23910.224999999999</v>
      </c>
      <c r="BW5" s="231">
        <v>26444.071</v>
      </c>
      <c r="BX5" s="231">
        <v>30346.631000000001</v>
      </c>
      <c r="BY5" s="231">
        <v>24244.984</v>
      </c>
      <c r="BZ5" s="231">
        <v>27715.184000000001</v>
      </c>
      <c r="CA5" s="231">
        <v>31514.594000000001</v>
      </c>
      <c r="CB5" s="231">
        <v>34003.514000000003</v>
      </c>
      <c r="CC5" s="231">
        <v>22455.514000000003</v>
      </c>
      <c r="CD5" s="231">
        <v>25418.994000000002</v>
      </c>
      <c r="CE5" s="231">
        <v>28470.504000000001</v>
      </c>
      <c r="CF5" s="231">
        <v>29763.884000000002</v>
      </c>
      <c r="CG5" s="231">
        <v>32975.294000000002</v>
      </c>
      <c r="CH5" s="231">
        <v>36245.574000000001</v>
      </c>
      <c r="CI5" s="231">
        <v>32509.567000000003</v>
      </c>
      <c r="CJ5" s="231">
        <v>36016.247000000003</v>
      </c>
      <c r="CK5" s="231">
        <v>36979.947</v>
      </c>
      <c r="CL5" s="231">
        <v>40024.927000000003</v>
      </c>
      <c r="CM5" s="231">
        <v>41869.467000000004</v>
      </c>
      <c r="CN5" s="231">
        <v>43474.127000000008</v>
      </c>
      <c r="CO5" s="231">
        <v>44974.877000000008</v>
      </c>
      <c r="CP5" s="231">
        <v>47857.307000000008</v>
      </c>
      <c r="CQ5" s="232"/>
      <c r="CR5" s="231">
        <v>50383.017</v>
      </c>
      <c r="CS5" s="231">
        <v>53283.067000000003</v>
      </c>
      <c r="CT5" s="231">
        <v>55611.867000000006</v>
      </c>
      <c r="CU5" s="231">
        <v>51024.862000000001</v>
      </c>
      <c r="CV5" s="231">
        <v>52678.792000000001</v>
      </c>
      <c r="CW5" s="231">
        <v>54949.671999999999</v>
      </c>
      <c r="CX5" s="231">
        <v>57481.311999999998</v>
      </c>
      <c r="CY5" s="231">
        <v>59863.241999999998</v>
      </c>
      <c r="CZ5" s="231">
        <v>62675.572</v>
      </c>
      <c r="DA5" s="231">
        <v>65288.042000000001</v>
      </c>
      <c r="DB5" s="231">
        <v>51710.179999999993</v>
      </c>
      <c r="DC5" s="231">
        <v>52477.859999999993</v>
      </c>
      <c r="DD5" s="231">
        <v>53188.409999999996</v>
      </c>
      <c r="DE5" s="231">
        <v>48305.716</v>
      </c>
      <c r="DF5" s="231">
        <v>42962.347999999998</v>
      </c>
      <c r="DG5" s="231">
        <v>38792.084999999999</v>
      </c>
      <c r="DH5" s="231">
        <v>35140.403999999995</v>
      </c>
      <c r="DI5" s="231">
        <v>36814.383999999998</v>
      </c>
      <c r="DJ5" s="231">
        <v>37777.964</v>
      </c>
      <c r="DK5" s="231">
        <v>40203.133999999998</v>
      </c>
      <c r="DL5" s="231">
        <v>34407.777999999998</v>
      </c>
      <c r="DM5" s="231">
        <v>28973.019999999997</v>
      </c>
      <c r="DN5" s="231">
        <v>31069.999999999996</v>
      </c>
      <c r="DO5" s="231">
        <v>33449.679999999993</v>
      </c>
      <c r="DP5" s="231">
        <v>33911.419999999991</v>
      </c>
      <c r="DQ5" s="231">
        <v>29560.764999999989</v>
      </c>
      <c r="DR5" s="231">
        <v>23309.256999999991</v>
      </c>
      <c r="DS5" s="231">
        <v>19844.23499999999</v>
      </c>
      <c r="DT5" s="231">
        <v>23232.18499999999</v>
      </c>
      <c r="DU5" s="231">
        <v>25068.194999999992</v>
      </c>
      <c r="DV5" s="231">
        <v>0</v>
      </c>
      <c r="DW5" s="232"/>
      <c r="DX5" s="231">
        <v>14525.205</v>
      </c>
      <c r="DY5" s="231">
        <v>16434.310000000001</v>
      </c>
      <c r="DZ5" s="231">
        <v>18055</v>
      </c>
      <c r="EA5" s="231">
        <v>20699.169999999998</v>
      </c>
      <c r="EB5" s="231">
        <v>25296.496999999999</v>
      </c>
      <c r="EC5" s="231">
        <v>26115.346999999998</v>
      </c>
      <c r="ED5" s="231">
        <v>27459.776999999998</v>
      </c>
      <c r="EE5" s="231">
        <v>29568.816999999999</v>
      </c>
      <c r="EF5" s="231">
        <v>29568.816999999999</v>
      </c>
      <c r="EG5" s="231">
        <v>37684.797999999995</v>
      </c>
      <c r="EH5" s="231">
        <v>32064.156999999992</v>
      </c>
      <c r="EI5" s="231">
        <v>34420.196999999993</v>
      </c>
      <c r="EJ5" s="231">
        <v>31228.244999999988</v>
      </c>
      <c r="EK5" s="231">
        <v>34466.964999999989</v>
      </c>
      <c r="EL5" s="231">
        <v>36176.024999999987</v>
      </c>
      <c r="EM5" s="231">
        <v>38397.674999999988</v>
      </c>
      <c r="EN5" s="231">
        <v>36588.068999999989</v>
      </c>
      <c r="EO5" s="231">
        <v>28661.918999999991</v>
      </c>
      <c r="EP5" s="231">
        <v>33103.418999999994</v>
      </c>
      <c r="EQ5" s="231">
        <v>37598.718999999997</v>
      </c>
      <c r="ER5" s="231">
        <v>35736.635000000002</v>
      </c>
      <c r="ES5" s="231">
        <v>30704.167000000001</v>
      </c>
      <c r="ET5" s="231">
        <v>25387.22</v>
      </c>
      <c r="EU5" s="231">
        <v>18326.358</v>
      </c>
      <c r="EV5" s="231">
        <v>19942.248</v>
      </c>
      <c r="EW5" s="231">
        <v>20789.477999999999</v>
      </c>
      <c r="EX5" s="231">
        <v>22691.397999999997</v>
      </c>
      <c r="EY5" s="231">
        <v>24593.977999999999</v>
      </c>
      <c r="EZ5" s="231">
        <v>26198.277999999998</v>
      </c>
      <c r="FA5" s="231">
        <v>27530.647999999997</v>
      </c>
      <c r="FB5" s="231">
        <v>30102.587999999996</v>
      </c>
      <c r="FC5" s="232"/>
      <c r="FD5" s="231">
        <v>30893</v>
      </c>
      <c r="FE5" s="231">
        <v>31387.06</v>
      </c>
      <c r="FF5" s="231">
        <v>24245.692999999999</v>
      </c>
      <c r="FG5" s="231">
        <v>25709.262999999999</v>
      </c>
      <c r="FH5" s="231">
        <v>27229.597000000002</v>
      </c>
      <c r="FI5" s="231">
        <v>29141.454000000002</v>
      </c>
      <c r="FJ5" s="231">
        <v>31421.634000000002</v>
      </c>
      <c r="FK5" s="231">
        <v>34001.024000000005</v>
      </c>
      <c r="FL5" s="231">
        <v>36057.494000000006</v>
      </c>
      <c r="FM5" s="231">
        <v>30144.496000000006</v>
      </c>
      <c r="FN5" s="231">
        <v>31135.746000000006</v>
      </c>
      <c r="FO5" s="231">
        <v>31817.266000000007</v>
      </c>
      <c r="FP5" s="231">
        <v>31817.266000000007</v>
      </c>
      <c r="FQ5" s="231">
        <v>33375.776000000005</v>
      </c>
      <c r="FR5" s="231">
        <v>28582.670000000006</v>
      </c>
      <c r="FS5" s="231">
        <v>31162.260000000006</v>
      </c>
      <c r="FT5" s="231">
        <v>32640.910000000007</v>
      </c>
      <c r="FU5" s="231">
        <v>35136.500000000007</v>
      </c>
      <c r="FV5" s="231">
        <v>36029.69000000001</v>
      </c>
      <c r="FW5" s="231">
        <v>37672.80000000001</v>
      </c>
      <c r="FX5" s="231">
        <v>39171.540000000008</v>
      </c>
      <c r="FY5" s="231">
        <v>41112.970000000008</v>
      </c>
      <c r="FZ5" s="231">
        <v>42719.760000000009</v>
      </c>
      <c r="GA5" s="231">
        <v>43428.700000000012</v>
      </c>
      <c r="GB5" s="231">
        <v>43428.700000000012</v>
      </c>
      <c r="GC5" s="231">
        <v>40811.953000000009</v>
      </c>
      <c r="GD5" s="231">
        <v>37446.24500000001</v>
      </c>
      <c r="GE5" s="231">
        <v>26542.432000000012</v>
      </c>
      <c r="GF5" s="231">
        <v>19770.094000000012</v>
      </c>
      <c r="GG5" s="231">
        <v>15829.555000000011</v>
      </c>
      <c r="GH5" s="231"/>
      <c r="GI5" s="232"/>
      <c r="GJ5" s="231">
        <v>12130.57</v>
      </c>
      <c r="GK5" s="231">
        <v>8071.4559999999992</v>
      </c>
      <c r="GL5" s="231">
        <v>10058.706</v>
      </c>
      <c r="GM5" s="231">
        <v>12888.894</v>
      </c>
      <c r="GN5" s="231">
        <v>13891.754000000001</v>
      </c>
      <c r="GO5" s="231">
        <v>14306.014000000001</v>
      </c>
      <c r="GP5" s="231">
        <v>15080.184000000001</v>
      </c>
      <c r="GQ5" s="231">
        <v>8966.2470000000012</v>
      </c>
      <c r="GR5" s="231">
        <v>11016.117000000002</v>
      </c>
      <c r="GS5" s="231">
        <v>12733.727000000003</v>
      </c>
      <c r="GT5" s="231">
        <v>7037.4210000000003</v>
      </c>
      <c r="GU5" s="231">
        <v>8536.4609999999993</v>
      </c>
      <c r="GV5" s="231">
        <v>9530.1709999999985</v>
      </c>
      <c r="GW5" s="231">
        <v>9700.9609999999993</v>
      </c>
      <c r="GX5" s="231">
        <v>12278.221</v>
      </c>
      <c r="GY5" s="231">
        <v>7310.6609999999991</v>
      </c>
      <c r="GZ5" s="231">
        <v>9598.5909999999985</v>
      </c>
      <c r="HA5" s="231">
        <v>9655.6009999999987</v>
      </c>
      <c r="HB5" s="231">
        <v>11403.200999999999</v>
      </c>
      <c r="HC5" s="231">
        <v>13514.550999999999</v>
      </c>
      <c r="HD5" s="231">
        <v>15485.981</v>
      </c>
      <c r="HE5" s="231">
        <v>17370.571</v>
      </c>
      <c r="HF5" s="231">
        <v>18844.800999999999</v>
      </c>
      <c r="HG5" s="231">
        <v>21146.501</v>
      </c>
      <c r="HH5" s="231">
        <v>14597.756000000001</v>
      </c>
      <c r="HI5" s="231">
        <v>16248.816000000001</v>
      </c>
      <c r="HJ5" s="231">
        <v>16407.206000000002</v>
      </c>
      <c r="HK5" s="231">
        <v>17685.996000000003</v>
      </c>
      <c r="HL5" s="231">
        <v>19479.476000000002</v>
      </c>
      <c r="HM5" s="231">
        <v>21996.666000000001</v>
      </c>
      <c r="HN5" s="231">
        <v>17242.613000000001</v>
      </c>
      <c r="HO5" s="232"/>
      <c r="HP5" s="231">
        <v>17678.953000000001</v>
      </c>
      <c r="HQ5" s="231">
        <v>18898.743000000002</v>
      </c>
      <c r="HR5" s="231">
        <v>20815.449000000001</v>
      </c>
      <c r="HS5" s="231">
        <v>22663.599000000002</v>
      </c>
      <c r="HT5" s="231">
        <v>24539.009000000002</v>
      </c>
      <c r="HU5" s="231">
        <v>26694.776999999998</v>
      </c>
      <c r="HV5" s="231">
        <v>26694.776999999998</v>
      </c>
      <c r="HW5" s="231">
        <v>26694.776999999998</v>
      </c>
      <c r="HX5" s="231">
        <v>26726.556999999997</v>
      </c>
      <c r="HY5" s="231">
        <v>26726.556999999997</v>
      </c>
      <c r="HZ5" s="231">
        <v>28441.726999999999</v>
      </c>
      <c r="IA5" s="231">
        <v>29293.406999999999</v>
      </c>
      <c r="IB5" s="231">
        <v>32488.807000000001</v>
      </c>
      <c r="IC5" s="231">
        <v>35546.786999999997</v>
      </c>
      <c r="ID5" s="231">
        <v>38746.546999999999</v>
      </c>
      <c r="IE5" s="231">
        <v>41682.186999999998</v>
      </c>
      <c r="IF5" s="231">
        <v>43515.616999999998</v>
      </c>
      <c r="IG5" s="231">
        <v>47130.866999999998</v>
      </c>
      <c r="IH5" s="231">
        <v>49225.906999999999</v>
      </c>
      <c r="II5" s="231">
        <v>50974.356999999996</v>
      </c>
      <c r="IJ5" s="231">
        <v>54726.166999999994</v>
      </c>
      <c r="IK5" s="231">
        <v>57062.786999999997</v>
      </c>
      <c r="IL5" s="231">
        <v>52541.565999999999</v>
      </c>
      <c r="IM5" s="231">
        <v>56168.116000000002</v>
      </c>
      <c r="IN5" s="231">
        <v>56198.486000000004</v>
      </c>
      <c r="IO5" s="231">
        <v>56731.626000000004</v>
      </c>
      <c r="IP5" s="231">
        <v>49413.170000000006</v>
      </c>
      <c r="IQ5" s="231">
        <v>49413.170000000006</v>
      </c>
      <c r="IR5" s="231">
        <v>50304.020000000004</v>
      </c>
      <c r="IS5" s="231">
        <v>53883.960000000006</v>
      </c>
      <c r="IT5" s="231">
        <v>56854.490000000005</v>
      </c>
      <c r="IU5" s="232"/>
      <c r="IV5" s="231">
        <v>50195.769</v>
      </c>
      <c r="IW5" s="231">
        <v>53697.788999999997</v>
      </c>
      <c r="IX5" s="231">
        <v>58211.108999999997</v>
      </c>
      <c r="IY5" s="231">
        <v>53311.490999999995</v>
      </c>
      <c r="IZ5" s="231">
        <v>51686.62999999999</v>
      </c>
      <c r="JA5" s="231">
        <v>46855.927999999985</v>
      </c>
      <c r="JB5" s="231">
        <v>39523.621999999988</v>
      </c>
      <c r="JC5" s="231">
        <v>30980.46699999999</v>
      </c>
      <c r="JD5" s="231">
        <v>25693.568999999992</v>
      </c>
      <c r="JE5" s="231">
        <v>24903.812000000002</v>
      </c>
      <c r="JF5" s="231">
        <v>28848.682000000001</v>
      </c>
      <c r="JG5" s="231">
        <v>31219.022000000001</v>
      </c>
      <c r="JH5" s="231">
        <v>33190.112000000001</v>
      </c>
      <c r="JI5" s="231">
        <v>35393.212</v>
      </c>
      <c r="JJ5" s="231">
        <v>37014.451999999997</v>
      </c>
      <c r="JK5" s="231">
        <v>37263.572</v>
      </c>
      <c r="JL5" s="231">
        <v>38232.302000000003</v>
      </c>
      <c r="JM5" s="231">
        <v>40026.942000000003</v>
      </c>
      <c r="JN5" s="231">
        <v>42341.582000000002</v>
      </c>
      <c r="JO5" s="231">
        <v>46682.412000000004</v>
      </c>
      <c r="JP5" s="231">
        <v>50377.022000000004</v>
      </c>
      <c r="JQ5" s="231">
        <v>44444.157000000007</v>
      </c>
      <c r="JR5" s="231">
        <v>38459.549000000006</v>
      </c>
      <c r="JS5" s="231">
        <v>30678.257000000005</v>
      </c>
      <c r="JT5" s="231">
        <v>26249.081000000006</v>
      </c>
      <c r="JU5" s="231">
        <v>23487.149000000005</v>
      </c>
      <c r="JV5" s="231">
        <v>24754.909000000003</v>
      </c>
      <c r="JW5" s="231">
        <v>25549.144000000004</v>
      </c>
      <c r="JX5" s="231">
        <v>28807.054000000004</v>
      </c>
      <c r="JY5" s="231">
        <v>31998.374000000003</v>
      </c>
      <c r="JZ5" s="231">
        <v>0</v>
      </c>
      <c r="KA5" s="232"/>
      <c r="KB5" s="290">
        <v>36748.231</v>
      </c>
      <c r="KC5" s="290">
        <v>41141.271000000001</v>
      </c>
      <c r="KD5" s="290">
        <v>35096.489000000001</v>
      </c>
      <c r="KE5" s="290">
        <v>32035.777000000002</v>
      </c>
      <c r="KF5" s="290">
        <v>35639.927000000003</v>
      </c>
      <c r="KG5" s="290">
        <v>32725.801000000007</v>
      </c>
      <c r="KH5" s="290">
        <v>36049.241000000009</v>
      </c>
      <c r="KI5" s="290">
        <v>30697.21100000001</v>
      </c>
      <c r="KJ5" s="290">
        <v>33089.861000000012</v>
      </c>
      <c r="KK5" s="290">
        <v>35674.341000000015</v>
      </c>
      <c r="KL5" s="290">
        <v>37385.671000000017</v>
      </c>
      <c r="KM5" s="290">
        <v>40942.791000000019</v>
      </c>
      <c r="KN5" s="290">
        <v>43598.361000000019</v>
      </c>
      <c r="KO5" s="290">
        <v>47089.601000000017</v>
      </c>
      <c r="KP5" s="290">
        <v>51043.771000000015</v>
      </c>
      <c r="KQ5" s="290">
        <v>45664.79800000001</v>
      </c>
      <c r="KR5" s="290">
        <v>40679.825000000012</v>
      </c>
      <c r="KS5" s="290">
        <v>45542.975000000013</v>
      </c>
      <c r="KT5" s="290">
        <v>51383.807999999997</v>
      </c>
      <c r="KU5" s="290">
        <v>56162.727999999996</v>
      </c>
      <c r="KV5" s="290">
        <v>60891.928</v>
      </c>
      <c r="KW5" s="290">
        <v>65867.767999999996</v>
      </c>
      <c r="KX5" s="290">
        <v>70922.187999999995</v>
      </c>
      <c r="KY5" s="290">
        <v>77086.607999999993</v>
      </c>
      <c r="KZ5" s="290">
        <v>77309.216</v>
      </c>
      <c r="LA5" s="290">
        <v>82544.766000000003</v>
      </c>
      <c r="LB5" s="290">
        <v>74470.536999999997</v>
      </c>
      <c r="LC5" s="290">
        <v>67593.441999999995</v>
      </c>
      <c r="LD5" s="290">
        <v>59271.475999999995</v>
      </c>
      <c r="LE5" s="290">
        <v>54897.072999999997</v>
      </c>
      <c r="LF5" s="290">
        <v>59527.982999999993</v>
      </c>
      <c r="LG5" s="232"/>
      <c r="LH5" s="290">
        <v>60818.633000000002</v>
      </c>
      <c r="LI5" s="290">
        <v>64054.113000000005</v>
      </c>
      <c r="LJ5" s="290">
        <v>68211.993000000002</v>
      </c>
      <c r="LK5" s="290">
        <v>56848.286</v>
      </c>
      <c r="LL5" s="290">
        <v>59113.216</v>
      </c>
      <c r="LM5" s="290">
        <v>60098.057000000001</v>
      </c>
      <c r="LN5" s="290">
        <v>63067.357000000004</v>
      </c>
      <c r="LO5" s="290">
        <v>67533.127000000008</v>
      </c>
      <c r="LP5" s="290">
        <v>70960.487000000008</v>
      </c>
      <c r="LQ5" s="290">
        <v>74775.287000000011</v>
      </c>
      <c r="LR5" s="290">
        <v>79003.827000000005</v>
      </c>
      <c r="LS5" s="290">
        <v>83487.917000000001</v>
      </c>
      <c r="LT5" s="290">
        <v>86939.506999999998</v>
      </c>
      <c r="LU5" s="290">
        <v>89364.906999999992</v>
      </c>
      <c r="LV5" s="290">
        <v>89834.646999999997</v>
      </c>
      <c r="LW5" s="290">
        <v>93727.887000000002</v>
      </c>
      <c r="LX5" s="290">
        <v>97872.036999999997</v>
      </c>
      <c r="LY5" s="290">
        <v>103147.787</v>
      </c>
      <c r="LZ5" s="290">
        <v>106017.897</v>
      </c>
      <c r="MA5" s="290">
        <v>95147.159999999989</v>
      </c>
      <c r="MB5" s="290">
        <v>89591.37</v>
      </c>
      <c r="MC5" s="290">
        <v>92904.54</v>
      </c>
      <c r="MD5" s="290">
        <v>89637.87</v>
      </c>
      <c r="ME5" s="290">
        <v>93495.78</v>
      </c>
      <c r="MF5" s="290">
        <v>91021.911000000007</v>
      </c>
      <c r="MG5" s="290">
        <v>97846.37</v>
      </c>
      <c r="MH5" s="290">
        <v>99106.4</v>
      </c>
      <c r="MI5" s="290">
        <v>100901.48</v>
      </c>
      <c r="MJ5" s="290">
        <v>98886.024000000005</v>
      </c>
      <c r="MK5" s="290">
        <v>91174.399000000005</v>
      </c>
      <c r="ML5" s="290"/>
      <c r="MM5" s="232"/>
      <c r="MN5" s="290">
        <v>95723.739000000001</v>
      </c>
      <c r="MO5" s="290">
        <v>101461.549</v>
      </c>
      <c r="MP5" s="290">
        <v>106409.22899999999</v>
      </c>
      <c r="MQ5" s="290">
        <v>112422.80899999999</v>
      </c>
      <c r="MR5" s="290">
        <v>85945.709000000003</v>
      </c>
      <c r="MS5" s="290">
        <v>87329.358999999997</v>
      </c>
      <c r="MT5" s="290">
        <v>90232.368999999992</v>
      </c>
      <c r="MU5" s="290">
        <v>88903.335999999981</v>
      </c>
      <c r="MV5" s="290">
        <v>91499.095999999976</v>
      </c>
      <c r="MW5" s="290">
        <v>83576.657999999967</v>
      </c>
      <c r="MX5" s="290">
        <v>87410.007999999973</v>
      </c>
      <c r="MY5" s="290">
        <v>86448.642999999967</v>
      </c>
      <c r="MZ5" s="290">
        <v>77782.886999999973</v>
      </c>
      <c r="NA5" s="290">
        <v>75180.377999999968</v>
      </c>
      <c r="NB5" s="290">
        <v>80082.847999999969</v>
      </c>
      <c r="NC5" s="290">
        <v>79417.564999999973</v>
      </c>
      <c r="ND5" s="290">
        <v>81700.314999999973</v>
      </c>
      <c r="NE5" s="290">
        <v>82564.63499999998</v>
      </c>
      <c r="NF5" s="290">
        <v>77493.180999999982</v>
      </c>
      <c r="NG5" s="290">
        <v>79601.680999999982</v>
      </c>
      <c r="NH5" s="290">
        <v>81945.950999999986</v>
      </c>
      <c r="NI5" s="290">
        <v>84306.130999999994</v>
      </c>
      <c r="NJ5" s="290">
        <v>89299.880999999994</v>
      </c>
      <c r="NK5" s="290">
        <v>93300.701000000001</v>
      </c>
      <c r="NL5" s="290">
        <v>95563.971000000005</v>
      </c>
      <c r="NM5" s="290">
        <v>98615.111000000004</v>
      </c>
      <c r="NN5" s="290">
        <v>93890.057000000001</v>
      </c>
      <c r="NO5" s="290">
        <v>98192.157000000007</v>
      </c>
      <c r="NP5" s="290">
        <v>98192.157000000007</v>
      </c>
      <c r="NQ5" s="290">
        <v>98192.157000000007</v>
      </c>
      <c r="NR5" s="290">
        <v>98192.157000000007</v>
      </c>
      <c r="NS5" s="232"/>
      <c r="NT5" s="231">
        <v>64628.925000000017</v>
      </c>
      <c r="NU5" s="231">
        <v>63771.988000000027</v>
      </c>
      <c r="NV5" s="231">
        <v>58560.274000000027</v>
      </c>
      <c r="NW5" s="231">
        <v>53675.693000000028</v>
      </c>
      <c r="NX5" s="231">
        <v>56699.693000000028</v>
      </c>
      <c r="NY5" s="231">
        <v>58226.613000000027</v>
      </c>
      <c r="NZ5" s="231">
        <v>59693.77300000003</v>
      </c>
      <c r="OA5" s="231">
        <v>61630.833000000028</v>
      </c>
      <c r="OB5" s="231">
        <v>63390.983000000029</v>
      </c>
      <c r="OC5" s="231">
        <v>68580.673000000024</v>
      </c>
      <c r="OD5" s="231">
        <v>64283.696000000018</v>
      </c>
      <c r="OE5" s="231">
        <v>68088.106000000014</v>
      </c>
      <c r="OF5" s="231">
        <v>70316.006000000008</v>
      </c>
      <c r="OG5" s="231">
        <v>71902.386000000013</v>
      </c>
      <c r="OH5" s="231">
        <v>74589.406000000017</v>
      </c>
      <c r="OI5" s="231">
        <v>75151.796000000017</v>
      </c>
      <c r="OJ5" s="231">
        <v>76891.58600000001</v>
      </c>
      <c r="OK5" s="231">
        <v>77790.576000000015</v>
      </c>
      <c r="OL5" s="231">
        <v>80007.95600000002</v>
      </c>
      <c r="OM5" s="231">
        <v>82008.036000000022</v>
      </c>
      <c r="ON5" s="231">
        <v>84957.256000000023</v>
      </c>
      <c r="OO5" s="231">
        <v>80106.072000000015</v>
      </c>
      <c r="OP5" s="231">
        <v>74813.041000000012</v>
      </c>
      <c r="OQ5" s="231">
        <v>70022.185000000012</v>
      </c>
      <c r="OR5" s="231">
        <v>65589.248000000021</v>
      </c>
      <c r="OS5" s="231">
        <v>64307.625000000015</v>
      </c>
      <c r="OT5" s="231">
        <v>54096.521000000015</v>
      </c>
      <c r="OU5" s="231">
        <v>52645.305000000015</v>
      </c>
      <c r="OV5" s="231">
        <v>56317.065000000017</v>
      </c>
      <c r="OW5" s="231">
        <v>51529.399000000012</v>
      </c>
      <c r="OX5" s="231">
        <v>55143.609000000011</v>
      </c>
      <c r="OY5" s="232">
        <f>OX5</f>
        <v>55143.609000000011</v>
      </c>
      <c r="OZ5" s="231">
        <v>92072.068999999974</v>
      </c>
      <c r="PA5" s="231">
        <v>94990.388999999981</v>
      </c>
      <c r="PB5" s="231">
        <v>96808.478999999978</v>
      </c>
      <c r="PC5" s="231">
        <v>97612.888999999981</v>
      </c>
      <c r="PD5" s="231">
        <v>100234.58899999998</v>
      </c>
      <c r="PE5" s="231">
        <v>101521.98899999997</v>
      </c>
      <c r="PF5" s="231">
        <v>104060.35899999997</v>
      </c>
      <c r="PG5" s="231">
        <v>106093.18899999997</v>
      </c>
      <c r="PH5" s="231">
        <v>101165.23199999997</v>
      </c>
      <c r="PI5" s="231">
        <v>102829.32199999997</v>
      </c>
      <c r="PJ5" s="231">
        <v>97233.406999999977</v>
      </c>
      <c r="PK5" s="231">
        <v>100052.30699999997</v>
      </c>
      <c r="PL5" s="231">
        <v>100979.13699999997</v>
      </c>
      <c r="PM5" s="231">
        <v>104056.64699999997</v>
      </c>
      <c r="PN5" s="231">
        <v>109456.44699999997</v>
      </c>
      <c r="PO5" s="231">
        <v>112631.64699999997</v>
      </c>
      <c r="PP5" s="231">
        <v>113752.37699999996</v>
      </c>
      <c r="PQ5" s="231">
        <v>107262.28699999997</v>
      </c>
      <c r="PR5" s="231">
        <v>109448.17699999997</v>
      </c>
      <c r="PS5" s="231">
        <v>110638.20699999997</v>
      </c>
      <c r="PT5" s="231">
        <v>114658.83699999997</v>
      </c>
      <c r="PU5" s="231">
        <v>111342.63499999997</v>
      </c>
      <c r="PV5" s="231">
        <v>114988.94499999996</v>
      </c>
      <c r="PW5" s="231">
        <v>118503.56499999996</v>
      </c>
      <c r="PX5" s="231">
        <v>114430.89099999996</v>
      </c>
      <c r="PY5" s="231">
        <v>117721.65099999995</v>
      </c>
      <c r="PZ5" s="231">
        <v>119500.82099999995</v>
      </c>
      <c r="QA5" s="231">
        <v>122378.25099999995</v>
      </c>
      <c r="QB5" s="231">
        <v>125036.54099999994</v>
      </c>
      <c r="QC5" s="231">
        <v>128239.26099999994</v>
      </c>
      <c r="QD5" s="232">
        <f>QC5</f>
        <v>128239.26099999994</v>
      </c>
      <c r="QE5" s="231">
        <v>93937.428</v>
      </c>
      <c r="QF5" s="231">
        <v>96423.528000000006</v>
      </c>
      <c r="QG5" s="231">
        <v>91906.849000000017</v>
      </c>
      <c r="QH5" s="231">
        <v>85924.599000000017</v>
      </c>
      <c r="QI5" s="231">
        <v>80184.238000000012</v>
      </c>
      <c r="QJ5" s="231">
        <v>80987.648000000016</v>
      </c>
      <c r="QK5" s="231">
        <v>82516.688000000009</v>
      </c>
      <c r="QL5" s="231">
        <v>76232.422000000006</v>
      </c>
      <c r="QM5" s="231">
        <v>77449.642000000007</v>
      </c>
      <c r="QN5" s="231">
        <v>68810.423999999999</v>
      </c>
      <c r="QO5" s="231">
        <v>61974.925999999999</v>
      </c>
      <c r="QP5" s="231">
        <v>54651.589</v>
      </c>
      <c r="QQ5" s="231">
        <v>54651.589</v>
      </c>
      <c r="QR5" s="231">
        <v>54651.589</v>
      </c>
      <c r="QS5" s="231">
        <v>54651.589</v>
      </c>
      <c r="QT5" s="231">
        <v>54943.618999999999</v>
      </c>
      <c r="QU5" s="231">
        <v>55978.138999999996</v>
      </c>
      <c r="QV5" s="231">
        <v>44504.102999999996</v>
      </c>
      <c r="QW5" s="231">
        <v>43232.489000000001</v>
      </c>
      <c r="QX5" s="231">
        <v>40810.853000000003</v>
      </c>
      <c r="QY5" s="231">
        <v>43286.703000000001</v>
      </c>
      <c r="QZ5" s="231">
        <v>41036.337000000007</v>
      </c>
      <c r="RA5" s="231">
        <v>37088.699000000008</v>
      </c>
      <c r="RB5" s="231">
        <v>40332.979000000007</v>
      </c>
      <c r="RC5" s="231">
        <v>41661.379000000008</v>
      </c>
      <c r="RD5" s="231">
        <v>39957.174000000006</v>
      </c>
      <c r="RE5" s="231">
        <v>35665.739000000009</v>
      </c>
      <c r="RF5" s="231">
        <v>38675.31900000001</v>
      </c>
      <c r="RG5" s="231">
        <v>41537.809000000008</v>
      </c>
      <c r="RH5" s="231">
        <v>44810.099000000009</v>
      </c>
      <c r="RI5" s="231">
        <v>48673.759000000005</v>
      </c>
      <c r="RJ5" s="232">
        <v>48673.759000000005</v>
      </c>
      <c r="RK5" s="290">
        <v>50404.184999999998</v>
      </c>
      <c r="RL5" s="290">
        <v>54824.074999999997</v>
      </c>
      <c r="RM5" s="290">
        <v>59852.744999999995</v>
      </c>
      <c r="RN5" s="290">
        <v>64229.714999999997</v>
      </c>
      <c r="RO5" s="290">
        <v>67883.974999999991</v>
      </c>
      <c r="RP5" s="290">
        <v>70849.334999999992</v>
      </c>
      <c r="RQ5" s="290">
        <v>74341.694999999992</v>
      </c>
      <c r="RR5" s="290">
        <v>75018.674999999988</v>
      </c>
      <c r="RS5" s="290">
        <v>77627.044999999984</v>
      </c>
      <c r="RT5" s="290">
        <v>80965.104999999981</v>
      </c>
      <c r="RU5" s="290">
        <v>85053.834999999977</v>
      </c>
      <c r="RV5" s="290">
        <v>92578.054999999978</v>
      </c>
      <c r="RW5" s="290">
        <v>100812.05499999998</v>
      </c>
      <c r="RX5" s="290">
        <v>106456.49499999998</v>
      </c>
      <c r="RY5" s="290">
        <v>107870.97499999998</v>
      </c>
      <c r="RZ5" s="290">
        <v>112372.29499999998</v>
      </c>
      <c r="SA5" s="290">
        <v>115128.81499999999</v>
      </c>
      <c r="SB5" s="290">
        <v>119718.39499999999</v>
      </c>
      <c r="SC5" s="290">
        <v>107664.15299999999</v>
      </c>
      <c r="SD5" s="290">
        <v>96039.320999999996</v>
      </c>
      <c r="SE5" s="290">
        <v>94842.227999999988</v>
      </c>
      <c r="SF5" s="290">
        <v>90159.57799999998</v>
      </c>
      <c r="SG5" s="290">
        <v>87628.558999999979</v>
      </c>
      <c r="SH5" s="290">
        <v>82401.904999999984</v>
      </c>
      <c r="SI5" s="290">
        <v>83600.640999999989</v>
      </c>
      <c r="SJ5" s="290">
        <v>88476.580999999991</v>
      </c>
      <c r="SK5" s="290">
        <v>86236.168999999994</v>
      </c>
      <c r="SL5" s="290">
        <v>91896.298999999999</v>
      </c>
      <c r="SM5" s="290">
        <v>92837.798999999999</v>
      </c>
      <c r="SN5" s="231">
        <v>89026.518000000011</v>
      </c>
      <c r="SO5" s="232">
        <f>SN5</f>
        <v>89026.518000000011</v>
      </c>
      <c r="SP5" s="290">
        <v>89296.000000000015</v>
      </c>
      <c r="SQ5" s="290">
        <v>84023.879000000015</v>
      </c>
      <c r="SR5" s="290">
        <v>80460.29300000002</v>
      </c>
      <c r="SS5" s="290">
        <v>70793.339000000022</v>
      </c>
      <c r="ST5" s="290">
        <v>66924.351000000024</v>
      </c>
      <c r="SU5" s="290">
        <v>63627.783000000025</v>
      </c>
      <c r="SV5" s="290">
        <v>64077.123000000021</v>
      </c>
      <c r="SW5" s="290">
        <v>65570.523000000016</v>
      </c>
      <c r="SX5" s="290">
        <v>67342.873000000021</v>
      </c>
      <c r="SY5" s="290">
        <v>69529.963000000018</v>
      </c>
      <c r="SZ5" s="290">
        <v>71014.583000000013</v>
      </c>
      <c r="TA5" s="290">
        <v>72247.883000000016</v>
      </c>
      <c r="TB5" s="290">
        <v>72548.313000000009</v>
      </c>
      <c r="TC5" s="290">
        <v>71847.021000000008</v>
      </c>
      <c r="TD5" s="290">
        <v>68799.686000000002</v>
      </c>
      <c r="TE5" s="290">
        <v>65505.341000000008</v>
      </c>
      <c r="TF5" s="290">
        <v>72166.631000000008</v>
      </c>
      <c r="TG5" s="290">
        <v>78678.411000000007</v>
      </c>
      <c r="TH5" s="290">
        <v>84236.041000000012</v>
      </c>
      <c r="TI5" s="290">
        <v>77666.233000000007</v>
      </c>
      <c r="TJ5" s="290">
        <v>82409.743000000002</v>
      </c>
      <c r="TK5" s="290">
        <v>85377.163</v>
      </c>
      <c r="TL5" s="290">
        <v>81173.515999999989</v>
      </c>
      <c r="TM5" s="290">
        <v>84370.205999999991</v>
      </c>
      <c r="TN5" s="290">
        <v>88406.685999999987</v>
      </c>
      <c r="TO5" s="290">
        <v>76134.66899999998</v>
      </c>
      <c r="TP5" s="290">
        <v>77587.828999999983</v>
      </c>
      <c r="TQ5" s="290">
        <v>81974.348999999987</v>
      </c>
      <c r="TR5" s="290">
        <v>85535.52899999998</v>
      </c>
      <c r="TS5" s="290">
        <v>81688.395999999979</v>
      </c>
      <c r="TT5" s="290">
        <v>76349.47199999998</v>
      </c>
      <c r="TU5" s="232">
        <v>76349.47199999998</v>
      </c>
      <c r="TV5" s="290">
        <v>77761.748999999996</v>
      </c>
      <c r="TW5" s="290">
        <v>79685.448999999993</v>
      </c>
      <c r="TX5" s="290">
        <v>80273.048999999999</v>
      </c>
      <c r="TY5" s="290">
        <v>82633.188999999998</v>
      </c>
      <c r="TZ5" s="290">
        <v>84136.118999999992</v>
      </c>
      <c r="UA5" s="290">
        <v>86715.808999999994</v>
      </c>
      <c r="UB5" s="290">
        <v>89826.588999999993</v>
      </c>
      <c r="UC5" s="290">
        <v>92266.318999999989</v>
      </c>
      <c r="UD5" s="290">
        <v>87886.45</v>
      </c>
      <c r="UE5" s="290">
        <v>89875.09</v>
      </c>
      <c r="UF5" s="290">
        <v>84956.172999999995</v>
      </c>
      <c r="UG5" s="290">
        <v>84956.172999999995</v>
      </c>
      <c r="UH5" s="290">
        <v>85534.042999999991</v>
      </c>
      <c r="UI5" s="290">
        <v>79727.105999999985</v>
      </c>
      <c r="UJ5" s="290">
        <v>68125.102999999974</v>
      </c>
      <c r="UK5" s="290">
        <v>65691.778999999966</v>
      </c>
      <c r="UL5" s="290">
        <v>63252.278999999959</v>
      </c>
      <c r="UM5" s="290">
        <v>63468.558999999957</v>
      </c>
      <c r="UN5" s="290">
        <v>56336.702999999958</v>
      </c>
      <c r="UO5" s="290">
        <v>50134.341999999961</v>
      </c>
      <c r="UP5" s="290">
        <v>42821.407999999959</v>
      </c>
      <c r="UQ5" s="290">
        <v>29794.371999999959</v>
      </c>
      <c r="UR5" s="290">
        <v>25818.68099999996</v>
      </c>
      <c r="US5" s="290">
        <v>25515.280999999959</v>
      </c>
      <c r="UT5" s="290">
        <v>25086.735999999957</v>
      </c>
      <c r="UU5" s="290">
        <v>24578.877999999961</v>
      </c>
      <c r="UV5" s="290">
        <v>29315.967999999961</v>
      </c>
      <c r="UW5" s="290">
        <v>37271.077999999965</v>
      </c>
      <c r="UX5" s="290">
        <v>40649.017999999967</v>
      </c>
      <c r="UY5" s="290">
        <v>43161.077999999965</v>
      </c>
      <c r="UZ5" s="290">
        <v>36999.648999999969</v>
      </c>
      <c r="VA5" s="232">
        <v>76349.47199999998</v>
      </c>
      <c r="VB5" s="290">
        <v>36308.911999999997</v>
      </c>
      <c r="VC5" s="290">
        <v>37885.621999999996</v>
      </c>
      <c r="VD5" s="290">
        <v>30907.000999999997</v>
      </c>
      <c r="VE5" s="290">
        <v>23563.934999999998</v>
      </c>
      <c r="VF5" s="290">
        <v>24921.544999999998</v>
      </c>
      <c r="VG5" s="290">
        <v>20078.087999999996</v>
      </c>
      <c r="VH5" s="290">
        <v>22059.307999999997</v>
      </c>
      <c r="VI5" s="290">
        <v>26159.047999999999</v>
      </c>
      <c r="VJ5" s="290">
        <v>27538.457999999999</v>
      </c>
      <c r="VK5" s="290">
        <v>20474.614000000001</v>
      </c>
      <c r="VL5" s="290">
        <v>20474.614000000001</v>
      </c>
      <c r="VM5" s="290">
        <v>13147.741000000002</v>
      </c>
      <c r="VN5" s="290">
        <v>8890.0630000000019</v>
      </c>
      <c r="VO5" s="290">
        <v>10350.913000000002</v>
      </c>
      <c r="VP5" s="290">
        <v>12869.783000000003</v>
      </c>
      <c r="VQ5" s="290">
        <v>15869.513000000003</v>
      </c>
      <c r="VR5" s="290">
        <v>10902.192999999999</v>
      </c>
      <c r="VS5" s="290">
        <v>13031.192999999999</v>
      </c>
      <c r="VT5" s="290">
        <v>16019.883</v>
      </c>
      <c r="VU5" s="290">
        <v>18640.402999999998</v>
      </c>
      <c r="VV5" s="290">
        <v>14018.312999999998</v>
      </c>
      <c r="VW5" s="290">
        <v>16740.722999999998</v>
      </c>
      <c r="VX5" s="290">
        <v>13546.556</v>
      </c>
      <c r="VY5" s="290">
        <v>16923.846000000001</v>
      </c>
      <c r="VZ5" s="290">
        <v>14616.788000000004</v>
      </c>
      <c r="WA5" s="290">
        <v>20431.498000000003</v>
      </c>
      <c r="WB5" s="290">
        <v>24387.248000000003</v>
      </c>
      <c r="WC5" s="290">
        <v>26467.818000000003</v>
      </c>
      <c r="WD5" s="290">
        <v>24965.973000000005</v>
      </c>
      <c r="WE5" s="290">
        <v>28818.003000000004</v>
      </c>
      <c r="WF5" s="232">
        <v>76349.47199999998</v>
      </c>
      <c r="WG5" s="290">
        <v>25174.476000000006</v>
      </c>
      <c r="WH5" s="290">
        <v>28122.556000000004</v>
      </c>
      <c r="WI5" s="290">
        <v>29245.956000000006</v>
      </c>
      <c r="WJ5" s="290">
        <v>31585.546000000006</v>
      </c>
      <c r="WK5" s="290">
        <v>32786.636000000006</v>
      </c>
      <c r="WL5" s="290">
        <v>34816.846000000005</v>
      </c>
      <c r="WM5" s="290">
        <v>30047.79</v>
      </c>
      <c r="WN5" s="290">
        <v>33283.71</v>
      </c>
      <c r="WO5" s="290">
        <v>35535.06</v>
      </c>
      <c r="WP5" s="290">
        <v>37907.089999999997</v>
      </c>
      <c r="WQ5" s="290">
        <v>33269.696000000004</v>
      </c>
      <c r="WR5" s="290">
        <v>27318.749000000003</v>
      </c>
      <c r="WS5" s="290">
        <v>30569.969000000005</v>
      </c>
      <c r="WT5" s="290">
        <v>32909.279000000002</v>
      </c>
      <c r="WU5" s="290">
        <v>34301.409</v>
      </c>
      <c r="WV5" s="290">
        <v>30799.096000000001</v>
      </c>
      <c r="WW5" s="290">
        <v>32669.166000000001</v>
      </c>
      <c r="WX5" s="290">
        <v>34604.356</v>
      </c>
      <c r="WY5" s="290">
        <v>35622.106</v>
      </c>
      <c r="WZ5" s="290">
        <v>38752.485999999997</v>
      </c>
      <c r="XA5" s="290">
        <v>39666.025999999998</v>
      </c>
      <c r="XB5" s="290">
        <v>42468.085999999996</v>
      </c>
      <c r="XC5" s="290">
        <v>45931.695999999996</v>
      </c>
      <c r="XD5" s="290">
        <v>42273.858999999997</v>
      </c>
      <c r="XE5" s="290">
        <v>36814.457999999999</v>
      </c>
      <c r="XF5" s="290">
        <v>37828.898000000001</v>
      </c>
      <c r="XG5" s="290">
        <v>41003.167999999998</v>
      </c>
      <c r="XH5" s="290">
        <v>43072.777999999998</v>
      </c>
      <c r="XI5" s="290">
        <v>39714.131999999998</v>
      </c>
      <c r="XJ5" s="290">
        <v>42895.471999999994</v>
      </c>
      <c r="XK5" s="290">
        <v>39236.435999999987</v>
      </c>
      <c r="XL5" s="232">
        <v>39236.435999999987</v>
      </c>
      <c r="XM5" s="290">
        <v>42724.625000000007</v>
      </c>
      <c r="XN5" s="290">
        <v>37224.646000000008</v>
      </c>
      <c r="XO5" s="290">
        <v>39410.236000000004</v>
      </c>
      <c r="XP5" s="290">
        <v>40767.016000000003</v>
      </c>
      <c r="XQ5" s="290">
        <v>43733.416000000005</v>
      </c>
      <c r="XR5" s="290">
        <v>32810.182000000008</v>
      </c>
      <c r="XS5" s="290">
        <v>33734.732000000011</v>
      </c>
      <c r="XT5" s="290">
        <v>33734.732000000011</v>
      </c>
      <c r="XU5" s="290">
        <v>26365.198000000011</v>
      </c>
      <c r="XV5" s="290">
        <v>26365.198000000011</v>
      </c>
      <c r="XW5" s="290">
        <v>26365.198000000011</v>
      </c>
      <c r="XX5" s="290">
        <v>19040.427000000011</v>
      </c>
      <c r="XY5" s="290">
        <v>19040.427000000011</v>
      </c>
      <c r="XZ5" s="290">
        <v>19040.427000000011</v>
      </c>
      <c r="YA5" s="290">
        <v>19040.427000000011</v>
      </c>
      <c r="YB5" s="290">
        <v>19040.427000000011</v>
      </c>
      <c r="YC5" s="290">
        <v>19040.427000000011</v>
      </c>
      <c r="YD5" s="290">
        <v>19040.427000000011</v>
      </c>
      <c r="YE5" s="290">
        <v>19146.517000000011</v>
      </c>
      <c r="YF5" s="290">
        <v>23076.677000000011</v>
      </c>
      <c r="YG5" s="290">
        <v>27895.417000000009</v>
      </c>
      <c r="YH5" s="290">
        <v>32996.24700000001</v>
      </c>
      <c r="YI5" s="290">
        <v>35984.097000000009</v>
      </c>
      <c r="YJ5" s="290">
        <v>42564.38700000001</v>
      </c>
      <c r="YK5" s="290">
        <v>50629.177000000011</v>
      </c>
      <c r="YL5" s="290">
        <v>57837.827000000012</v>
      </c>
      <c r="YM5" s="290">
        <v>64521.207000000009</v>
      </c>
      <c r="YN5" s="290">
        <v>61639.203000000009</v>
      </c>
      <c r="YO5" s="290">
        <v>60008.773000000016</v>
      </c>
      <c r="YP5" s="290">
        <v>54798.500193548403</v>
      </c>
      <c r="YQ5" s="290">
        <v>56895.27438709679</v>
      </c>
      <c r="YR5" s="232">
        <v>56895.27438709679</v>
      </c>
      <c r="YS5" s="290">
        <f>Actual!F163</f>
        <v>53492.115105999997</v>
      </c>
      <c r="YT5" s="290">
        <f>Actual!G163</f>
        <v>53492.115105999997</v>
      </c>
      <c r="YU5" s="290">
        <f>Actual!H163</f>
        <v>53492.115105999997</v>
      </c>
      <c r="YV5" s="290">
        <f>Actual!I163</f>
        <v>53492.115105999997</v>
      </c>
      <c r="YW5" s="290">
        <f>Actual!J163</f>
        <v>53492.115105999997</v>
      </c>
      <c r="YX5" s="290">
        <f>Actual!K163</f>
        <v>53492.115105999997</v>
      </c>
      <c r="YY5" s="290">
        <f>Actual!L163</f>
        <v>53492.115105999997</v>
      </c>
      <c r="YZ5" s="290">
        <f>Actual!M163</f>
        <v>53492.115105999997</v>
      </c>
      <c r="ZA5" s="290">
        <f>Actual!N163</f>
        <v>53492.115105999997</v>
      </c>
      <c r="ZB5" s="290">
        <f>Actual!O163</f>
        <v>53492.115105999997</v>
      </c>
      <c r="ZC5" s="290">
        <f>Actual!P163</f>
        <v>53492.115105999997</v>
      </c>
      <c r="ZD5" s="290">
        <f>Actual!Q163</f>
        <v>53492.115105999997</v>
      </c>
      <c r="ZE5" s="290">
        <f>Actual!R163</f>
        <v>53492.115105999997</v>
      </c>
      <c r="ZF5" s="290">
        <f>Actual!S163</f>
        <v>53492.115105999997</v>
      </c>
      <c r="ZG5" s="290">
        <f>Actual!T163</f>
        <v>53492.115105999997</v>
      </c>
      <c r="ZH5" s="290">
        <f>Actual!U163</f>
        <v>53492.115105999997</v>
      </c>
      <c r="ZI5" s="290">
        <f>Actual!V163</f>
        <v>53492.115105999997</v>
      </c>
      <c r="ZJ5" s="290">
        <f>Actual!W163</f>
        <v>53492.115105999997</v>
      </c>
      <c r="ZK5" s="290">
        <f>Actual!X163</f>
        <v>53492.115105999997</v>
      </c>
      <c r="ZL5" s="290">
        <f>Actual!Y163</f>
        <v>53492.115105999997</v>
      </c>
      <c r="ZM5" s="290">
        <f>Actual!Z163</f>
        <v>53492.115105999997</v>
      </c>
      <c r="ZN5" s="290">
        <f>Actual!AA163</f>
        <v>53492.115105999997</v>
      </c>
      <c r="ZO5" s="290">
        <f>Actual!AB163</f>
        <v>53492.115105999997</v>
      </c>
      <c r="ZP5" s="290">
        <f>Actual!AC163</f>
        <v>53492.115105999997</v>
      </c>
      <c r="ZQ5" s="290">
        <f>Actual!AD163</f>
        <v>53492.115105999997</v>
      </c>
      <c r="ZR5" s="290">
        <f>Actual!AE163</f>
        <v>53492.115105999997</v>
      </c>
      <c r="ZS5" s="290">
        <f>Actual!AF163</f>
        <v>53492.115105999997</v>
      </c>
      <c r="ZT5" s="290">
        <f>Actual!AG163</f>
        <v>53492.115105999997</v>
      </c>
      <c r="ZU5" s="290">
        <f>Actual!AH163</f>
        <v>53492.115105999997</v>
      </c>
      <c r="ZV5" s="290">
        <f>ZU5+ZV6-ZV12-ZV14-ZV16-ZV18-ZV20-ZV22-ZV24</f>
        <v>65601.844493096767</v>
      </c>
      <c r="ZW5" s="290">
        <f>ZV5+ZW6-ZW12-ZW14-ZW16-ZW18-ZW20-ZW22-ZW24</f>
        <v>77711.573880193537</v>
      </c>
      <c r="ZX5" s="232">
        <f>ZW5</f>
        <v>77711.573880193537</v>
      </c>
      <c r="ZY5" s="231">
        <v>152584.79900000003</v>
      </c>
      <c r="ZZ5" s="231">
        <v>155994.59900000002</v>
      </c>
      <c r="AAA5" s="231">
        <v>150743.65800000002</v>
      </c>
      <c r="AAB5" s="231">
        <v>146535.89300000004</v>
      </c>
      <c r="AAC5" s="231">
        <v>148036.79300000003</v>
      </c>
      <c r="AAD5" s="231">
        <v>149534.28300000002</v>
      </c>
      <c r="AAE5" s="231">
        <v>151432.19300000003</v>
      </c>
      <c r="AAF5" s="231">
        <v>145177.40900000004</v>
      </c>
      <c r="AAG5" s="231">
        <v>140761.67500000005</v>
      </c>
      <c r="AAH5" s="231">
        <v>142850.39500000005</v>
      </c>
      <c r="AAI5" s="231">
        <v>137041.87800000006</v>
      </c>
      <c r="AAJ5" s="231">
        <v>131103.99700000006</v>
      </c>
      <c r="AAK5" s="231">
        <v>126275.84000000007</v>
      </c>
      <c r="AAL5" s="231">
        <v>129235.01000000007</v>
      </c>
      <c r="AAM5" s="231">
        <v>132689.72000000006</v>
      </c>
      <c r="AAN5" s="231">
        <v>129264.51900000006</v>
      </c>
      <c r="AAO5" s="231">
        <v>124315.06800000006</v>
      </c>
      <c r="AAP5" s="231">
        <v>120649.29100000006</v>
      </c>
      <c r="AAQ5" s="231">
        <v>121430.98200000006</v>
      </c>
      <c r="AAR5" s="231">
        <v>118778.22300000006</v>
      </c>
      <c r="AAS5" s="231">
        <v>123335.65300000005</v>
      </c>
      <c r="AAT5" s="231">
        <v>123622.08300000004</v>
      </c>
      <c r="AAU5" s="231">
        <v>127889.54300000005</v>
      </c>
      <c r="AAV5" s="231">
        <v>124502.93700000005</v>
      </c>
      <c r="AAW5" s="231">
        <v>121858.02700000006</v>
      </c>
      <c r="AAX5" s="231">
        <v>127282.30700000006</v>
      </c>
      <c r="AAY5" s="231">
        <v>132728.81700000007</v>
      </c>
      <c r="AAZ5" s="231">
        <v>137372</v>
      </c>
      <c r="ABA5" s="232">
        <f>AAZ5</f>
        <v>137372</v>
      </c>
      <c r="ABB5" s="231">
        <v>138469.821</v>
      </c>
      <c r="ABC5" s="231">
        <v>140758.43099999998</v>
      </c>
      <c r="ABD5" s="231">
        <v>137232.91099999996</v>
      </c>
      <c r="ABE5" s="231">
        <v>140509.57099999997</v>
      </c>
      <c r="ABF5" s="231">
        <v>145198.81099999996</v>
      </c>
      <c r="ABG5" s="231">
        <v>140134.21199999997</v>
      </c>
      <c r="ABH5" s="231">
        <v>141477.35199999998</v>
      </c>
      <c r="ABI5" s="231">
        <v>142577.19199999998</v>
      </c>
      <c r="ABJ5" s="231">
        <v>146350.19199999998</v>
      </c>
      <c r="ABK5" s="231">
        <v>150105.38199999998</v>
      </c>
      <c r="ABL5" s="231">
        <v>154204.66199999998</v>
      </c>
      <c r="ABM5" s="231">
        <v>151659.50999999998</v>
      </c>
      <c r="ABN5" s="231">
        <v>153365.38999999998</v>
      </c>
      <c r="ABO5" s="231">
        <v>158083.59</v>
      </c>
      <c r="ABP5" s="231">
        <v>160609.47</v>
      </c>
      <c r="ABQ5" s="231">
        <v>166106.78</v>
      </c>
      <c r="ABR5" s="231">
        <v>156142.31099999999</v>
      </c>
      <c r="ABS5" s="231">
        <v>152672.59700000001</v>
      </c>
      <c r="ABT5" s="231">
        <v>149730.72100000002</v>
      </c>
      <c r="ABU5" s="231">
        <v>147145.65300000002</v>
      </c>
      <c r="ABV5" s="231">
        <v>138752.57900000003</v>
      </c>
      <c r="ABW5" s="231">
        <v>137108.035</v>
      </c>
      <c r="ABX5" s="231">
        <v>131634.38399999999</v>
      </c>
      <c r="ABY5" s="231">
        <v>129569.626</v>
      </c>
      <c r="ABZ5" s="231">
        <v>128620.686</v>
      </c>
      <c r="ACA5" s="231">
        <v>126430.67699999998</v>
      </c>
      <c r="ACB5" s="231">
        <v>130933.52699999999</v>
      </c>
      <c r="ACC5" s="231">
        <v>134894.91699999999</v>
      </c>
      <c r="ACD5" s="231">
        <v>129997.80799999999</v>
      </c>
      <c r="ACE5" s="231">
        <v>133395.68799999999</v>
      </c>
      <c r="ACF5" s="231">
        <v>136642.45799999998</v>
      </c>
      <c r="ACG5" s="232">
        <v>136642.45799999998</v>
      </c>
      <c r="ACH5" s="231">
        <v>141939.49799999999</v>
      </c>
      <c r="ACI5" s="231">
        <v>146518.55799999999</v>
      </c>
      <c r="ACJ5" s="231">
        <v>150031.288</v>
      </c>
      <c r="ACK5" s="231">
        <v>137014.34600000002</v>
      </c>
      <c r="ACL5" s="231">
        <v>138552.62600000002</v>
      </c>
      <c r="ACM5" s="231">
        <v>142139.32600000003</v>
      </c>
      <c r="ACN5" s="231">
        <v>138638.37900000004</v>
      </c>
      <c r="ACO5" s="231">
        <v>133782.18800000002</v>
      </c>
      <c r="ACP5" s="231">
        <v>131054.95000000001</v>
      </c>
      <c r="ACQ5" s="231">
        <v>125598.01500000003</v>
      </c>
      <c r="ACR5" s="231">
        <v>126864.27500000002</v>
      </c>
      <c r="ACS5" s="231">
        <v>126864.27500000002</v>
      </c>
      <c r="ACT5" s="231">
        <v>127838.97500000002</v>
      </c>
      <c r="ACU5" s="231">
        <v>128350.18500000003</v>
      </c>
      <c r="ACV5" s="231">
        <v>121406.86300000003</v>
      </c>
      <c r="ACW5" s="231">
        <v>114080.29200000003</v>
      </c>
      <c r="ACX5" s="231">
        <v>115382.43200000003</v>
      </c>
      <c r="ACY5" s="231">
        <v>108777.54300000003</v>
      </c>
      <c r="ACZ5" s="231">
        <v>101600.10800000004</v>
      </c>
      <c r="ADA5" s="231">
        <v>102675.41800000003</v>
      </c>
      <c r="ADB5" s="231">
        <v>95761.007000000027</v>
      </c>
      <c r="ADC5" s="231">
        <v>97051.527000000031</v>
      </c>
      <c r="ADD5" s="231">
        <v>97630.737000000037</v>
      </c>
      <c r="ADE5" s="231">
        <v>99121.66700000003</v>
      </c>
      <c r="ADF5" s="231">
        <v>95091.812000000034</v>
      </c>
      <c r="ADG5" s="231">
        <v>95696.362000000037</v>
      </c>
      <c r="ADH5" s="231">
        <v>98343.132000000041</v>
      </c>
      <c r="ADI5" s="231">
        <v>101073.674</v>
      </c>
      <c r="ADJ5" s="231">
        <v>105523.784</v>
      </c>
      <c r="ADK5" s="231">
        <v>110315.444</v>
      </c>
      <c r="ADL5" s="231"/>
      <c r="ADM5" s="232">
        <v>110315.444</v>
      </c>
      <c r="ADN5" s="231">
        <v>141939.49799999999</v>
      </c>
      <c r="ADO5" s="231">
        <v>141940.49799999999</v>
      </c>
      <c r="ADP5" s="231">
        <v>141941.49799999999</v>
      </c>
      <c r="ADQ5" s="231">
        <v>141942.49799999999</v>
      </c>
      <c r="ADR5" s="231">
        <v>141943.49799999999</v>
      </c>
      <c r="ADS5" s="231">
        <v>141944.49799999999</v>
      </c>
      <c r="ADT5" s="231">
        <v>141945.49799999999</v>
      </c>
      <c r="ADU5" s="231">
        <v>141946.49799999999</v>
      </c>
      <c r="ADV5" s="231">
        <v>141947.49799999999</v>
      </c>
      <c r="ADW5" s="231">
        <v>141948.49799999999</v>
      </c>
      <c r="ADX5" s="231">
        <v>141949.49799999999</v>
      </c>
      <c r="ADY5" s="231">
        <v>141950.49799999999</v>
      </c>
      <c r="ADZ5" s="231">
        <v>141951.49799999999</v>
      </c>
      <c r="AEA5" s="231">
        <v>141952.49799999999</v>
      </c>
      <c r="AEB5" s="231">
        <v>141953.49799999999</v>
      </c>
      <c r="AEC5" s="231">
        <v>141954.49799999999</v>
      </c>
      <c r="AED5" s="231">
        <v>141955.49799999999</v>
      </c>
      <c r="AEE5" s="231">
        <v>141956.49799999999</v>
      </c>
      <c r="AEF5" s="231">
        <v>141957.49799999999</v>
      </c>
      <c r="AEG5" s="231">
        <v>141958.49799999999</v>
      </c>
      <c r="AEH5" s="231">
        <v>141959.49799999999</v>
      </c>
      <c r="AEI5" s="231">
        <v>141960.49799999999</v>
      </c>
      <c r="AEJ5" s="231">
        <v>141961.49799999999</v>
      </c>
      <c r="AEK5" s="231">
        <v>141962.49799999999</v>
      </c>
      <c r="AEL5" s="231">
        <v>141963.49799999999</v>
      </c>
      <c r="AEM5" s="231">
        <v>141964.49799999999</v>
      </c>
      <c r="AEN5" s="231">
        <v>141965.49799999999</v>
      </c>
      <c r="AEO5" s="231">
        <v>141966.49799999999</v>
      </c>
      <c r="AEP5" s="231">
        <v>138016.622</v>
      </c>
      <c r="AEQ5" s="231">
        <v>127043.19900000001</v>
      </c>
      <c r="AER5" s="231">
        <v>122222.55400000002</v>
      </c>
      <c r="AES5" s="232">
        <v>122222.55400000002</v>
      </c>
      <c r="AET5" s="231">
        <v>115003.353</v>
      </c>
      <c r="AEU5" s="231">
        <v>118629.26300000001</v>
      </c>
      <c r="AEV5" s="231">
        <v>114985.462</v>
      </c>
      <c r="AEW5" s="231">
        <v>109257.79000000001</v>
      </c>
      <c r="AEX5" s="231">
        <v>113405.23000000001</v>
      </c>
      <c r="AEY5" s="231">
        <v>115182.27799999999</v>
      </c>
      <c r="AEZ5" s="231">
        <v>117643.08799999999</v>
      </c>
      <c r="AFA5" s="231">
        <v>120867.95799999998</v>
      </c>
      <c r="AFB5" s="231">
        <v>118131.86599999998</v>
      </c>
      <c r="AFC5" s="231">
        <v>115393.07599999997</v>
      </c>
      <c r="AFD5" s="231">
        <v>117989.32599999997</v>
      </c>
      <c r="AFE5" s="231">
        <v>122805.04599999997</v>
      </c>
      <c r="AFF5" s="231">
        <v>127072.27599999997</v>
      </c>
      <c r="AFG5" s="231">
        <v>120566.18599999997</v>
      </c>
      <c r="AFH5" s="231">
        <v>117025.14299999998</v>
      </c>
      <c r="AFI5" s="231">
        <v>120387.20299999998</v>
      </c>
      <c r="AFJ5" s="231">
        <v>122393.98299999998</v>
      </c>
      <c r="AFK5" s="231">
        <v>123556.22299999998</v>
      </c>
      <c r="AFL5" s="231">
        <v>119596.47799999999</v>
      </c>
      <c r="AFM5" s="231">
        <v>122857.658</v>
      </c>
      <c r="AFN5" s="231">
        <v>122857.658</v>
      </c>
      <c r="AFO5" s="231">
        <v>123571.648</v>
      </c>
      <c r="AFP5" s="231">
        <v>124994.46800000001</v>
      </c>
      <c r="AFQ5" s="231">
        <v>124994.46800000001</v>
      </c>
      <c r="AFR5" s="231">
        <v>124994.46800000001</v>
      </c>
      <c r="AFS5" s="231">
        <v>125173.99800000001</v>
      </c>
      <c r="AFT5" s="231">
        <v>126192.15800000001</v>
      </c>
      <c r="AFU5" s="231">
        <v>126192.15800000001</v>
      </c>
      <c r="AFV5" s="231">
        <v>118794.30300000001</v>
      </c>
      <c r="AFW5" s="231">
        <v>119126.09300000001</v>
      </c>
      <c r="AFX5" s="232">
        <v>119126.09300000001</v>
      </c>
      <c r="AFY5" s="231">
        <v>120745.87200000002</v>
      </c>
      <c r="AFZ5" s="231">
        <v>122783.11200000002</v>
      </c>
      <c r="AGA5" s="231">
        <v>124270.86200000002</v>
      </c>
      <c r="AGB5" s="231">
        <v>127452.40200000002</v>
      </c>
      <c r="AGC5" s="231">
        <v>130021.64200000002</v>
      </c>
      <c r="AGD5" s="231">
        <v>125347.42700000003</v>
      </c>
      <c r="AGE5" s="231">
        <v>128052.43700000002</v>
      </c>
      <c r="AGF5" s="231">
        <v>128742.647</v>
      </c>
      <c r="AGG5" s="231">
        <v>130966.317</v>
      </c>
      <c r="AGH5" s="231">
        <v>130966.317</v>
      </c>
      <c r="AGI5" s="231">
        <v>132098.41699999999</v>
      </c>
      <c r="AGJ5" s="231">
        <v>132098.41699999999</v>
      </c>
      <c r="AGK5" s="231">
        <v>133562.03699999998</v>
      </c>
      <c r="AGL5" s="231">
        <v>135502.13699999999</v>
      </c>
      <c r="AGM5" s="231">
        <v>137508.37699999998</v>
      </c>
      <c r="AGN5" s="231">
        <v>140111.37699999998</v>
      </c>
      <c r="AGO5" s="231">
        <v>142774.80699999997</v>
      </c>
      <c r="AGP5" s="231">
        <v>145652.91699999996</v>
      </c>
      <c r="AGQ5" s="231">
        <v>145927.74699999994</v>
      </c>
      <c r="AGR5" s="231">
        <v>138652.99599999993</v>
      </c>
      <c r="AGS5" s="231">
        <v>132102.55599999995</v>
      </c>
      <c r="AGT5" s="231">
        <v>132102.55599999995</v>
      </c>
      <c r="AGU5" s="231">
        <v>129694.70999999996</v>
      </c>
      <c r="AGV5" s="231">
        <v>135586.46999999997</v>
      </c>
      <c r="AGW5" s="231">
        <v>131307.60699999996</v>
      </c>
      <c r="AGX5" s="231">
        <v>126542.39399999997</v>
      </c>
      <c r="AGY5" s="231">
        <v>111928.29599999997</v>
      </c>
      <c r="AGZ5" s="231">
        <v>113822.67599999998</v>
      </c>
      <c r="AHA5" s="231">
        <v>111077.51499999998</v>
      </c>
      <c r="AHB5" s="231">
        <v>114861.35499999998</v>
      </c>
      <c r="AHC5" s="231">
        <v>109742.95999999999</v>
      </c>
      <c r="AHD5" s="232">
        <v>109742.95999999999</v>
      </c>
      <c r="AHE5" s="231">
        <v>101794.75099999999</v>
      </c>
      <c r="AHF5" s="231">
        <v>101824.39099999999</v>
      </c>
      <c r="AHG5" s="231">
        <v>102857.82099999998</v>
      </c>
      <c r="AHH5" s="231">
        <v>96911.512999999977</v>
      </c>
      <c r="AHI5" s="231">
        <v>92186.364999999976</v>
      </c>
      <c r="AHJ5" s="231">
        <v>86562.253999999972</v>
      </c>
      <c r="AHK5" s="231">
        <v>88312.533999999971</v>
      </c>
      <c r="AHL5" s="231">
        <v>91899.843999999968</v>
      </c>
      <c r="AHM5" s="231">
        <v>93016.483999999968</v>
      </c>
      <c r="AHN5" s="231">
        <v>86635.747999999963</v>
      </c>
      <c r="AHO5" s="231">
        <v>83627.091999999961</v>
      </c>
      <c r="AHP5" s="231">
        <v>85711.051999999967</v>
      </c>
      <c r="AHQ5" s="231">
        <v>87319.811999999962</v>
      </c>
      <c r="AHR5" s="231">
        <v>89768.23199999996</v>
      </c>
      <c r="AHS5" s="231">
        <v>92786.411999999953</v>
      </c>
      <c r="AHT5" s="231">
        <v>93930.971999999951</v>
      </c>
      <c r="AHU5" s="231">
        <v>94643.521999999954</v>
      </c>
      <c r="AHV5" s="231">
        <v>99160.521999999954</v>
      </c>
      <c r="AHW5" s="231">
        <v>100967.58199999995</v>
      </c>
      <c r="AHX5" s="231">
        <v>104887.35199999996</v>
      </c>
      <c r="AHY5" s="231">
        <v>110756.95199999996</v>
      </c>
      <c r="AHZ5" s="231">
        <v>115253.68199999996</v>
      </c>
      <c r="AIA5" s="231">
        <v>117986.10199999996</v>
      </c>
      <c r="AIB5" s="231">
        <v>115545.65599999996</v>
      </c>
      <c r="AIC5" s="231">
        <v>115278.95799999996</v>
      </c>
      <c r="AID5" s="231">
        <v>111433.68999999994</v>
      </c>
      <c r="AIE5" s="231">
        <v>108546.16999999995</v>
      </c>
      <c r="AIF5" s="231">
        <v>107257.68899999995</v>
      </c>
      <c r="AIG5" s="231">
        <v>105998.71499999995</v>
      </c>
      <c r="AIH5" s="231">
        <v>106116.74499999995</v>
      </c>
      <c r="AII5" s="231">
        <v>110218.07499999995</v>
      </c>
      <c r="AIJ5" s="232">
        <v>110218.07499999995</v>
      </c>
      <c r="AIK5" s="231">
        <v>108927.49599999998</v>
      </c>
      <c r="AIL5" s="231">
        <v>106136.01099999998</v>
      </c>
      <c r="AIM5" s="231">
        <v>107605.55099999998</v>
      </c>
      <c r="AIN5" s="231">
        <v>108596.35099999998</v>
      </c>
      <c r="AIO5" s="231">
        <v>108596.35099999998</v>
      </c>
      <c r="AIP5" s="231">
        <v>109702.53099999999</v>
      </c>
      <c r="AIQ5" s="231">
        <v>104733.227</v>
      </c>
      <c r="AIR5" s="231">
        <v>100497.60800000001</v>
      </c>
      <c r="AIS5" s="231">
        <v>102755.868</v>
      </c>
      <c r="AIT5" s="231">
        <v>105881.32800000001</v>
      </c>
      <c r="AIU5" s="231">
        <v>111044.21800000001</v>
      </c>
      <c r="AIV5" s="231">
        <v>113887.21800000001</v>
      </c>
      <c r="AIW5" s="231">
        <v>114615.588</v>
      </c>
      <c r="AIX5" s="231">
        <v>116420.098</v>
      </c>
      <c r="AIY5" s="231">
        <v>117712.24799999999</v>
      </c>
      <c r="AIZ5" s="231">
        <v>119042.71799999999</v>
      </c>
      <c r="AJA5" s="231">
        <v>113031.34099999999</v>
      </c>
      <c r="AJB5" s="231">
        <v>108016.58099999999</v>
      </c>
      <c r="AJC5" s="231">
        <v>110062.78099999999</v>
      </c>
      <c r="AJD5" s="231">
        <v>111097.75099999999</v>
      </c>
      <c r="AJE5" s="231">
        <v>114958.83099999999</v>
      </c>
      <c r="AJF5" s="231">
        <v>117870.62099999998</v>
      </c>
      <c r="AJG5" s="231">
        <v>119481.32099999998</v>
      </c>
      <c r="AJH5" s="231">
        <v>119481.32099999998</v>
      </c>
      <c r="AJI5" s="231">
        <v>121786.66099999998</v>
      </c>
      <c r="AJJ5" s="231">
        <v>124032.71099999998</v>
      </c>
      <c r="AJK5" s="231">
        <v>110601.40199999997</v>
      </c>
      <c r="AJL5" s="231">
        <v>112231.64199999998</v>
      </c>
      <c r="AJM5" s="231">
        <v>106692.53299999998</v>
      </c>
      <c r="AJN5" s="231">
        <v>108908.69299999998</v>
      </c>
      <c r="AJO5" s="232">
        <v>108908.69299999998</v>
      </c>
      <c r="AJP5" s="231">
        <v>112533.85159999997</v>
      </c>
      <c r="AJQ5" s="231">
        <v>107269.91059999997</v>
      </c>
      <c r="AJR5" s="231">
        <v>102029.03159999999</v>
      </c>
      <c r="AJS5" s="231">
        <v>103056.31159999999</v>
      </c>
      <c r="AJT5" s="231">
        <v>105370.92159999999</v>
      </c>
      <c r="AJU5" s="231">
        <v>100556.64159999999</v>
      </c>
      <c r="AJV5" s="231">
        <v>95640.450599999996</v>
      </c>
      <c r="AJW5" s="231">
        <v>97296.930599999992</v>
      </c>
      <c r="AJX5" s="231">
        <v>98317.270599999989</v>
      </c>
      <c r="AJY5" s="231">
        <v>85692.340599999981</v>
      </c>
      <c r="AJZ5" s="231">
        <v>87080.710599999977</v>
      </c>
      <c r="AKA5" s="231">
        <v>82136.722599999979</v>
      </c>
      <c r="AKB5" s="231">
        <v>84788.542599999986</v>
      </c>
      <c r="AKC5" s="231">
        <v>87225.44259999998</v>
      </c>
      <c r="AKD5" s="231">
        <v>82651.448453410791</v>
      </c>
      <c r="AKE5" s="231">
        <v>76595.952453410791</v>
      </c>
      <c r="AKF5" s="231">
        <v>77817.142453410794</v>
      </c>
      <c r="AKG5" s="231">
        <v>70949.664453410791</v>
      </c>
      <c r="AKH5" s="231">
        <v>64783.092453410791</v>
      </c>
      <c r="AKI5" s="231">
        <v>65816.742453410785</v>
      </c>
      <c r="AKJ5" s="231">
        <v>66549.092453410791</v>
      </c>
      <c r="AKK5" s="231">
        <v>67516.042453410788</v>
      </c>
      <c r="AKL5" s="231">
        <v>68140.162453410783</v>
      </c>
      <c r="AKM5" s="231">
        <v>69876.182453410787</v>
      </c>
      <c r="AKN5" s="231">
        <v>70726.652453410788</v>
      </c>
      <c r="AKO5" s="231">
        <v>71191.002453410794</v>
      </c>
      <c r="AKP5" s="231">
        <v>73605.532453410793</v>
      </c>
      <c r="AKQ5" s="231">
        <v>76319.522453410798</v>
      </c>
      <c r="AKR5" s="231">
        <v>71861.485453410802</v>
      </c>
      <c r="AKS5" s="231">
        <v>74866.835453410808</v>
      </c>
      <c r="AKT5" s="231">
        <v>79015.005453410806</v>
      </c>
      <c r="AKU5" s="232">
        <v>79015.005453410806</v>
      </c>
      <c r="AKV5" s="231">
        <v>77800.356999999989</v>
      </c>
      <c r="AKW5" s="231">
        <v>81352.46699999999</v>
      </c>
      <c r="AKX5" s="231">
        <v>85388.476999999984</v>
      </c>
      <c r="AKY5" s="231">
        <v>89123.96699999999</v>
      </c>
      <c r="AKZ5" s="231">
        <v>91344.396999999997</v>
      </c>
      <c r="ALA5" s="231">
        <v>94498.027000000002</v>
      </c>
      <c r="ALB5" s="231">
        <v>89749.663</v>
      </c>
      <c r="ALC5" s="231">
        <v>83792.467999999993</v>
      </c>
      <c r="ALD5" s="231">
        <v>77765.887999999992</v>
      </c>
      <c r="ALE5" s="231">
        <v>73406.906999999992</v>
      </c>
      <c r="ALF5" s="231">
        <v>74346.23599999999</v>
      </c>
      <c r="ALG5" s="231">
        <v>76225.665999999983</v>
      </c>
      <c r="ALH5" s="231">
        <v>71705.695999999982</v>
      </c>
      <c r="ALI5" s="231">
        <v>67123.28899999999</v>
      </c>
      <c r="ALJ5" s="231">
        <v>61115.441999999988</v>
      </c>
      <c r="ALK5" s="231">
        <v>63550.911999999989</v>
      </c>
      <c r="ALL5" s="231">
        <v>64773.761999999988</v>
      </c>
      <c r="ALM5" s="231">
        <v>65194.371999999988</v>
      </c>
      <c r="ALN5" s="231">
        <v>66372.401999999987</v>
      </c>
      <c r="ALO5" s="231">
        <v>68510.601999999984</v>
      </c>
      <c r="ALP5" s="231">
        <v>68602.631999999983</v>
      </c>
      <c r="ALQ5" s="231">
        <v>68602.631999999983</v>
      </c>
      <c r="ALR5" s="231">
        <v>69237.84199999999</v>
      </c>
      <c r="ALS5" s="231">
        <v>70989.691999999995</v>
      </c>
      <c r="ALT5" s="231">
        <v>72638.301999999996</v>
      </c>
      <c r="ALU5" s="231">
        <v>74496.671999999991</v>
      </c>
      <c r="ALV5" s="231">
        <v>77064.101999999984</v>
      </c>
      <c r="ALW5" s="231">
        <v>78767.141999999978</v>
      </c>
      <c r="ALX5" s="231">
        <v>79756.251999999979</v>
      </c>
      <c r="ALY5" s="231">
        <v>81992.771999999983</v>
      </c>
      <c r="ALZ5" s="232">
        <v>81992.771999999983</v>
      </c>
      <c r="AMA5" s="231">
        <f>Actual!F163</f>
        <v>53492.115105999997</v>
      </c>
      <c r="AMB5" s="231">
        <f>Actual!G163</f>
        <v>53492.115105999997</v>
      </c>
      <c r="AMC5" s="231">
        <f>Actual!H163</f>
        <v>53492.115105999997</v>
      </c>
      <c r="AMD5" s="231">
        <f>Actual!I163</f>
        <v>53492.115105999997</v>
      </c>
      <c r="AME5" s="231">
        <f>Actual!J163</f>
        <v>53492.115105999997</v>
      </c>
      <c r="AMF5" s="231">
        <f>Actual!K163</f>
        <v>53492.115105999997</v>
      </c>
      <c r="AMG5" s="231">
        <f>Actual!L163</f>
        <v>53492.115105999997</v>
      </c>
      <c r="AMH5" s="231">
        <f>Actual!M163</f>
        <v>53492.115105999997</v>
      </c>
      <c r="AMI5" s="231">
        <f>Actual!N163</f>
        <v>53492.115105999997</v>
      </c>
      <c r="AMJ5" s="231">
        <f t="shared" ref="AMJ5:ANE5" si="0">AMI5+AMJ6-AMJ12-AMJ14-AMJ16-AMJ18-AMJ20</f>
        <v>53492.115105999997</v>
      </c>
      <c r="AMK5" s="231">
        <f t="shared" si="0"/>
        <v>53492.115105999997</v>
      </c>
      <c r="AML5" s="231">
        <f t="shared" si="0"/>
        <v>53492.115105999997</v>
      </c>
      <c r="AMM5" s="231">
        <f t="shared" si="0"/>
        <v>53492.115105999997</v>
      </c>
      <c r="AMN5" s="231">
        <f t="shared" si="0"/>
        <v>53492.115105999997</v>
      </c>
      <c r="AMO5" s="231">
        <f t="shared" si="0"/>
        <v>53492.115105999997</v>
      </c>
      <c r="AMP5" s="231">
        <f t="shared" si="0"/>
        <v>53492.115105999997</v>
      </c>
      <c r="AMQ5" s="231" t="e">
        <f t="shared" si="0"/>
        <v>#REF!</v>
      </c>
      <c r="AMR5" s="231" t="e">
        <f t="shared" si="0"/>
        <v>#REF!</v>
      </c>
      <c r="AMS5" s="231" t="e">
        <f t="shared" si="0"/>
        <v>#REF!</v>
      </c>
      <c r="AMT5" s="231" t="e">
        <f t="shared" si="0"/>
        <v>#REF!</v>
      </c>
      <c r="AMU5" s="231" t="e">
        <f t="shared" si="0"/>
        <v>#REF!</v>
      </c>
      <c r="AMV5" s="231" t="e">
        <f t="shared" si="0"/>
        <v>#REF!</v>
      </c>
      <c r="AMW5" s="231" t="e">
        <f t="shared" si="0"/>
        <v>#REF!</v>
      </c>
      <c r="AMX5" s="231" t="e">
        <f t="shared" si="0"/>
        <v>#REF!</v>
      </c>
      <c r="AMY5" s="231" t="e">
        <f t="shared" si="0"/>
        <v>#REF!</v>
      </c>
      <c r="AMZ5" s="231" t="e">
        <f t="shared" si="0"/>
        <v>#REF!</v>
      </c>
      <c r="ANA5" s="231" t="e">
        <f t="shared" si="0"/>
        <v>#REF!</v>
      </c>
      <c r="ANB5" s="231" t="e">
        <f t="shared" si="0"/>
        <v>#REF!</v>
      </c>
      <c r="ANC5" s="231" t="e">
        <f t="shared" si="0"/>
        <v>#REF!</v>
      </c>
      <c r="AND5" s="231" t="e">
        <f t="shared" si="0"/>
        <v>#REF!</v>
      </c>
      <c r="ANE5" s="231" t="e">
        <f t="shared" si="0"/>
        <v>#REF!</v>
      </c>
      <c r="ANF5" s="232" t="e">
        <f>ANE5</f>
        <v>#REF!</v>
      </c>
      <c r="ANG5" s="231">
        <v>83107.242999999988</v>
      </c>
      <c r="ANH5" s="231">
        <v>83108.243000000002</v>
      </c>
      <c r="ANI5" s="231">
        <v>83109.243000000002</v>
      </c>
      <c r="ANJ5" s="231">
        <v>83110.243000000002</v>
      </c>
      <c r="ANK5" s="231">
        <v>83111.243000000002</v>
      </c>
      <c r="ANL5" s="231">
        <v>83112.243000000002</v>
      </c>
      <c r="ANM5" s="231">
        <v>83113.243000000002</v>
      </c>
      <c r="ANN5" s="231">
        <v>83114.243000000002</v>
      </c>
      <c r="ANO5" s="231">
        <v>83115.243000000002</v>
      </c>
      <c r="ANP5" s="231">
        <v>83116.243000000002</v>
      </c>
      <c r="ANQ5" s="231">
        <v>83117.243000000002</v>
      </c>
      <c r="ANR5" s="231">
        <v>83118.243000000002</v>
      </c>
      <c r="ANS5" s="231">
        <v>83119.243000000002</v>
      </c>
      <c r="ANT5" s="231">
        <v>83120.243000000002</v>
      </c>
      <c r="ANU5" s="231">
        <v>83121.243000000002</v>
      </c>
      <c r="ANV5" s="231">
        <v>83122.243000000002</v>
      </c>
      <c r="ANW5" s="231">
        <v>83123.243000000002</v>
      </c>
      <c r="ANX5" s="231">
        <v>83124.243000000002</v>
      </c>
      <c r="ANY5" s="231">
        <v>83125.243000000002</v>
      </c>
      <c r="ANZ5" s="231">
        <v>83126.243000000002</v>
      </c>
      <c r="AOA5" s="231">
        <v>83127.243000000002</v>
      </c>
      <c r="AOB5" s="231">
        <v>83128.243000000002</v>
      </c>
      <c r="AOC5" s="231">
        <v>83129.243000000002</v>
      </c>
      <c r="AOD5" s="231">
        <v>83130.243000000002</v>
      </c>
      <c r="AOE5" s="231">
        <v>83131.243000000002</v>
      </c>
      <c r="AOF5" s="231">
        <v>83132.243000000002</v>
      </c>
      <c r="AOG5" s="231">
        <v>83133.243000000002</v>
      </c>
      <c r="AOH5" s="231">
        <v>83134.243000000002</v>
      </c>
      <c r="AOI5" s="232">
        <v>83134.243000000002</v>
      </c>
      <c r="AOJ5" s="231">
        <v>63786.987000000001</v>
      </c>
      <c r="AOK5" s="231">
        <v>64229.927000000003</v>
      </c>
      <c r="AOL5" s="231">
        <v>65587.926999999996</v>
      </c>
      <c r="AOM5" s="231">
        <v>67067.57699999999</v>
      </c>
      <c r="AON5" s="231">
        <v>68371.836999999985</v>
      </c>
      <c r="AOO5" s="231">
        <v>70026.746999999988</v>
      </c>
      <c r="AOP5" s="231">
        <v>70947.626999999993</v>
      </c>
      <c r="AOQ5" s="231">
        <v>65448.982999999993</v>
      </c>
      <c r="AOR5" s="231">
        <v>60120.157999999996</v>
      </c>
      <c r="AOS5" s="231">
        <v>54489.047999999995</v>
      </c>
      <c r="AOT5" s="231">
        <v>49437.240999999995</v>
      </c>
      <c r="AOU5" s="231">
        <v>47850.594999999994</v>
      </c>
      <c r="AOV5" s="231">
        <v>49369.684999999998</v>
      </c>
      <c r="AOW5" s="231">
        <v>51808.534999999996</v>
      </c>
      <c r="AOX5" s="231">
        <v>53893.234999999993</v>
      </c>
      <c r="AOY5" s="231">
        <v>55899.964999999997</v>
      </c>
      <c r="AOZ5" s="231">
        <v>57602.324999999997</v>
      </c>
      <c r="APA5" s="231">
        <v>59003.534999999996</v>
      </c>
      <c r="APB5" s="231">
        <v>52931.042000000001</v>
      </c>
      <c r="APC5" s="231">
        <v>48010.869999999995</v>
      </c>
      <c r="APD5" s="231">
        <v>48568.759999999995</v>
      </c>
      <c r="APE5" s="231">
        <v>48568.759999999995</v>
      </c>
      <c r="APF5" s="231">
        <v>48568.759999999995</v>
      </c>
      <c r="APG5" s="231">
        <v>48568.759999999995</v>
      </c>
      <c r="APH5" s="231">
        <v>41241.875999999997</v>
      </c>
      <c r="API5" s="231">
        <v>41241.875999999997</v>
      </c>
      <c r="APJ5" s="231">
        <v>41241.875999999997</v>
      </c>
      <c r="APK5" s="231">
        <v>33884.447</v>
      </c>
      <c r="APL5" s="231">
        <v>35646.947</v>
      </c>
      <c r="APM5" s="231">
        <v>29769.867999999999</v>
      </c>
      <c r="APN5" s="231">
        <v>29769.867999999999</v>
      </c>
      <c r="APO5" s="232">
        <v>29769.867999999999</v>
      </c>
      <c r="APP5" s="231">
        <v>32831.49299999998</v>
      </c>
      <c r="APQ5" s="231">
        <v>34155.572999999982</v>
      </c>
      <c r="APR5" s="231">
        <v>35835.712999999982</v>
      </c>
      <c r="APS5" s="231">
        <v>38819.732999999978</v>
      </c>
      <c r="APT5" s="231">
        <v>40323.192999999977</v>
      </c>
      <c r="APU5" s="231">
        <v>34648.696999999978</v>
      </c>
      <c r="APV5" s="231">
        <v>37344.186999999976</v>
      </c>
      <c r="APW5" s="231">
        <v>40613.456999999973</v>
      </c>
      <c r="APX5" s="231">
        <v>45085.72699999997</v>
      </c>
      <c r="APY5" s="231">
        <v>49053.346999999972</v>
      </c>
      <c r="APZ5" s="231">
        <v>52199.946999999971</v>
      </c>
      <c r="AQA5" s="231">
        <v>54020.676999999974</v>
      </c>
      <c r="AQB5" s="231">
        <v>55986.266999999971</v>
      </c>
      <c r="AQC5" s="231">
        <v>57858.65699999997</v>
      </c>
      <c r="AQD5" s="231">
        <v>51817.778999999973</v>
      </c>
      <c r="AQE5" s="231">
        <v>45846.996999999974</v>
      </c>
      <c r="AQF5" s="231">
        <v>39988.797999999981</v>
      </c>
      <c r="AQG5" s="231">
        <v>31255.420999999977</v>
      </c>
      <c r="AQH5" s="231">
        <v>33054.730999999978</v>
      </c>
      <c r="AQI5" s="231">
        <v>34289.760999999977</v>
      </c>
      <c r="AQJ5" s="231">
        <v>34665.81099999998</v>
      </c>
      <c r="AQK5" s="231">
        <v>34665.81099999998</v>
      </c>
      <c r="AQL5" s="231">
        <v>35335.840999999979</v>
      </c>
      <c r="AQM5" s="231">
        <v>36276.770999999979</v>
      </c>
      <c r="AQN5" s="231">
        <v>36799.040999999976</v>
      </c>
      <c r="AQO5" s="231">
        <v>36885.130999999972</v>
      </c>
      <c r="AQP5" s="231">
        <v>36885.130999999972</v>
      </c>
      <c r="AQQ5" s="231">
        <v>36885.130999999972</v>
      </c>
      <c r="AQR5" s="231">
        <v>29576.773999999972</v>
      </c>
      <c r="AQS5" s="231">
        <v>22262.303999999971</v>
      </c>
      <c r="AQT5" s="232">
        <f>AQS5</f>
        <v>22262.303999999971</v>
      </c>
      <c r="AQU5" s="231">
        <v>10240.962999999972</v>
      </c>
      <c r="AQV5" s="231">
        <v>10240.962999999972</v>
      </c>
      <c r="AQW5" s="231">
        <v>10240.962999999972</v>
      </c>
      <c r="AQX5" s="231">
        <v>3021.4619999999722</v>
      </c>
      <c r="AQY5" s="231">
        <v>4868.5219999999726</v>
      </c>
      <c r="AQZ5" s="231">
        <v>6639.9319999999725</v>
      </c>
      <c r="ARA5" s="231">
        <v>8500.0919999999733</v>
      </c>
      <c r="ARB5" s="231">
        <v>14676.215</v>
      </c>
      <c r="ARC5" s="231">
        <v>16397.755000000001</v>
      </c>
      <c r="ARD5" s="231">
        <v>18997.475000000002</v>
      </c>
      <c r="ARE5" s="231">
        <v>21292.915000000001</v>
      </c>
      <c r="ARF5" s="231">
        <v>23252.095000000001</v>
      </c>
      <c r="ARG5" s="231">
        <v>25149.865000000002</v>
      </c>
      <c r="ARH5" s="231">
        <v>26357.075000000001</v>
      </c>
      <c r="ARI5" s="231">
        <v>28125.685000000001</v>
      </c>
      <c r="ARJ5" s="231">
        <v>29810.895</v>
      </c>
      <c r="ARK5" s="231">
        <v>24091.955999999998</v>
      </c>
      <c r="ARL5" s="231">
        <v>26380.885999999999</v>
      </c>
      <c r="ARM5" s="231">
        <v>27741.665999999997</v>
      </c>
      <c r="ARN5" s="231">
        <v>28563.195999999996</v>
      </c>
      <c r="ARO5" s="231">
        <v>30683.845999999998</v>
      </c>
      <c r="ARP5" s="231">
        <v>32487.045999999998</v>
      </c>
      <c r="ARQ5" s="231">
        <v>33467.006000000001</v>
      </c>
      <c r="ARR5" s="231">
        <v>35698.416000000005</v>
      </c>
      <c r="ARS5" s="231">
        <v>38068.776000000005</v>
      </c>
      <c r="ART5" s="231">
        <v>39941.276000000005</v>
      </c>
      <c r="ARU5" s="231">
        <v>42315.156000000003</v>
      </c>
      <c r="ARV5" s="231">
        <v>44866.706000000006</v>
      </c>
      <c r="ARW5" s="231">
        <v>47269.956000000006</v>
      </c>
      <c r="ARX5" s="231">
        <v>49243.956000000006</v>
      </c>
      <c r="ARY5" s="231">
        <v>50643.956000000006</v>
      </c>
      <c r="ARZ5" s="232">
        <f>ARY5</f>
        <v>50643.956000000006</v>
      </c>
      <c r="ASA5" s="231">
        <v>46774.560000000005</v>
      </c>
      <c r="ASB5" s="231">
        <v>48505.320000000007</v>
      </c>
      <c r="ASC5" s="231">
        <v>49594.070000000007</v>
      </c>
      <c r="ASD5" s="231">
        <v>50763.000000000007</v>
      </c>
      <c r="ASE5" s="231">
        <v>51024.840000000004</v>
      </c>
      <c r="ASF5" s="231">
        <v>52364.91</v>
      </c>
      <c r="ASG5" s="231">
        <v>54281.61</v>
      </c>
      <c r="ASH5" s="231">
        <v>41793.138999999996</v>
      </c>
      <c r="ASI5" s="231">
        <v>43679.748999999996</v>
      </c>
      <c r="ASJ5" s="231">
        <v>46115.048999999999</v>
      </c>
      <c r="ASK5" s="231">
        <v>48192.108999999997</v>
      </c>
      <c r="ASL5" s="231">
        <v>48813.438999999998</v>
      </c>
      <c r="ASM5" s="231">
        <v>49200.728999999999</v>
      </c>
      <c r="ASN5" s="231">
        <v>49795.879000000001</v>
      </c>
      <c r="ASO5" s="231">
        <v>51204.499000000003</v>
      </c>
      <c r="ASP5" s="231">
        <v>53563.349000000002</v>
      </c>
      <c r="ASQ5" s="231">
        <v>55833.139000000003</v>
      </c>
      <c r="ASR5" s="231">
        <v>51196.175000000003</v>
      </c>
      <c r="ASS5" s="231">
        <v>53586.695</v>
      </c>
      <c r="AST5" s="231">
        <v>54797.625</v>
      </c>
      <c r="ASU5" s="231">
        <v>56651.845000000001</v>
      </c>
      <c r="ASV5" s="231">
        <v>58513.834999999999</v>
      </c>
      <c r="ASW5" s="231">
        <v>60623.014999999999</v>
      </c>
      <c r="ASX5" s="231">
        <v>62497.105000000003</v>
      </c>
      <c r="ASY5" s="231">
        <v>56981.188000000009</v>
      </c>
      <c r="ASZ5" s="231">
        <v>50220.398000000008</v>
      </c>
      <c r="ATA5" s="231">
        <v>50308.088000000011</v>
      </c>
      <c r="ATB5" s="231">
        <v>50308.088000000011</v>
      </c>
      <c r="ATC5" s="231">
        <v>43054.576000000008</v>
      </c>
      <c r="ATD5" s="231">
        <v>35988.829000000012</v>
      </c>
      <c r="ATE5" s="232">
        <v>35988.829000000012</v>
      </c>
      <c r="ATF5" s="231">
        <v>37459.29200000003</v>
      </c>
      <c r="ATG5" s="231">
        <v>37459.29200000003</v>
      </c>
      <c r="ATH5" s="231">
        <v>37459.29200000003</v>
      </c>
      <c r="ATI5" s="231">
        <v>37459.29200000003</v>
      </c>
      <c r="ATJ5" s="231">
        <v>37459.29200000003</v>
      </c>
      <c r="ATK5" s="231">
        <v>37459.29200000003</v>
      </c>
      <c r="ATL5" s="231">
        <v>37459.29200000003</v>
      </c>
      <c r="ATM5" s="231">
        <v>37459.29200000003</v>
      </c>
      <c r="ATN5" s="231">
        <v>30660.581000000027</v>
      </c>
      <c r="ATO5" s="231">
        <v>25455.791000000027</v>
      </c>
      <c r="ATP5" s="231">
        <v>27412.981000000025</v>
      </c>
      <c r="ATQ5" s="231">
        <v>29885.901000000027</v>
      </c>
      <c r="ATR5" s="231">
        <v>24233.783000000025</v>
      </c>
      <c r="ATS5" s="231">
        <v>25448.493000000024</v>
      </c>
      <c r="ATT5" s="231">
        <v>27578.333000000024</v>
      </c>
      <c r="ATU5" s="231">
        <v>30011.063000000024</v>
      </c>
      <c r="ATV5" s="231">
        <v>31564.233000000022</v>
      </c>
      <c r="ATW5" s="231">
        <v>32737.253000000022</v>
      </c>
      <c r="ATX5" s="231">
        <v>32822.983000000022</v>
      </c>
      <c r="ATY5" s="231">
        <v>34200.40300000002</v>
      </c>
      <c r="ATZ5" s="231">
        <v>36218.563000000024</v>
      </c>
      <c r="AUA5" s="231">
        <v>40635.383000000023</v>
      </c>
      <c r="AUB5" s="231">
        <v>45165.163000000022</v>
      </c>
      <c r="AUC5" s="231">
        <v>50554.953000000023</v>
      </c>
      <c r="AUD5" s="231">
        <v>55455.113000000027</v>
      </c>
      <c r="AUE5" s="231">
        <v>60459.84300000003</v>
      </c>
      <c r="AUF5" s="231">
        <v>60571.623000000029</v>
      </c>
      <c r="AUG5" s="231">
        <v>60571.623000000029</v>
      </c>
      <c r="AUH5" s="231">
        <v>60571.623000000029</v>
      </c>
      <c r="AUI5" s="231">
        <v>60571.623000000029</v>
      </c>
      <c r="AUJ5" s="231">
        <v>60571.623000000029</v>
      </c>
      <c r="AUK5" s="232">
        <v>60571.623000000029</v>
      </c>
      <c r="AUL5" s="231">
        <v>63057.077000000019</v>
      </c>
      <c r="AUM5" s="231">
        <v>63057.077000000019</v>
      </c>
      <c r="AUN5" s="231">
        <v>63057.077000000019</v>
      </c>
      <c r="AUO5" s="231">
        <v>63057.077000000019</v>
      </c>
      <c r="AUP5" s="231">
        <v>55744.864000000016</v>
      </c>
      <c r="AUQ5" s="231">
        <v>48390.959000000017</v>
      </c>
      <c r="AUR5" s="231">
        <v>48390.959000000017</v>
      </c>
      <c r="AUS5" s="231">
        <v>48390.959000000017</v>
      </c>
      <c r="AUT5" s="231">
        <v>41565.583000000021</v>
      </c>
      <c r="AUU5" s="231">
        <v>38478.216000000022</v>
      </c>
      <c r="AUV5" s="231">
        <v>34617.162000000026</v>
      </c>
      <c r="AUW5" s="231">
        <v>38514.352000000028</v>
      </c>
      <c r="AUX5" s="231">
        <v>36501.477000000028</v>
      </c>
      <c r="AUY5" s="231">
        <v>35013.281000000032</v>
      </c>
      <c r="AUZ5" s="231">
        <v>36682.541000000034</v>
      </c>
      <c r="AVA5" s="231">
        <v>36162.212000000029</v>
      </c>
      <c r="AVB5" s="231">
        <v>31932.990000000027</v>
      </c>
      <c r="AVC5" s="231">
        <v>28941.438000000024</v>
      </c>
      <c r="AVD5" s="231">
        <v>27204.790000000023</v>
      </c>
      <c r="AVE5" s="231">
        <v>28224.446000000025</v>
      </c>
      <c r="AVF5" s="231">
        <v>33518.206000000027</v>
      </c>
      <c r="AVG5" s="231">
        <v>38369.536000000029</v>
      </c>
      <c r="AVH5" s="231">
        <v>36649.660000000025</v>
      </c>
      <c r="AVI5" s="231">
        <v>42207.550000000025</v>
      </c>
      <c r="AVJ5" s="231">
        <v>47068.710000000021</v>
      </c>
      <c r="AVK5" s="231">
        <v>51888.620000000024</v>
      </c>
      <c r="AVL5" s="231">
        <v>54563.070000000022</v>
      </c>
      <c r="AVM5" s="231">
        <v>57374.800000000025</v>
      </c>
      <c r="AVN5" s="231">
        <v>58339.020000000026</v>
      </c>
      <c r="AVO5" s="231">
        <v>61882.480000000025</v>
      </c>
      <c r="AVP5" s="231">
        <v>64551.060000000027</v>
      </c>
      <c r="AVQ5" s="232">
        <f>AVP5</f>
        <v>64551.060000000027</v>
      </c>
      <c r="AVR5" s="231">
        <v>62725.950000000041</v>
      </c>
      <c r="AVS5" s="231">
        <v>65793.770000000048</v>
      </c>
      <c r="AVT5" s="231">
        <v>61186.72900000005</v>
      </c>
      <c r="AVU5" s="231">
        <v>63514.099000000053</v>
      </c>
      <c r="AVV5" s="231">
        <v>58046.289000000048</v>
      </c>
      <c r="AVW5" s="231">
        <v>53841.580000000053</v>
      </c>
      <c r="AVX5" s="231">
        <v>55976.64000000005</v>
      </c>
      <c r="AVY5" s="231">
        <v>51514.260000000053</v>
      </c>
      <c r="AVZ5" s="231">
        <v>47173.795000000049</v>
      </c>
      <c r="AWA5" s="231">
        <v>45735.005000000048</v>
      </c>
      <c r="AWB5" s="231">
        <v>48348.285000000047</v>
      </c>
      <c r="AWC5" s="231">
        <v>49240.415000000045</v>
      </c>
      <c r="AWD5" s="231">
        <v>51126.775000000045</v>
      </c>
      <c r="AWE5" s="231">
        <v>53493.865000000042</v>
      </c>
      <c r="AWF5" s="231">
        <v>48424.045000000042</v>
      </c>
      <c r="AWG5" s="231">
        <v>42714.192393444973</v>
      </c>
      <c r="AWH5" s="231">
        <v>44180.112393444972</v>
      </c>
      <c r="AWI5" s="231">
        <v>46382.78239344497</v>
      </c>
      <c r="AWJ5" s="231">
        <v>47887.322393444971</v>
      </c>
      <c r="AWK5" s="231">
        <v>50682.842393444967</v>
      </c>
      <c r="AWL5" s="231">
        <v>53628.172393444969</v>
      </c>
      <c r="AWM5" s="231">
        <v>56273.692393444966</v>
      </c>
      <c r="AWN5" s="231">
        <v>58146.002393444964</v>
      </c>
      <c r="AWO5" s="231">
        <v>60462.282393444963</v>
      </c>
      <c r="AWP5" s="231">
        <v>61695.27239344496</v>
      </c>
      <c r="AWQ5" s="231">
        <v>61805.502393444964</v>
      </c>
      <c r="AWR5" s="231">
        <v>61805.502393444964</v>
      </c>
      <c r="AWS5" s="231">
        <v>61805.502393444964</v>
      </c>
      <c r="AWT5" s="231">
        <v>61805.502393444964</v>
      </c>
      <c r="AWU5" s="231">
        <v>61805.502393444964</v>
      </c>
      <c r="AWV5" s="232">
        <v>61805.502393444964</v>
      </c>
      <c r="AWW5" s="231">
        <v>63700.645000000004</v>
      </c>
      <c r="AWX5" s="231">
        <v>63700.645000000004</v>
      </c>
      <c r="AWY5" s="231">
        <v>63700.645000000004</v>
      </c>
      <c r="AWZ5" s="231">
        <v>63700.645000000004</v>
      </c>
      <c r="AXA5" s="231">
        <v>63700.645000000004</v>
      </c>
      <c r="AXB5" s="231">
        <v>63700.645000000004</v>
      </c>
      <c r="AXC5" s="231">
        <v>63700.645000000004</v>
      </c>
      <c r="AXD5" s="231">
        <v>57498.939000000006</v>
      </c>
      <c r="AXE5" s="231">
        <v>59819.549000000006</v>
      </c>
      <c r="AXF5" s="231">
        <v>61800.549000000006</v>
      </c>
      <c r="AXG5" s="231">
        <v>63666.659000000007</v>
      </c>
      <c r="AXH5" s="231">
        <v>65749.049000000014</v>
      </c>
      <c r="AXI5" s="231">
        <v>67284.27900000001</v>
      </c>
      <c r="AXJ5" s="231">
        <v>69496.589000000007</v>
      </c>
      <c r="AXK5" s="231">
        <v>64347.838000000003</v>
      </c>
      <c r="AXL5" s="231">
        <v>59899.901000000005</v>
      </c>
      <c r="AXM5" s="231">
        <v>56207.356000000007</v>
      </c>
      <c r="AXN5" s="231">
        <v>45547.794000000009</v>
      </c>
      <c r="AXO5" s="231">
        <v>43454.030000000013</v>
      </c>
      <c r="AXP5" s="231">
        <v>51017.810000000012</v>
      </c>
      <c r="AXQ5" s="231">
        <v>58534.650000000009</v>
      </c>
      <c r="AXR5" s="231">
        <v>66225.27</v>
      </c>
      <c r="AXS5" s="231">
        <v>71961.350000000006</v>
      </c>
      <c r="AXT5" s="231">
        <v>75976.570000000007</v>
      </c>
      <c r="AXU5" s="231">
        <v>75893.523000000016</v>
      </c>
      <c r="AXV5" s="231">
        <v>82970.28300000001</v>
      </c>
      <c r="AXW5" s="231">
        <v>88212.813000000009</v>
      </c>
      <c r="AXX5" s="231">
        <v>90994.393000000011</v>
      </c>
      <c r="AXY5" s="231">
        <v>93183.153000000006</v>
      </c>
      <c r="AXZ5" s="231">
        <v>94903.353000000003</v>
      </c>
      <c r="AYA5" s="231">
        <v>96136.263000000006</v>
      </c>
      <c r="AYB5" s="232">
        <v>96136.263000000006</v>
      </c>
      <c r="AYC5" s="231">
        <v>99191.571000000011</v>
      </c>
      <c r="AYD5" s="231">
        <v>99614.731000000014</v>
      </c>
      <c r="AYE5" s="231">
        <v>99614.731000000014</v>
      </c>
      <c r="AYF5" s="231">
        <v>99614.731000000014</v>
      </c>
      <c r="AYG5" s="231">
        <v>99614.731000000014</v>
      </c>
      <c r="AYH5" s="231">
        <v>99614.731000000014</v>
      </c>
      <c r="AYI5" s="231">
        <v>99614.731000000014</v>
      </c>
      <c r="AYJ5" s="231">
        <v>92293.015000000014</v>
      </c>
      <c r="AYK5" s="231">
        <v>92293.015000000014</v>
      </c>
      <c r="AYL5" s="231">
        <v>85059.785000000018</v>
      </c>
      <c r="AYM5" s="231">
        <v>85059.785000000018</v>
      </c>
      <c r="AYN5" s="231">
        <v>77816.102000000014</v>
      </c>
      <c r="AYO5" s="231">
        <v>70501.959000000017</v>
      </c>
      <c r="AYP5" s="231">
        <v>71778.329000000012</v>
      </c>
      <c r="AYQ5" s="231">
        <v>66736.769000000015</v>
      </c>
      <c r="AYR5" s="231">
        <v>62061.003000000012</v>
      </c>
      <c r="AYS5" s="231">
        <v>62957.263000000014</v>
      </c>
      <c r="AYT5" s="231">
        <v>63840.763000000014</v>
      </c>
      <c r="AYU5" s="231">
        <v>58147.483000000015</v>
      </c>
      <c r="AYV5" s="231">
        <v>59829.633000000016</v>
      </c>
      <c r="AYW5" s="231">
        <v>55042.579000000012</v>
      </c>
      <c r="AYX5" s="231">
        <v>56450.769000000015</v>
      </c>
      <c r="AYY5" s="231">
        <v>59826.039000000019</v>
      </c>
      <c r="AYZ5" s="231">
        <v>62832.249000000018</v>
      </c>
      <c r="AZA5" s="231">
        <v>68247.459000000017</v>
      </c>
      <c r="AZB5" s="231">
        <v>71404.559000000023</v>
      </c>
      <c r="AZC5" s="231">
        <v>75506.569000000018</v>
      </c>
      <c r="AZD5" s="231">
        <v>77097.569000000018</v>
      </c>
      <c r="AZE5" s="231">
        <v>80914.169000000024</v>
      </c>
      <c r="AZF5" s="231">
        <v>82667.179000000018</v>
      </c>
      <c r="AZG5" s="232">
        <v>82667.179000000018</v>
      </c>
      <c r="AZH5" s="231">
        <f>Actual!F163</f>
        <v>53492.115105999997</v>
      </c>
      <c r="AZI5" s="231">
        <f>Actual!G163</f>
        <v>53492.115105999997</v>
      </c>
      <c r="AZJ5" s="231">
        <f>Actual!H163</f>
        <v>53492.115105999997</v>
      </c>
      <c r="AZK5" s="231">
        <f>Actual!I163</f>
        <v>53492.115105999997</v>
      </c>
      <c r="AZL5" s="231">
        <f>Actual!J163</f>
        <v>53492.115105999997</v>
      </c>
      <c r="AZM5" s="231">
        <f>Actual!K163</f>
        <v>53492.115105999997</v>
      </c>
      <c r="AZN5" s="231">
        <f>Actual!L163</f>
        <v>53492.115105999997</v>
      </c>
      <c r="AZO5" s="231">
        <f>Actual!M163</f>
        <v>53492.115105999997</v>
      </c>
      <c r="AZP5" s="231">
        <f>Actual!N163</f>
        <v>53492.115105999997</v>
      </c>
      <c r="AZQ5" s="231">
        <f>Actual!O163</f>
        <v>53492.115105999997</v>
      </c>
      <c r="AZR5" s="231">
        <f>Actual!P163</f>
        <v>53492.115105999997</v>
      </c>
      <c r="AZS5" s="231">
        <f>Actual!Q163</f>
        <v>53492.115105999997</v>
      </c>
      <c r="AZT5" s="231">
        <f>Actual!R163</f>
        <v>53492.115105999997</v>
      </c>
      <c r="AZU5" s="231">
        <f>Actual!S163</f>
        <v>53492.115105999997</v>
      </c>
      <c r="AZV5" s="231">
        <f>Actual!T163</f>
        <v>53492.115105999997</v>
      </c>
      <c r="AZW5" s="231">
        <f t="shared" ref="AZW5:BAL5" si="1">AZV5+AZW6-AZW12-AZW16-AZW18-AZW20</f>
        <v>53492.115105999997</v>
      </c>
      <c r="AZX5" s="231">
        <f t="shared" si="1"/>
        <v>53492.115105999997</v>
      </c>
      <c r="AZY5" s="231">
        <f t="shared" si="1"/>
        <v>53492.115105999997</v>
      </c>
      <c r="AZZ5" s="231">
        <f t="shared" si="1"/>
        <v>53492.115105999997</v>
      </c>
      <c r="BAA5" s="231">
        <f t="shared" si="1"/>
        <v>53492.115105999997</v>
      </c>
      <c r="BAB5" s="231">
        <f t="shared" si="1"/>
        <v>53492.115105999997</v>
      </c>
      <c r="BAC5" s="231">
        <f t="shared" si="1"/>
        <v>53492.115105999997</v>
      </c>
      <c r="BAD5" s="231">
        <f t="shared" si="1"/>
        <v>53492.115105999997</v>
      </c>
      <c r="BAE5" s="231">
        <f>BAD5+BAE6-BAE12-BAE16-BAE18-BAE20</f>
        <v>53492.115105999997</v>
      </c>
      <c r="BAF5" s="231">
        <f>BAE5+BAF6-BAF12-BAF16-BAF18-BAF20</f>
        <v>53492.115105999997</v>
      </c>
      <c r="BAG5" s="231">
        <f t="shared" si="1"/>
        <v>53492.115105999997</v>
      </c>
      <c r="BAH5" s="231">
        <f t="shared" si="1"/>
        <v>53492.115105999997</v>
      </c>
      <c r="BAI5" s="231">
        <f t="shared" si="1"/>
        <v>53492.115105999997</v>
      </c>
      <c r="BAJ5" s="231">
        <f t="shared" si="1"/>
        <v>53492.115105999997</v>
      </c>
      <c r="BAK5" s="231">
        <f t="shared" si="1"/>
        <v>53492.115105999997</v>
      </c>
      <c r="BAL5" s="231">
        <f t="shared" si="1"/>
        <v>53492.115105999997</v>
      </c>
      <c r="BAM5" s="232">
        <f>BAL5</f>
        <v>53492.115105999997</v>
      </c>
    </row>
    <row r="6" spans="2:1392">
      <c r="B6" s="233" t="s">
        <v>356</v>
      </c>
      <c r="C6" s="234">
        <f>Actual!F159/1000</f>
        <v>0</v>
      </c>
      <c r="D6" s="234">
        <f>Actual!G159/1000</f>
        <v>0</v>
      </c>
      <c r="E6" s="234">
        <f>Actual!H159/1000</f>
        <v>0</v>
      </c>
      <c r="F6" s="234">
        <f>Actual!I159/1000</f>
        <v>0</v>
      </c>
      <c r="G6" s="234">
        <f>Actual!J159/1000</f>
        <v>0</v>
      </c>
      <c r="H6" s="234">
        <f>Actual!K159/1000</f>
        <v>0</v>
      </c>
      <c r="I6" s="234">
        <f>Actual!L159/1000</f>
        <v>0</v>
      </c>
      <c r="J6" s="234">
        <f>Actual!M159/1000</f>
        <v>0</v>
      </c>
      <c r="K6" s="234">
        <f>Actual!N159/1000</f>
        <v>0</v>
      </c>
      <c r="L6" s="234">
        <f>Actual!O159/1000</f>
        <v>0</v>
      </c>
      <c r="M6" s="234">
        <f>Actual!P159/1000</f>
        <v>0</v>
      </c>
      <c r="N6" s="234">
        <f>Actual!Q159/1000</f>
        <v>0</v>
      </c>
      <c r="O6" s="234">
        <f>Actual!R159/1000</f>
        <v>0</v>
      </c>
      <c r="P6" s="234">
        <f>Actual!S159/1000</f>
        <v>0</v>
      </c>
      <c r="Q6" s="234">
        <f>Actual!T159/1000</f>
        <v>0</v>
      </c>
      <c r="R6" s="234">
        <f>Actual!U159/1000</f>
        <v>0</v>
      </c>
      <c r="S6" s="234">
        <f>Actual!V159/1000</f>
        <v>0</v>
      </c>
      <c r="T6" s="234">
        <f>Actual!W159/1000</f>
        <v>0</v>
      </c>
      <c r="U6" s="234">
        <f>Actual!X159/1000</f>
        <v>0</v>
      </c>
      <c r="V6" s="234">
        <f>Actual!Y159/1000</f>
        <v>0</v>
      </c>
      <c r="W6" s="234">
        <f>Actual!Z159/1000</f>
        <v>0</v>
      </c>
      <c r="X6" s="234">
        <f>Actual!AA159/1000</f>
        <v>0</v>
      </c>
      <c r="Y6" s="234">
        <f>Actual!AB159/1000</f>
        <v>0</v>
      </c>
      <c r="Z6" s="234">
        <f>Actual!AC159/1000</f>
        <v>0</v>
      </c>
      <c r="AA6" s="234">
        <f>Actual!AD159/1000</f>
        <v>0</v>
      </c>
      <c r="AB6" s="234">
        <f>Actual!AE159/1000</f>
        <v>0</v>
      </c>
      <c r="AC6" s="234">
        <f>Actual!AF159/1000</f>
        <v>0</v>
      </c>
      <c r="AD6" s="234">
        <f>Actual!AG159/1000</f>
        <v>0</v>
      </c>
      <c r="AE6" s="234">
        <f>Actual!AH159/1000</f>
        <v>0</v>
      </c>
      <c r="AF6" s="234">
        <f>Actual!AI159/1000</f>
        <v>0</v>
      </c>
      <c r="AG6" s="234">
        <f>Actual!AJ159/1000</f>
        <v>0</v>
      </c>
      <c r="AH6" s="235">
        <f>SUM(C6:AG6)</f>
        <v>0</v>
      </c>
      <c r="AI6" s="234">
        <v>1569.1999999999998</v>
      </c>
      <c r="AJ6" s="234">
        <v>1336.5499999999997</v>
      </c>
      <c r="AK6" s="234">
        <v>2463.4699999999998</v>
      </c>
      <c r="AL6" s="234">
        <v>1880.52</v>
      </c>
      <c r="AM6" s="234">
        <v>978.7</v>
      </c>
      <c r="AN6" s="234">
        <v>2716.6</v>
      </c>
      <c r="AO6" s="234">
        <v>2525.73</v>
      </c>
      <c r="AP6" s="234">
        <v>1989.31</v>
      </c>
      <c r="AQ6" s="234">
        <v>1836.3899999999999</v>
      </c>
      <c r="AR6" s="234">
        <v>5358.4800000000005</v>
      </c>
      <c r="AS6" s="234">
        <v>4226.3599999999997</v>
      </c>
      <c r="AT6" s="234">
        <v>2392.14</v>
      </c>
      <c r="AU6" s="234">
        <v>5761.91</v>
      </c>
      <c r="AV6" s="234">
        <v>2593.1499999999996</v>
      </c>
      <c r="AW6" s="234">
        <v>3616.2599999999998</v>
      </c>
      <c r="AX6" s="234">
        <v>1699.89</v>
      </c>
      <c r="AY6" s="234">
        <v>4593.03</v>
      </c>
      <c r="AZ6" s="234">
        <v>3915.4899999999993</v>
      </c>
      <c r="BA6" s="234">
        <v>2580.2499999999995</v>
      </c>
      <c r="BB6" s="234">
        <v>1710.87</v>
      </c>
      <c r="BC6" s="234">
        <v>2905.43</v>
      </c>
      <c r="BD6" s="234">
        <v>1762.1200000000001</v>
      </c>
      <c r="BE6" s="234">
        <v>343.38</v>
      </c>
      <c r="BF6" s="234">
        <v>1265.7900000000002</v>
      </c>
      <c r="BG6" s="234">
        <v>818.51</v>
      </c>
      <c r="BH6" s="234">
        <v>2652.8500000000004</v>
      </c>
      <c r="BI6" s="234">
        <v>2496.4499999999998</v>
      </c>
      <c r="BJ6" s="234">
        <v>3109.0400000000004</v>
      </c>
      <c r="BK6" s="235">
        <f>SUM(AI6:BJ6)</f>
        <v>71097.87</v>
      </c>
      <c r="BL6" s="234">
        <v>884.29</v>
      </c>
      <c r="BM6" s="234">
        <v>3415.19</v>
      </c>
      <c r="BN6" s="234">
        <v>3307.09</v>
      </c>
      <c r="BO6" s="234">
        <v>3174.62</v>
      </c>
      <c r="BP6" s="234">
        <v>2741.88</v>
      </c>
      <c r="BQ6" s="234">
        <v>1863.65</v>
      </c>
      <c r="BR6" s="234">
        <v>1122.31</v>
      </c>
      <c r="BS6" s="234">
        <v>2183.67</v>
      </c>
      <c r="BT6" s="234">
        <v>3503.82</v>
      </c>
      <c r="BU6" s="234">
        <v>2362.31</v>
      </c>
      <c r="BV6" s="234">
        <v>3779.84</v>
      </c>
      <c r="BW6" s="234">
        <v>3567.5000000000005</v>
      </c>
      <c r="BX6" s="234">
        <v>3902.5600000000004</v>
      </c>
      <c r="BY6" s="234">
        <v>1218.6600000000001</v>
      </c>
      <c r="BZ6" s="234">
        <v>3470.2</v>
      </c>
      <c r="CA6" s="234">
        <v>3799.41</v>
      </c>
      <c r="CB6" s="234">
        <v>2488.92</v>
      </c>
      <c r="CC6" s="234">
        <v>3187.9900000000002</v>
      </c>
      <c r="CD6" s="234">
        <v>2963.48</v>
      </c>
      <c r="CE6" s="234">
        <v>3051.51</v>
      </c>
      <c r="CF6" s="234">
        <v>1293.3800000000001</v>
      </c>
      <c r="CG6" s="234">
        <v>3211.41</v>
      </c>
      <c r="CH6" s="234">
        <v>3270.2799999999997</v>
      </c>
      <c r="CI6" s="234">
        <v>3579.12</v>
      </c>
      <c r="CJ6" s="234">
        <v>3506.6800000000003</v>
      </c>
      <c r="CK6" s="234">
        <v>963.69999999999993</v>
      </c>
      <c r="CL6" s="234">
        <v>3044.98</v>
      </c>
      <c r="CM6" s="234">
        <v>1844.54</v>
      </c>
      <c r="CN6" s="234">
        <v>1604.66</v>
      </c>
      <c r="CO6" s="234">
        <v>1500.75</v>
      </c>
      <c r="CP6" s="234">
        <v>2882.43</v>
      </c>
      <c r="CQ6" s="235">
        <f>SUM(BL6:CP6)</f>
        <v>82690.829999999973</v>
      </c>
      <c r="CR6" s="234">
        <v>2525.7099999999996</v>
      </c>
      <c r="CS6" s="234">
        <v>2900.0499999999997</v>
      </c>
      <c r="CT6" s="234">
        <v>2328.8000000000006</v>
      </c>
      <c r="CU6" s="234">
        <v>1144.4000000000001</v>
      </c>
      <c r="CV6" s="234">
        <v>1653.93</v>
      </c>
      <c r="CW6" s="234">
        <v>2270.88</v>
      </c>
      <c r="CX6" s="234">
        <v>2531.64</v>
      </c>
      <c r="CY6" s="234">
        <v>2381.9300000000003</v>
      </c>
      <c r="CZ6" s="234">
        <v>2812.33</v>
      </c>
      <c r="DA6" s="234">
        <v>2612.4699999999998</v>
      </c>
      <c r="DB6" s="234">
        <v>1122.93</v>
      </c>
      <c r="DC6" s="234">
        <v>767.68</v>
      </c>
      <c r="DD6" s="234">
        <v>710.55</v>
      </c>
      <c r="DE6" s="234">
        <v>2469.4699999999998</v>
      </c>
      <c r="DF6" s="234">
        <v>1973.6</v>
      </c>
      <c r="DG6" s="234">
        <v>3002.12</v>
      </c>
      <c r="DH6" s="234">
        <v>3579.49</v>
      </c>
      <c r="DI6" s="234">
        <v>1673.98</v>
      </c>
      <c r="DJ6" s="234">
        <v>963.57999999999993</v>
      </c>
      <c r="DK6" s="234">
        <v>2425.17</v>
      </c>
      <c r="DL6" s="234">
        <v>1224.5999999999999</v>
      </c>
      <c r="DM6" s="234">
        <v>1342.42</v>
      </c>
      <c r="DN6" s="234">
        <v>2096.98</v>
      </c>
      <c r="DO6" s="234">
        <v>2379.6800000000003</v>
      </c>
      <c r="DP6" s="234">
        <v>461.74</v>
      </c>
      <c r="DQ6" s="234">
        <v>2961.1</v>
      </c>
      <c r="DR6" s="234">
        <v>1266.1500000000001</v>
      </c>
      <c r="DS6" s="234">
        <v>2899.59</v>
      </c>
      <c r="DT6" s="234">
        <v>3387.9500000000003</v>
      </c>
      <c r="DU6" s="234">
        <v>1836.0100000000002</v>
      </c>
      <c r="DV6" s="234">
        <v>0</v>
      </c>
      <c r="DW6" s="235">
        <f>SUM(CR6:DV6)</f>
        <v>61706.93</v>
      </c>
      <c r="DX6" s="234">
        <v>1782.44</v>
      </c>
      <c r="DY6" s="234">
        <v>2032.8</v>
      </c>
      <c r="DZ6" s="234">
        <v>1620.69</v>
      </c>
      <c r="EA6" s="234">
        <v>2644.17</v>
      </c>
      <c r="EB6" s="234">
        <v>2041.54</v>
      </c>
      <c r="EC6" s="234">
        <v>818.85</v>
      </c>
      <c r="ED6" s="234">
        <v>1344.43</v>
      </c>
      <c r="EE6" s="234">
        <v>2109.04</v>
      </c>
      <c r="EF6" s="234">
        <v>0</v>
      </c>
      <c r="EG6" s="234">
        <v>795.39</v>
      </c>
      <c r="EH6" s="234">
        <v>1699.95</v>
      </c>
      <c r="EI6" s="234">
        <v>2356.04</v>
      </c>
      <c r="EJ6" s="234">
        <v>4119.2700000000004</v>
      </c>
      <c r="EK6" s="234">
        <v>3238.7200000000003</v>
      </c>
      <c r="EL6" s="234">
        <v>1709.0600000000004</v>
      </c>
      <c r="EM6" s="234">
        <v>2221.65</v>
      </c>
      <c r="EN6" s="234">
        <v>5511.71</v>
      </c>
      <c r="EO6" s="234">
        <v>4910.05</v>
      </c>
      <c r="EP6" s="234">
        <v>4441.5</v>
      </c>
      <c r="EQ6" s="234">
        <v>4495.3</v>
      </c>
      <c r="ER6" s="234">
        <v>3647.94</v>
      </c>
      <c r="ES6" s="234">
        <v>2273.6799999999998</v>
      </c>
      <c r="ET6" s="234">
        <v>1656.4</v>
      </c>
      <c r="EU6" s="234">
        <v>2546.69</v>
      </c>
      <c r="EV6" s="234">
        <v>1615.8899999999999</v>
      </c>
      <c r="EW6" s="234">
        <v>847.23</v>
      </c>
      <c r="EX6" s="234">
        <v>1901.9199999999998</v>
      </c>
      <c r="EY6" s="234">
        <v>1902.5800000000002</v>
      </c>
      <c r="EZ6" s="234">
        <v>1604.3</v>
      </c>
      <c r="FA6" s="234">
        <v>1332.3700000000001</v>
      </c>
      <c r="FB6" s="234">
        <v>2571.9399999999996</v>
      </c>
      <c r="FC6" s="235">
        <f>SUM(DX6:FB6)</f>
        <v>71793.540000000023</v>
      </c>
      <c r="FD6" s="234">
        <v>0</v>
      </c>
      <c r="FE6" s="234">
        <v>494.06</v>
      </c>
      <c r="FF6" s="234">
        <v>161.09</v>
      </c>
      <c r="FG6" s="234">
        <v>1463.57</v>
      </c>
      <c r="FH6" s="234">
        <v>1804.1799999999998</v>
      </c>
      <c r="FI6" s="234">
        <v>1537.89</v>
      </c>
      <c r="FJ6" s="234">
        <v>2280.1800000000003</v>
      </c>
      <c r="FK6" s="234">
        <v>2579.39</v>
      </c>
      <c r="FL6" s="234">
        <v>2056.4699999999998</v>
      </c>
      <c r="FM6" s="234">
        <v>1433.4999999999998</v>
      </c>
      <c r="FN6" s="234">
        <v>991.25</v>
      </c>
      <c r="FO6" s="234">
        <v>681.52</v>
      </c>
      <c r="FP6" s="234">
        <v>0</v>
      </c>
      <c r="FQ6" s="234">
        <v>1558.51</v>
      </c>
      <c r="FR6" s="234">
        <v>2592.6499999999996</v>
      </c>
      <c r="FS6" s="234">
        <v>2579.59</v>
      </c>
      <c r="FT6" s="234">
        <v>1478.65</v>
      </c>
      <c r="FU6" s="234">
        <v>2495.59</v>
      </c>
      <c r="FV6" s="234">
        <v>893.19</v>
      </c>
      <c r="FW6" s="234">
        <v>1643.1100000000001</v>
      </c>
      <c r="FX6" s="234">
        <v>1498.74</v>
      </c>
      <c r="FY6" s="234">
        <v>1941.4299999999998</v>
      </c>
      <c r="FZ6" s="234">
        <v>1606.79</v>
      </c>
      <c r="GA6" s="234">
        <v>708.94</v>
      </c>
      <c r="GB6" s="234">
        <v>0</v>
      </c>
      <c r="GC6" s="234">
        <v>2696.1099999999997</v>
      </c>
      <c r="GD6" s="234">
        <v>2002.86</v>
      </c>
      <c r="GE6" s="234">
        <v>1620.75</v>
      </c>
      <c r="GF6" s="234">
        <v>2792.51</v>
      </c>
      <c r="GG6" s="234">
        <v>3121.3900000000003</v>
      </c>
      <c r="GH6" s="234">
        <v>2000</v>
      </c>
      <c r="GI6" s="235">
        <f>SUM(FD6:GH6)</f>
        <v>48713.910000000011</v>
      </c>
      <c r="GJ6" s="234">
        <v>1002.73</v>
      </c>
      <c r="GK6" s="234">
        <v>1987.2500000000002</v>
      </c>
      <c r="GL6" s="234">
        <v>3008.3500000000004</v>
      </c>
      <c r="GM6" s="234">
        <v>769.58</v>
      </c>
      <c r="GN6" s="234">
        <v>1002.86</v>
      </c>
      <c r="GO6" s="234">
        <v>414.26</v>
      </c>
      <c r="GP6" s="234">
        <v>774.17</v>
      </c>
      <c r="GQ6" s="234">
        <v>1205.8400000000001</v>
      </c>
      <c r="GR6" s="234">
        <v>2049.87</v>
      </c>
      <c r="GS6" s="234">
        <v>1717.61</v>
      </c>
      <c r="GT6" s="234">
        <v>166.53</v>
      </c>
      <c r="GU6" s="234">
        <v>1499.04</v>
      </c>
      <c r="GV6" s="234">
        <v>993.70999999999992</v>
      </c>
      <c r="GW6" s="234">
        <v>170.79</v>
      </c>
      <c r="GX6" s="234">
        <v>2577.2600000000002</v>
      </c>
      <c r="GY6" s="234">
        <v>2347.33</v>
      </c>
      <c r="GZ6" s="234">
        <v>2287.9299999999998</v>
      </c>
      <c r="HA6" s="234">
        <v>57.01</v>
      </c>
      <c r="HB6" s="234">
        <v>1747.6</v>
      </c>
      <c r="HC6" s="234">
        <v>2111.35</v>
      </c>
      <c r="HD6" s="234">
        <v>1971.4299999999998</v>
      </c>
      <c r="HE6" s="234">
        <v>1884.5900000000001</v>
      </c>
      <c r="HF6" s="234">
        <v>1474.23</v>
      </c>
      <c r="HG6" s="234">
        <v>2301.7000000000003</v>
      </c>
      <c r="HH6" s="234">
        <v>755.74</v>
      </c>
      <c r="HI6" s="234">
        <v>1651.06</v>
      </c>
      <c r="HJ6" s="234">
        <v>158.39000000000001</v>
      </c>
      <c r="HK6" s="234">
        <v>1278.79</v>
      </c>
      <c r="HL6" s="234">
        <v>1793.48</v>
      </c>
      <c r="HM6" s="234">
        <v>2517.19</v>
      </c>
      <c r="HN6" s="234">
        <v>2358.16</v>
      </c>
      <c r="HO6" s="235">
        <f>SUM(GJ6:HN6)</f>
        <v>46035.83</v>
      </c>
      <c r="HP6" s="234">
        <v>436.34000000000003</v>
      </c>
      <c r="HQ6" s="234">
        <v>1219.79</v>
      </c>
      <c r="HR6" s="234">
        <v>1875.37</v>
      </c>
      <c r="HS6" s="234">
        <v>1848.1499999999999</v>
      </c>
      <c r="HT6" s="234">
        <v>1875.41</v>
      </c>
      <c r="HU6" s="234">
        <v>2039.96</v>
      </c>
      <c r="HV6" s="234">
        <v>0</v>
      </c>
      <c r="HW6" s="234">
        <v>0</v>
      </c>
      <c r="HX6" s="234">
        <v>31.78</v>
      </c>
      <c r="HY6" s="234">
        <v>0</v>
      </c>
      <c r="HZ6" s="234">
        <v>1715.17</v>
      </c>
      <c r="IA6" s="234">
        <v>851.68000000000006</v>
      </c>
      <c r="IB6" s="234">
        <v>3195.3999999999996</v>
      </c>
      <c r="IC6" s="234">
        <v>3057.9799999999996</v>
      </c>
      <c r="ID6" s="234">
        <v>3199.76</v>
      </c>
      <c r="IE6" s="234">
        <v>2935.64</v>
      </c>
      <c r="IF6" s="234">
        <v>1833.4299999999998</v>
      </c>
      <c r="IG6" s="234">
        <v>3615.25</v>
      </c>
      <c r="IH6" s="234">
        <v>2095.04</v>
      </c>
      <c r="II6" s="234">
        <v>1748.4499999999998</v>
      </c>
      <c r="IJ6" s="234">
        <v>3751.81</v>
      </c>
      <c r="IK6" s="234">
        <v>2336.62</v>
      </c>
      <c r="IL6" s="234">
        <v>2592.3999999999996</v>
      </c>
      <c r="IM6" s="234">
        <v>3626.55</v>
      </c>
      <c r="IN6" s="234">
        <v>30.37</v>
      </c>
      <c r="IO6" s="234">
        <v>533.14</v>
      </c>
      <c r="IP6" s="234">
        <v>0</v>
      </c>
      <c r="IQ6" s="234">
        <v>0</v>
      </c>
      <c r="IR6" s="234">
        <v>890.85</v>
      </c>
      <c r="IS6" s="234">
        <v>3579.94</v>
      </c>
      <c r="IT6" s="234">
        <v>2970.53</v>
      </c>
      <c r="IU6" s="235">
        <f>SUM(HP6:IT6)</f>
        <v>53886.810000000005</v>
      </c>
      <c r="IV6" s="234">
        <v>649.19000000000005</v>
      </c>
      <c r="IW6" s="234">
        <v>3502.02</v>
      </c>
      <c r="IX6" s="234">
        <v>4513.32</v>
      </c>
      <c r="IY6" s="234">
        <v>2421.1799999999998</v>
      </c>
      <c r="IZ6" s="234">
        <v>3301.03</v>
      </c>
      <c r="JA6" s="234">
        <v>2486.7799999999997</v>
      </c>
      <c r="JB6" s="234">
        <v>3354.2400000000002</v>
      </c>
      <c r="JC6" s="234">
        <v>3802.7599999999998</v>
      </c>
      <c r="JD6" s="234">
        <v>1219.74</v>
      </c>
      <c r="JE6" s="234">
        <v>2323.77</v>
      </c>
      <c r="JF6" s="234">
        <v>3944.87</v>
      </c>
      <c r="JG6" s="234">
        <v>2370.34</v>
      </c>
      <c r="JH6" s="234">
        <v>1971.0900000000001</v>
      </c>
      <c r="JI6" s="234">
        <v>2203.1000000000004</v>
      </c>
      <c r="JJ6" s="234">
        <v>1621.2399999999998</v>
      </c>
      <c r="JK6" s="234">
        <v>249.12</v>
      </c>
      <c r="JL6" s="234">
        <v>968.73</v>
      </c>
      <c r="JM6" s="234">
        <v>1794.6399999999999</v>
      </c>
      <c r="JN6" s="234">
        <v>2314.64</v>
      </c>
      <c r="JO6" s="234">
        <v>4340.83</v>
      </c>
      <c r="JP6" s="234">
        <v>3694.6099999999997</v>
      </c>
      <c r="JQ6" s="234">
        <v>571.91</v>
      </c>
      <c r="JR6" s="234">
        <v>853.4</v>
      </c>
      <c r="JS6" s="234">
        <v>1841.1</v>
      </c>
      <c r="JT6" s="234">
        <v>2075.34</v>
      </c>
      <c r="JU6" s="234">
        <v>1309.06</v>
      </c>
      <c r="JV6" s="234">
        <v>1267.76</v>
      </c>
      <c r="JW6" s="234">
        <v>2937.54</v>
      </c>
      <c r="JX6" s="234">
        <v>3257.91</v>
      </c>
      <c r="JY6" s="234">
        <v>3191.3199999999997</v>
      </c>
      <c r="JZ6" s="234">
        <v>0</v>
      </c>
      <c r="KA6" s="235">
        <f>SUM(IV6:JZ6)</f>
        <v>70352.580000000016</v>
      </c>
      <c r="KB6" s="291">
        <v>4536.369999999999</v>
      </c>
      <c r="KC6" s="291">
        <v>4393.04</v>
      </c>
      <c r="KD6" s="291">
        <v>1282.42</v>
      </c>
      <c r="KE6" s="291">
        <v>4242.1899999999996</v>
      </c>
      <c r="KF6" s="291">
        <v>3604.15</v>
      </c>
      <c r="KG6" s="291">
        <v>4413.58</v>
      </c>
      <c r="KH6" s="291">
        <v>3323.4399999999996</v>
      </c>
      <c r="KI6" s="291">
        <v>1994.5</v>
      </c>
      <c r="KJ6" s="291">
        <v>2392.65</v>
      </c>
      <c r="KK6" s="291">
        <v>2584.48</v>
      </c>
      <c r="KL6" s="291">
        <v>1711.3300000000002</v>
      </c>
      <c r="KM6" s="291">
        <v>3557.1200000000003</v>
      </c>
      <c r="KN6" s="291">
        <v>2655.57</v>
      </c>
      <c r="KO6" s="291">
        <v>3491.2399999999993</v>
      </c>
      <c r="KP6" s="291">
        <v>3954.17</v>
      </c>
      <c r="KQ6" s="291">
        <v>1921.9099999999999</v>
      </c>
      <c r="KR6" s="291">
        <v>2318.58</v>
      </c>
      <c r="KS6" s="291">
        <v>4863.1500000000005</v>
      </c>
      <c r="KT6" s="291">
        <v>4628.95</v>
      </c>
      <c r="KU6" s="291">
        <v>4778.9199999999992</v>
      </c>
      <c r="KV6" s="291">
        <v>4729.2000000000007</v>
      </c>
      <c r="KW6" s="291">
        <v>4975.8399999999992</v>
      </c>
      <c r="KX6" s="291">
        <v>5054.4199999999992</v>
      </c>
      <c r="KY6" s="291">
        <v>6164.42</v>
      </c>
      <c r="KZ6" s="291">
        <v>5741.05</v>
      </c>
      <c r="LA6" s="291">
        <v>5235.55</v>
      </c>
      <c r="LB6" s="291">
        <v>4466.8999999999996</v>
      </c>
      <c r="LC6" s="291">
        <v>3535.0099999999998</v>
      </c>
      <c r="LD6" s="291">
        <v>4053.17</v>
      </c>
      <c r="LE6" s="291">
        <v>3844.51</v>
      </c>
      <c r="LF6" s="291">
        <v>4630.91</v>
      </c>
      <c r="LG6" s="235">
        <f>SUM(KB6:LF6)</f>
        <v>119078.73999999999</v>
      </c>
      <c r="LH6" s="291">
        <v>1290.6500000000001</v>
      </c>
      <c r="LI6" s="291">
        <v>3235.48</v>
      </c>
      <c r="LJ6" s="291">
        <v>4157.8799999999992</v>
      </c>
      <c r="LK6" s="291">
        <v>2735.67</v>
      </c>
      <c r="LL6" s="291">
        <v>2264.9300000000003</v>
      </c>
      <c r="LM6" s="291">
        <v>2067.7399999999998</v>
      </c>
      <c r="LN6" s="291">
        <v>2969.3</v>
      </c>
      <c r="LO6" s="291">
        <v>4465.7700000000004</v>
      </c>
      <c r="LP6" s="291">
        <v>3427.3599999999997</v>
      </c>
      <c r="LQ6" s="291">
        <v>3814.8</v>
      </c>
      <c r="LR6" s="291">
        <v>4228.54</v>
      </c>
      <c r="LS6" s="291">
        <v>4484.0900000000011</v>
      </c>
      <c r="LT6" s="291">
        <v>3451.59</v>
      </c>
      <c r="LU6" s="291">
        <v>2425.4</v>
      </c>
      <c r="LV6" s="291">
        <v>469.74</v>
      </c>
      <c r="LW6" s="291">
        <v>3893.24</v>
      </c>
      <c r="LX6" s="291">
        <v>4144.1499999999996</v>
      </c>
      <c r="LY6" s="291">
        <v>5275.75</v>
      </c>
      <c r="LZ6" s="291">
        <v>2870.11</v>
      </c>
      <c r="MA6" s="291">
        <v>3782.7900000000004</v>
      </c>
      <c r="MB6" s="291">
        <v>1789.97</v>
      </c>
      <c r="MC6" s="291">
        <v>3313.17</v>
      </c>
      <c r="MD6" s="291">
        <v>4060.84</v>
      </c>
      <c r="ME6" s="291">
        <v>3857.91</v>
      </c>
      <c r="MF6" s="291">
        <v>4831.16</v>
      </c>
      <c r="MG6" s="291">
        <v>4538.2000000000007</v>
      </c>
      <c r="MH6" s="291">
        <v>1260.0300000000002</v>
      </c>
      <c r="MI6" s="291">
        <v>1795.0800000000002</v>
      </c>
      <c r="MJ6" s="291">
        <v>3504.99</v>
      </c>
      <c r="MK6" s="291">
        <v>5118.6000000000004</v>
      </c>
      <c r="ML6" s="234"/>
      <c r="MM6" s="235">
        <f>SUM(LH6:ML6)</f>
        <v>99524.930000000008</v>
      </c>
      <c r="MN6" s="291">
        <v>4549.3399999999992</v>
      </c>
      <c r="MO6" s="291">
        <v>5737.81</v>
      </c>
      <c r="MP6" s="291">
        <v>4947.6799999999994</v>
      </c>
      <c r="MQ6" s="291">
        <v>6013.58</v>
      </c>
      <c r="MR6" s="291">
        <v>2059.13</v>
      </c>
      <c r="MS6" s="291">
        <v>4421.84</v>
      </c>
      <c r="MT6" s="291">
        <v>2903.0099999999998</v>
      </c>
      <c r="MU6" s="291">
        <v>6017.7900000000009</v>
      </c>
      <c r="MV6" s="291">
        <v>2595.7600000000002</v>
      </c>
      <c r="MW6" s="291">
        <v>2634.34</v>
      </c>
      <c r="MX6" s="291">
        <v>3833.35</v>
      </c>
      <c r="MY6" s="291">
        <v>4058.6499999999996</v>
      </c>
      <c r="MZ6" s="291">
        <v>2472.7200000000003</v>
      </c>
      <c r="NA6" s="291">
        <v>3815.54</v>
      </c>
      <c r="NB6" s="291">
        <v>4902.4699999999993</v>
      </c>
      <c r="NC6" s="291">
        <v>2451.96</v>
      </c>
      <c r="ND6" s="291">
        <v>2282.75</v>
      </c>
      <c r="NE6" s="291">
        <v>864.32</v>
      </c>
      <c r="NF6" s="291">
        <v>2253.9900000000002</v>
      </c>
      <c r="NG6" s="291">
        <v>2108.5</v>
      </c>
      <c r="NH6" s="291">
        <v>2344.2699999999995</v>
      </c>
      <c r="NI6" s="291">
        <v>2360.1800000000003</v>
      </c>
      <c r="NJ6" s="291">
        <v>4993.75</v>
      </c>
      <c r="NK6" s="291">
        <v>4000.8199999999997</v>
      </c>
      <c r="NL6" s="291">
        <v>2263.27</v>
      </c>
      <c r="NM6" s="291">
        <v>3051.14</v>
      </c>
      <c r="NN6" s="291">
        <v>2635.52</v>
      </c>
      <c r="NO6" s="291">
        <v>4302.1000000000004</v>
      </c>
      <c r="NP6" s="291">
        <v>0</v>
      </c>
      <c r="NQ6" s="291">
        <v>0</v>
      </c>
      <c r="NR6" s="291">
        <v>0</v>
      </c>
      <c r="NS6" s="235">
        <f>SUM(MN6:NR6)</f>
        <v>96875.580000000031</v>
      </c>
      <c r="NT6" s="234">
        <v>2711.8900000000003</v>
      </c>
      <c r="NU6" s="234">
        <v>1457.3200000000002</v>
      </c>
      <c r="NV6" s="234">
        <v>2136.2200000000003</v>
      </c>
      <c r="NW6" s="234">
        <v>2432.34</v>
      </c>
      <c r="NX6" s="234">
        <v>3023.9999999999995</v>
      </c>
      <c r="NY6" s="234">
        <v>1526.92</v>
      </c>
      <c r="NZ6" s="234">
        <v>1467.16</v>
      </c>
      <c r="OA6" s="234">
        <v>1937.0599999999997</v>
      </c>
      <c r="OB6" s="234">
        <v>1760.15</v>
      </c>
      <c r="OC6" s="234">
        <v>5189.6899999999996</v>
      </c>
      <c r="OD6" s="234">
        <v>3028.9799999999996</v>
      </c>
      <c r="OE6" s="234">
        <v>3804.41</v>
      </c>
      <c r="OF6" s="234">
        <v>2227.9</v>
      </c>
      <c r="OG6" s="234">
        <v>1586.3799999999999</v>
      </c>
      <c r="OH6" s="234">
        <v>2687.0200000000004</v>
      </c>
      <c r="OI6" s="234">
        <v>562.39</v>
      </c>
      <c r="OJ6" s="234">
        <v>1739.79</v>
      </c>
      <c r="OK6" s="234">
        <v>898.99</v>
      </c>
      <c r="OL6" s="234">
        <v>2217.38</v>
      </c>
      <c r="OM6" s="234">
        <v>2000.08</v>
      </c>
      <c r="ON6" s="234">
        <v>2949.2200000000003</v>
      </c>
      <c r="OO6" s="234">
        <v>2452.7600000000002</v>
      </c>
      <c r="OP6" s="234">
        <v>2020.94</v>
      </c>
      <c r="OQ6" s="234">
        <v>2529.6499999999996</v>
      </c>
      <c r="OR6" s="234">
        <v>2886.7400000000002</v>
      </c>
      <c r="OS6" s="234">
        <v>4029.9500000000003</v>
      </c>
      <c r="OT6" s="234">
        <v>4143.8599999999988</v>
      </c>
      <c r="OU6" s="234">
        <v>2054.88</v>
      </c>
      <c r="OV6" s="234">
        <v>3671.76</v>
      </c>
      <c r="OW6" s="234">
        <v>2565.7800000000002</v>
      </c>
      <c r="OX6" s="234">
        <v>3614.21</v>
      </c>
      <c r="OY6" s="235">
        <f>SUM(NT6:OX6)</f>
        <v>77315.820000000007</v>
      </c>
      <c r="OZ6" s="234">
        <v>781.81</v>
      </c>
      <c r="PA6" s="234">
        <v>2918.32</v>
      </c>
      <c r="PB6" s="234">
        <v>1818.09</v>
      </c>
      <c r="PC6" s="234">
        <v>804.41000000000008</v>
      </c>
      <c r="PD6" s="234">
        <v>2621.7</v>
      </c>
      <c r="PE6" s="234">
        <v>1287.3999999999999</v>
      </c>
      <c r="PF6" s="234">
        <v>2538.37</v>
      </c>
      <c r="PG6" s="234">
        <v>2032.83</v>
      </c>
      <c r="PH6" s="234">
        <v>2383.75</v>
      </c>
      <c r="PI6" s="234">
        <v>1664.0900000000001</v>
      </c>
      <c r="PJ6" s="234">
        <v>1725.96</v>
      </c>
      <c r="PK6" s="234">
        <v>2818.9</v>
      </c>
      <c r="PL6" s="234">
        <v>926.82999999999993</v>
      </c>
      <c r="PM6" s="234">
        <v>3077.5099999999993</v>
      </c>
      <c r="PN6" s="234">
        <v>5399.7999999999993</v>
      </c>
      <c r="PO6" s="234">
        <v>3175.2</v>
      </c>
      <c r="PP6" s="234">
        <v>1120.73</v>
      </c>
      <c r="PQ6" s="234">
        <v>823.53</v>
      </c>
      <c r="PR6" s="234">
        <v>2185.89</v>
      </c>
      <c r="PS6" s="234">
        <v>1190.03</v>
      </c>
      <c r="PT6" s="234">
        <v>4020.63</v>
      </c>
      <c r="PU6" s="234">
        <v>3701.53</v>
      </c>
      <c r="PV6" s="234">
        <v>3646.3100000000004</v>
      </c>
      <c r="PW6" s="234">
        <v>3514.6200000000003</v>
      </c>
      <c r="PX6" s="234">
        <v>3241.58</v>
      </c>
      <c r="PY6" s="234">
        <v>3290.7599999999998</v>
      </c>
      <c r="PZ6" s="234">
        <v>1779.1699999999998</v>
      </c>
      <c r="QA6" s="234">
        <v>2877.43</v>
      </c>
      <c r="QB6" s="234">
        <v>2658.29</v>
      </c>
      <c r="QC6" s="234">
        <v>3202.72</v>
      </c>
      <c r="QD6" s="235">
        <f>SUM(OZ6:QC6)</f>
        <v>73228.189999999988</v>
      </c>
      <c r="QE6" s="234">
        <v>2936.46</v>
      </c>
      <c r="QF6" s="234">
        <v>2486.1</v>
      </c>
      <c r="QG6" s="234">
        <v>2817.05</v>
      </c>
      <c r="QH6" s="234">
        <v>1355.16</v>
      </c>
      <c r="QI6" s="234">
        <v>1565.45</v>
      </c>
      <c r="QJ6" s="234">
        <v>803.41</v>
      </c>
      <c r="QK6" s="234">
        <v>1529.04</v>
      </c>
      <c r="QL6" s="234">
        <v>1030.6600000000001</v>
      </c>
      <c r="QM6" s="234">
        <v>1217.22</v>
      </c>
      <c r="QN6" s="234">
        <v>1604.8400000000001</v>
      </c>
      <c r="QO6" s="234">
        <v>505.31</v>
      </c>
      <c r="QP6" s="234">
        <v>28.82</v>
      </c>
      <c r="QQ6" s="234">
        <v>0</v>
      </c>
      <c r="QR6" s="234">
        <v>0</v>
      </c>
      <c r="QS6" s="234">
        <v>0</v>
      </c>
      <c r="QT6" s="234">
        <v>292.02999999999997</v>
      </c>
      <c r="QU6" s="234">
        <v>1034.52</v>
      </c>
      <c r="QV6" s="234">
        <v>1360.51</v>
      </c>
      <c r="QW6" s="234">
        <v>4037.5099999999998</v>
      </c>
      <c r="QX6" s="234">
        <v>4906.1100000000006</v>
      </c>
      <c r="QY6" s="234">
        <v>2475.85</v>
      </c>
      <c r="QZ6" s="234">
        <v>2825.62</v>
      </c>
      <c r="RA6" s="234">
        <v>2561.27</v>
      </c>
      <c r="RB6" s="234">
        <v>3244.28</v>
      </c>
      <c r="RC6" s="234">
        <v>1328.3999999999999</v>
      </c>
      <c r="RD6" s="234">
        <v>1800.0000000000002</v>
      </c>
      <c r="RE6" s="234">
        <v>3025.1600000000003</v>
      </c>
      <c r="RF6" s="234">
        <v>3009.58</v>
      </c>
      <c r="RG6" s="234">
        <v>2862.49</v>
      </c>
      <c r="RH6" s="234">
        <v>3272.29</v>
      </c>
      <c r="RI6" s="234">
        <v>3863.66</v>
      </c>
      <c r="RJ6" s="235">
        <v>59778.8</v>
      </c>
      <c r="RK6" s="234">
        <v>1156.3400000000001</v>
      </c>
      <c r="RL6" s="234">
        <v>4419.8899999999994</v>
      </c>
      <c r="RM6" s="234">
        <v>5028.67</v>
      </c>
      <c r="RN6" s="234">
        <v>4376.97</v>
      </c>
      <c r="RO6" s="234">
        <v>3654.26</v>
      </c>
      <c r="RP6" s="234">
        <v>2965.3600000000006</v>
      </c>
      <c r="RQ6" s="234">
        <v>3492.36</v>
      </c>
      <c r="RR6" s="234">
        <v>676.98</v>
      </c>
      <c r="RS6" s="234">
        <v>2608.37</v>
      </c>
      <c r="RT6" s="234">
        <v>3338.06</v>
      </c>
      <c r="RU6" s="234">
        <v>4088.7300000000005</v>
      </c>
      <c r="RV6" s="234">
        <v>7524.2199999999993</v>
      </c>
      <c r="RW6" s="234">
        <v>8234</v>
      </c>
      <c r="RX6" s="234">
        <v>5644.4400000000005</v>
      </c>
      <c r="RY6" s="234">
        <v>1414.48</v>
      </c>
      <c r="RZ6" s="234">
        <v>4501.32</v>
      </c>
      <c r="SA6" s="234">
        <v>2756.5199999999995</v>
      </c>
      <c r="SB6" s="234">
        <v>4589.5800000000008</v>
      </c>
      <c r="SC6" s="234">
        <v>2607.64</v>
      </c>
      <c r="SD6" s="234">
        <v>3081.5499999999997</v>
      </c>
      <c r="SE6" s="234">
        <v>4303.869999999999</v>
      </c>
      <c r="SF6" s="234">
        <v>2667.7899999999995</v>
      </c>
      <c r="SG6" s="234">
        <v>4819.5</v>
      </c>
      <c r="SH6" s="234">
        <v>2124.6600000000003</v>
      </c>
      <c r="SI6" s="234">
        <v>5115.9900000000007</v>
      </c>
      <c r="SJ6" s="234">
        <v>4875.9400000000005</v>
      </c>
      <c r="SK6" s="234">
        <v>5074.3900000000003</v>
      </c>
      <c r="SL6" s="234">
        <v>5660.13</v>
      </c>
      <c r="SM6" s="234">
        <v>941.5</v>
      </c>
      <c r="SN6" s="234">
        <v>3504.82</v>
      </c>
      <c r="SO6" s="235">
        <f>SUM(RK6:SN6)</f>
        <v>115248.33000000002</v>
      </c>
      <c r="SP6" s="234">
        <v>1199.23</v>
      </c>
      <c r="SQ6" s="234">
        <v>2112.6600000000003</v>
      </c>
      <c r="SR6" s="234">
        <v>3806.19</v>
      </c>
      <c r="SS6" s="234">
        <v>3220.88</v>
      </c>
      <c r="ST6" s="234">
        <v>3502.4900000000002</v>
      </c>
      <c r="SU6" s="234">
        <v>1120.7</v>
      </c>
      <c r="SV6" s="234">
        <v>449.34000000000003</v>
      </c>
      <c r="SW6" s="234">
        <v>1493.3999999999999</v>
      </c>
      <c r="SX6" s="234">
        <v>1772.35</v>
      </c>
      <c r="SY6" s="234">
        <v>2187.0899999999997</v>
      </c>
      <c r="SZ6" s="234">
        <v>1484.6200000000001</v>
      </c>
      <c r="TA6" s="234">
        <v>1233.2999999999997</v>
      </c>
      <c r="TB6" s="234">
        <v>300.43</v>
      </c>
      <c r="TC6" s="234">
        <v>6697.35</v>
      </c>
      <c r="TD6" s="234">
        <v>4277.17</v>
      </c>
      <c r="TE6" s="234">
        <v>4010.74</v>
      </c>
      <c r="TF6" s="234">
        <v>6661.2900000000009</v>
      </c>
      <c r="TG6" s="234">
        <v>6511.7800000000007</v>
      </c>
      <c r="TH6" s="234">
        <v>5557.63</v>
      </c>
      <c r="TI6" s="234">
        <v>759.42000000000007</v>
      </c>
      <c r="TJ6" s="234">
        <v>4743.51</v>
      </c>
      <c r="TK6" s="234">
        <v>2967.4199999999996</v>
      </c>
      <c r="TL6" s="234">
        <v>3098.6499999999996</v>
      </c>
      <c r="TM6" s="234">
        <v>3196.69</v>
      </c>
      <c r="TN6" s="234">
        <v>4036.4800000000005</v>
      </c>
      <c r="TO6" s="234">
        <v>2349.17</v>
      </c>
      <c r="TP6" s="234">
        <v>1453.16</v>
      </c>
      <c r="TQ6" s="234">
        <v>4386.5200000000004</v>
      </c>
      <c r="TR6" s="234">
        <v>3561.1800000000003</v>
      </c>
      <c r="TS6" s="234">
        <v>3199.26</v>
      </c>
      <c r="TT6" s="234">
        <v>3385.25</v>
      </c>
      <c r="TU6" s="235">
        <v>94735.349999999991</v>
      </c>
      <c r="TV6" s="234">
        <v>1676.5000000000002</v>
      </c>
      <c r="TW6" s="234">
        <v>1923.6999999999998</v>
      </c>
      <c r="TX6" s="234">
        <v>587.59999999999991</v>
      </c>
      <c r="TY6" s="234">
        <v>2360.14</v>
      </c>
      <c r="TZ6" s="234">
        <v>1502.9299999999998</v>
      </c>
      <c r="UA6" s="234">
        <v>2579.69</v>
      </c>
      <c r="UB6" s="234">
        <v>3110.7799999999997</v>
      </c>
      <c r="UC6" s="234">
        <v>2439.73</v>
      </c>
      <c r="UD6" s="234">
        <v>2935.96</v>
      </c>
      <c r="UE6" s="234">
        <v>1988.64</v>
      </c>
      <c r="UF6" s="234">
        <v>2400.67</v>
      </c>
      <c r="UG6" s="234">
        <v>0</v>
      </c>
      <c r="UH6" s="234">
        <v>577.87</v>
      </c>
      <c r="UI6" s="234">
        <v>1505.29</v>
      </c>
      <c r="UJ6" s="234">
        <v>3047.7000000000003</v>
      </c>
      <c r="UK6" s="234">
        <v>4292.0599999999995</v>
      </c>
      <c r="UL6" s="234">
        <v>749.87</v>
      </c>
      <c r="UM6" s="234">
        <v>216.28</v>
      </c>
      <c r="UN6" s="234">
        <v>183.98</v>
      </c>
      <c r="UO6" s="234">
        <v>1129.0700000000002</v>
      </c>
      <c r="UP6" s="234">
        <v>0</v>
      </c>
      <c r="UQ6" s="234">
        <v>801.46</v>
      </c>
      <c r="UR6" s="234">
        <v>3095.82</v>
      </c>
      <c r="US6" s="234">
        <v>1833.42</v>
      </c>
      <c r="UT6" s="234">
        <v>6895.6299999999992</v>
      </c>
      <c r="UU6" s="234">
        <v>6816.67</v>
      </c>
      <c r="UV6" s="234">
        <v>4737.09</v>
      </c>
      <c r="UW6" s="234">
        <v>7955.1100000000006</v>
      </c>
      <c r="UX6" s="234">
        <v>3377.9400000000005</v>
      </c>
      <c r="UY6" s="234">
        <v>2512.06</v>
      </c>
      <c r="UZ6" s="234">
        <v>1170.05</v>
      </c>
      <c r="VA6" s="235">
        <v>94735.349999999991</v>
      </c>
      <c r="VB6" s="234">
        <v>2132.66</v>
      </c>
      <c r="VC6" s="234">
        <v>1576.71</v>
      </c>
      <c r="VD6" s="234">
        <v>364.39</v>
      </c>
      <c r="VE6" s="234">
        <v>0</v>
      </c>
      <c r="VF6" s="234">
        <v>1357.6100000000001</v>
      </c>
      <c r="VG6" s="234">
        <v>2481.98</v>
      </c>
      <c r="VH6" s="234">
        <v>1981.22</v>
      </c>
      <c r="VI6" s="234">
        <v>4099.7400000000007</v>
      </c>
      <c r="VJ6" s="234">
        <v>1379.4099999999999</v>
      </c>
      <c r="VK6" s="234">
        <v>283.64999999999998</v>
      </c>
      <c r="VL6" s="234">
        <v>0</v>
      </c>
      <c r="VM6" s="234">
        <v>0</v>
      </c>
      <c r="VN6" s="234">
        <v>3058.33</v>
      </c>
      <c r="VO6" s="234">
        <v>1460.85</v>
      </c>
      <c r="VP6" s="234">
        <v>2518.87</v>
      </c>
      <c r="VQ6" s="234">
        <v>2999.73</v>
      </c>
      <c r="VR6" s="234">
        <v>2381.83</v>
      </c>
      <c r="VS6" s="234">
        <v>2129</v>
      </c>
      <c r="VT6" s="234">
        <v>2988.69</v>
      </c>
      <c r="VU6" s="234">
        <v>2620.52</v>
      </c>
      <c r="VV6" s="234">
        <v>2726.25</v>
      </c>
      <c r="VW6" s="234">
        <v>2722.41</v>
      </c>
      <c r="VX6" s="234">
        <v>4134.4400000000005</v>
      </c>
      <c r="VY6" s="234">
        <v>3377.29</v>
      </c>
      <c r="VZ6" s="234">
        <v>5070.67</v>
      </c>
      <c r="WA6" s="234">
        <v>5814.7099999999991</v>
      </c>
      <c r="WB6" s="234">
        <v>3955.75</v>
      </c>
      <c r="WC6" s="234">
        <v>2080.5699999999997</v>
      </c>
      <c r="WD6" s="234">
        <v>5849.04</v>
      </c>
      <c r="WE6" s="234">
        <v>3852.0299999999997</v>
      </c>
      <c r="WF6" s="235">
        <v>94735.349999999991</v>
      </c>
      <c r="WG6" s="234">
        <v>3700.5</v>
      </c>
      <c r="WH6" s="234">
        <v>2948.08</v>
      </c>
      <c r="WI6" s="234">
        <v>1123.4000000000001</v>
      </c>
      <c r="WJ6" s="234">
        <v>2339.59</v>
      </c>
      <c r="WK6" s="234">
        <v>1201.0900000000001</v>
      </c>
      <c r="WL6" s="234">
        <v>2030.21</v>
      </c>
      <c r="WM6" s="234">
        <v>2538.5600000000004</v>
      </c>
      <c r="WN6" s="234">
        <v>3235.9200000000005</v>
      </c>
      <c r="WO6" s="234">
        <v>2251.3500000000004</v>
      </c>
      <c r="WP6" s="234">
        <v>2372.0300000000002</v>
      </c>
      <c r="WQ6" s="234">
        <v>2689.2700000000004</v>
      </c>
      <c r="WR6" s="234">
        <v>1423.74</v>
      </c>
      <c r="WS6" s="234">
        <v>3251.2200000000003</v>
      </c>
      <c r="WT6" s="234">
        <v>2339.31</v>
      </c>
      <c r="WU6" s="234">
        <v>1392.13</v>
      </c>
      <c r="WV6" s="234">
        <v>3830.12</v>
      </c>
      <c r="WW6" s="234">
        <v>1870.07</v>
      </c>
      <c r="WX6" s="234">
        <v>1935.19</v>
      </c>
      <c r="WY6" s="234">
        <v>1017.75</v>
      </c>
      <c r="WZ6" s="234">
        <v>3130.3799999999997</v>
      </c>
      <c r="XA6" s="234">
        <v>913.54</v>
      </c>
      <c r="XB6" s="234">
        <v>2802.0600000000004</v>
      </c>
      <c r="XC6" s="234">
        <v>3463.6099999999997</v>
      </c>
      <c r="XD6" s="234">
        <v>3651.22</v>
      </c>
      <c r="XE6" s="234">
        <v>1864.2199999999998</v>
      </c>
      <c r="XF6" s="234">
        <v>1014.4399999999999</v>
      </c>
      <c r="XG6" s="234">
        <v>3174.27</v>
      </c>
      <c r="XH6" s="234">
        <v>2069.61</v>
      </c>
      <c r="XI6" s="234">
        <v>3975.54</v>
      </c>
      <c r="XJ6" s="234">
        <v>3181.34</v>
      </c>
      <c r="XK6" s="234">
        <v>3678.2699999999995</v>
      </c>
      <c r="XL6" s="235">
        <v>76408.03</v>
      </c>
      <c r="XM6" s="234">
        <v>3110.39</v>
      </c>
      <c r="XN6" s="234">
        <v>1874.7499999999998</v>
      </c>
      <c r="XO6" s="234">
        <v>2185.59</v>
      </c>
      <c r="XP6" s="234">
        <v>1356.78</v>
      </c>
      <c r="XQ6" s="234">
        <v>2966.3999999999996</v>
      </c>
      <c r="XR6" s="234">
        <v>3759.04</v>
      </c>
      <c r="XS6" s="234">
        <v>924.55000000000018</v>
      </c>
      <c r="XT6" s="234">
        <v>0</v>
      </c>
      <c r="XU6" s="234">
        <v>0</v>
      </c>
      <c r="XV6" s="234">
        <v>0</v>
      </c>
      <c r="XW6" s="234">
        <v>0</v>
      </c>
      <c r="XX6" s="234">
        <v>0</v>
      </c>
      <c r="XY6" s="234">
        <v>0</v>
      </c>
      <c r="XZ6" s="234">
        <v>0</v>
      </c>
      <c r="YA6" s="234">
        <v>0</v>
      </c>
      <c r="YB6" s="234">
        <v>0</v>
      </c>
      <c r="YC6" s="234">
        <v>0</v>
      </c>
      <c r="YD6" s="234">
        <v>0</v>
      </c>
      <c r="YE6" s="234">
        <v>106.08999999999999</v>
      </c>
      <c r="YF6" s="234">
        <v>3930.16</v>
      </c>
      <c r="YG6" s="234">
        <v>4818.74</v>
      </c>
      <c r="YH6" s="234">
        <v>5100.83</v>
      </c>
      <c r="YI6" s="234">
        <v>2987.85</v>
      </c>
      <c r="YJ6" s="234">
        <v>6580.29</v>
      </c>
      <c r="YK6" s="234">
        <v>8064.7900000000009</v>
      </c>
      <c r="YL6" s="234">
        <v>7208.65</v>
      </c>
      <c r="YM6" s="234">
        <v>6683.380000000001</v>
      </c>
      <c r="YN6" s="234">
        <v>4427.4400000000005</v>
      </c>
      <c r="YO6" s="234">
        <v>5697.66</v>
      </c>
      <c r="YP6" s="234">
        <v>2096.7741935483873</v>
      </c>
      <c r="YQ6" s="234">
        <v>2096.7741935483873</v>
      </c>
      <c r="YR6" s="235">
        <v>75976.928387096792</v>
      </c>
      <c r="YS6" s="234">
        <f>Actual!F159</f>
        <v>0</v>
      </c>
      <c r="YT6" s="234">
        <f>Actual!G159</f>
        <v>0</v>
      </c>
      <c r="YU6" s="234">
        <f>Actual!H159</f>
        <v>0</v>
      </c>
      <c r="YV6" s="234">
        <f>Actual!I159</f>
        <v>0</v>
      </c>
      <c r="YW6" s="234">
        <f>Actual!J159</f>
        <v>0</v>
      </c>
      <c r="YX6" s="234">
        <f>Actual!K159</f>
        <v>0</v>
      </c>
      <c r="YY6" s="234">
        <f>Actual!L159</f>
        <v>0</v>
      </c>
      <c r="YZ6" s="234">
        <f>Actual!M159</f>
        <v>0</v>
      </c>
      <c r="ZA6" s="234">
        <f>Actual!N159</f>
        <v>0</v>
      </c>
      <c r="ZB6" s="234">
        <f>Actual!O159</f>
        <v>0</v>
      </c>
      <c r="ZC6" s="234">
        <f>Actual!P159</f>
        <v>0</v>
      </c>
      <c r="ZD6" s="234">
        <f>Actual!Q159</f>
        <v>0</v>
      </c>
      <c r="ZE6" s="234">
        <f>Actual!R159</f>
        <v>0</v>
      </c>
      <c r="ZF6" s="234">
        <f>Actual!S159</f>
        <v>0</v>
      </c>
      <c r="ZG6" s="234">
        <f>Actual!T159</f>
        <v>0</v>
      </c>
      <c r="ZH6" s="234">
        <f>Actual!U159</f>
        <v>0</v>
      </c>
      <c r="ZI6" s="234">
        <f>Actual!V159</f>
        <v>0</v>
      </c>
      <c r="ZJ6" s="234">
        <f>Actual!W159</f>
        <v>0</v>
      </c>
      <c r="ZK6" s="234">
        <f>Actual!X159</f>
        <v>0</v>
      </c>
      <c r="ZL6" s="234">
        <f>Actual!Y159</f>
        <v>0</v>
      </c>
      <c r="ZM6" s="234">
        <f>Actual!Z159</f>
        <v>0</v>
      </c>
      <c r="ZN6" s="234">
        <f>Actual!AA159</f>
        <v>0</v>
      </c>
      <c r="ZO6" s="234">
        <f>Actual!AB159</f>
        <v>0</v>
      </c>
      <c r="ZP6" s="234">
        <f>Actual!AC159</f>
        <v>0</v>
      </c>
      <c r="ZQ6" s="234">
        <f>Actual!AD159</f>
        <v>0</v>
      </c>
      <c r="ZR6" s="234">
        <f>Actual!AE159</f>
        <v>0</v>
      </c>
      <c r="ZS6" s="234">
        <f>Actual!AF159</f>
        <v>0</v>
      </c>
      <c r="ZT6" s="234">
        <f>Actual!AG159</f>
        <v>0</v>
      </c>
      <c r="ZU6" s="234">
        <f>Actual!AH159</f>
        <v>0</v>
      </c>
      <c r="ZV6" s="234">
        <f>Outlook!$Q$12/31</f>
        <v>12109.729387096773</v>
      </c>
      <c r="ZW6" s="234">
        <f>Outlook!$Q$12/31</f>
        <v>12109.729387096773</v>
      </c>
      <c r="ZX6" s="235">
        <f>SUM(YS6:ZW6)</f>
        <v>24219.458774193547</v>
      </c>
      <c r="ZY6" s="234">
        <v>871.63000000000011</v>
      </c>
      <c r="ZZ6" s="234">
        <v>3409.8</v>
      </c>
      <c r="AAA6" s="234">
        <v>2104.9800000000005</v>
      </c>
      <c r="AAB6" s="234">
        <v>3111.66</v>
      </c>
      <c r="AAC6" s="234">
        <v>1500.8999999999999</v>
      </c>
      <c r="AAD6" s="234">
        <v>1497.49</v>
      </c>
      <c r="AAE6" s="234">
        <v>1897.91</v>
      </c>
      <c r="AAF6" s="234">
        <v>1100.82</v>
      </c>
      <c r="AAG6" s="234">
        <v>2916.65</v>
      </c>
      <c r="AAH6" s="234">
        <v>2088.7199999999998</v>
      </c>
      <c r="AAI6" s="234">
        <v>1504.9699999999998</v>
      </c>
      <c r="AAJ6" s="234">
        <v>1366.12</v>
      </c>
      <c r="AAK6" s="234">
        <v>2511.1999999999998</v>
      </c>
      <c r="AAL6" s="234">
        <v>2959.1699999999996</v>
      </c>
      <c r="AAM6" s="234">
        <v>3454.7099999999996</v>
      </c>
      <c r="AAN6" s="234">
        <v>3952.62</v>
      </c>
      <c r="AAO6" s="234">
        <v>2206.91</v>
      </c>
      <c r="AAP6" s="234">
        <v>2856.02</v>
      </c>
      <c r="AAQ6" s="234">
        <v>3739.4400000000005</v>
      </c>
      <c r="AAR6" s="234">
        <v>4702.58</v>
      </c>
      <c r="AAS6" s="234">
        <v>4557.43</v>
      </c>
      <c r="AAT6" s="234">
        <v>286.42999999999995</v>
      </c>
      <c r="AAU6" s="234">
        <v>4267.46</v>
      </c>
      <c r="AAV6" s="234">
        <v>4003.33</v>
      </c>
      <c r="AAW6" s="234">
        <v>4655.66</v>
      </c>
      <c r="AAX6" s="234">
        <v>5424.28</v>
      </c>
      <c r="AAY6" s="234">
        <v>5446.51</v>
      </c>
      <c r="AAZ6" s="234">
        <v>4823.7999999999993</v>
      </c>
      <c r="ABA6" s="235">
        <f>SUM(ZY6:AAZ6)</f>
        <v>83219.199999999997</v>
      </c>
      <c r="ABB6" s="234">
        <v>1179.6400000000003</v>
      </c>
      <c r="ABC6" s="234">
        <v>2288.6099999999997</v>
      </c>
      <c r="ABD6" s="234">
        <v>3824.68</v>
      </c>
      <c r="ABE6" s="234">
        <v>3276.66</v>
      </c>
      <c r="ABF6" s="234">
        <v>4689.2400000000007</v>
      </c>
      <c r="ABG6" s="234">
        <v>2321.39</v>
      </c>
      <c r="ABH6" s="234">
        <v>1343.14</v>
      </c>
      <c r="ABI6" s="234">
        <v>1099.8400000000001</v>
      </c>
      <c r="ABJ6" s="234">
        <v>3773</v>
      </c>
      <c r="ABK6" s="234">
        <v>3755.1900000000005</v>
      </c>
      <c r="ABL6" s="234">
        <v>4099.28</v>
      </c>
      <c r="ABM6" s="234">
        <v>4851.01</v>
      </c>
      <c r="ABN6" s="234">
        <v>1705.88</v>
      </c>
      <c r="ABO6" s="234">
        <v>4718.1999999999989</v>
      </c>
      <c r="ABP6" s="234">
        <v>2525.88</v>
      </c>
      <c r="ABQ6" s="234">
        <v>5497.3100000000013</v>
      </c>
      <c r="ABR6" s="234">
        <v>4796.25</v>
      </c>
      <c r="ABS6" s="234">
        <v>3888.7900000000004</v>
      </c>
      <c r="ABT6" s="234">
        <v>4427.8899999999994</v>
      </c>
      <c r="ABU6" s="234">
        <v>4805.6599999999989</v>
      </c>
      <c r="ABV6" s="234">
        <v>3780.3900000000003</v>
      </c>
      <c r="ABW6" s="234">
        <v>4366.5200000000004</v>
      </c>
      <c r="ABX6" s="234">
        <v>551.96</v>
      </c>
      <c r="ABY6" s="234">
        <v>5257.9199999999992</v>
      </c>
      <c r="ABZ6" s="234">
        <v>4370.0200000000004</v>
      </c>
      <c r="ACA6" s="234">
        <v>5183.2199999999993</v>
      </c>
      <c r="ACB6" s="234">
        <v>4502.8499999999995</v>
      </c>
      <c r="ACC6" s="234">
        <v>3961.3900000000003</v>
      </c>
      <c r="ACD6" s="234">
        <v>2467.88</v>
      </c>
      <c r="ACE6" s="234">
        <v>3397.8799999999997</v>
      </c>
      <c r="ACF6" s="234">
        <v>3246.7700000000004</v>
      </c>
      <c r="ACG6" s="235">
        <v>109954.34000000003</v>
      </c>
      <c r="ACH6" s="234">
        <v>5212.7100000000009</v>
      </c>
      <c r="ACI6" s="234">
        <v>4579.0600000000004</v>
      </c>
      <c r="ACJ6" s="234">
        <v>3512.73</v>
      </c>
      <c r="ACK6" s="234">
        <v>1610.51</v>
      </c>
      <c r="ACL6" s="234">
        <v>1538.2800000000002</v>
      </c>
      <c r="ACM6" s="234">
        <v>3586.7</v>
      </c>
      <c r="ACN6" s="234">
        <v>3858.170000000001</v>
      </c>
      <c r="ACO6" s="234">
        <v>2456.6099999999992</v>
      </c>
      <c r="ACP6" s="234">
        <v>1294.3000000000002</v>
      </c>
      <c r="ACQ6" s="234">
        <v>1684.7000000000003</v>
      </c>
      <c r="ACR6" s="234">
        <v>1266.2599999999998</v>
      </c>
      <c r="ACS6" s="234">
        <v>0</v>
      </c>
      <c r="ACT6" s="234">
        <v>974.7</v>
      </c>
      <c r="ACU6" s="234">
        <v>511.21000000000004</v>
      </c>
      <c r="ACV6" s="234">
        <v>371.04</v>
      </c>
      <c r="ACW6" s="234">
        <v>26.78</v>
      </c>
      <c r="ACX6" s="234">
        <v>1302.1399999999999</v>
      </c>
      <c r="ACY6" s="234">
        <v>791.03</v>
      </c>
      <c r="ACZ6" s="234">
        <v>156.99</v>
      </c>
      <c r="ADA6" s="234">
        <v>1075.31</v>
      </c>
      <c r="ADB6" s="234">
        <v>426.7</v>
      </c>
      <c r="ADC6" s="234">
        <v>1290.5200000000002</v>
      </c>
      <c r="ADD6" s="234">
        <v>579.21</v>
      </c>
      <c r="ADE6" s="234">
        <v>1490.93</v>
      </c>
      <c r="ADF6" s="234">
        <v>3285.58</v>
      </c>
      <c r="ADG6" s="234">
        <v>604.54999999999995</v>
      </c>
      <c r="ADH6" s="234">
        <v>2646.7699999999995</v>
      </c>
      <c r="ADI6" s="234">
        <v>3058.19</v>
      </c>
      <c r="ADJ6" s="234">
        <v>4450.1099999999997</v>
      </c>
      <c r="ADK6" s="234">
        <v>4791.6599999999989</v>
      </c>
      <c r="ADL6" s="234"/>
      <c r="ADM6" s="235">
        <v>58433.44999999999</v>
      </c>
      <c r="ADN6" s="234">
        <v>1314.15</v>
      </c>
      <c r="ADO6" s="234">
        <v>0</v>
      </c>
      <c r="ADP6" s="234">
        <v>2260.71</v>
      </c>
      <c r="ADQ6" s="234">
        <v>1742.2600000000002</v>
      </c>
      <c r="ADR6" s="234">
        <v>3359.88</v>
      </c>
      <c r="ADS6" s="234">
        <v>3015.9399999999996</v>
      </c>
      <c r="ADT6" s="234">
        <v>3286.29</v>
      </c>
      <c r="ADU6" s="234">
        <v>2430.7400000000002</v>
      </c>
      <c r="ADV6" s="234">
        <v>1030.9099999999999</v>
      </c>
      <c r="ADW6" s="234">
        <v>1387.38</v>
      </c>
      <c r="ADX6" s="234">
        <v>3190.8699999999994</v>
      </c>
      <c r="ADY6" s="234">
        <v>1763.3300000000002</v>
      </c>
      <c r="ADZ6" s="234">
        <v>1186.77</v>
      </c>
      <c r="AEA6" s="234">
        <v>3386.99</v>
      </c>
      <c r="AEB6" s="234">
        <v>2443.5600000000004</v>
      </c>
      <c r="AEC6" s="234">
        <v>915.44</v>
      </c>
      <c r="AED6" s="234">
        <v>378</v>
      </c>
      <c r="AEE6" s="234">
        <v>3582.91</v>
      </c>
      <c r="AEF6" s="234">
        <v>3356.07</v>
      </c>
      <c r="AEG6" s="234">
        <v>2388.5800000000004</v>
      </c>
      <c r="AEH6" s="234">
        <v>3917.11</v>
      </c>
      <c r="AEI6" s="234">
        <v>4463.58</v>
      </c>
      <c r="AEJ6" s="234">
        <v>2294.11</v>
      </c>
      <c r="AEK6" s="234">
        <v>2158.52</v>
      </c>
      <c r="AEL6" s="234">
        <v>4015.2400000000002</v>
      </c>
      <c r="AEM6" s="234">
        <v>3697.51</v>
      </c>
      <c r="AEN6" s="234">
        <v>3460.0400000000009</v>
      </c>
      <c r="AEO6" s="234">
        <v>4850.29</v>
      </c>
      <c r="AEP6" s="234">
        <v>3184.73</v>
      </c>
      <c r="AEQ6" s="234">
        <v>3874.3700000000008</v>
      </c>
      <c r="AER6" s="234">
        <v>2490.71</v>
      </c>
      <c r="AES6" s="235">
        <v>58433.44999999999</v>
      </c>
      <c r="AET6" s="234">
        <v>4120.4799999999996</v>
      </c>
      <c r="AEU6" s="234">
        <v>3625.9099999999994</v>
      </c>
      <c r="AEV6" s="234">
        <v>3571.9300000000003</v>
      </c>
      <c r="AEW6" s="234">
        <v>3534.1100000000006</v>
      </c>
      <c r="AEX6" s="234">
        <v>4147.4400000000005</v>
      </c>
      <c r="AEY6" s="234">
        <v>1879.69</v>
      </c>
      <c r="AEZ6" s="234">
        <v>2460.81</v>
      </c>
      <c r="AFA6" s="234">
        <v>3224.8700000000003</v>
      </c>
      <c r="AFB6" s="234">
        <v>4565.5099999999984</v>
      </c>
      <c r="AFC6" s="234">
        <v>4570.6400000000003</v>
      </c>
      <c r="AFD6" s="234">
        <v>2596.25</v>
      </c>
      <c r="AFE6" s="234">
        <v>4815.7199999999993</v>
      </c>
      <c r="AFF6" s="234">
        <v>4267.2300000000005</v>
      </c>
      <c r="AFG6" s="234">
        <v>798.02</v>
      </c>
      <c r="AFH6" s="234">
        <v>3823.88</v>
      </c>
      <c r="AFI6" s="234">
        <v>3362.0600000000004</v>
      </c>
      <c r="AFJ6" s="234">
        <v>2006.7800000000004</v>
      </c>
      <c r="AFK6" s="234">
        <v>1162.24</v>
      </c>
      <c r="AFL6" s="234">
        <v>3404.5</v>
      </c>
      <c r="AFM6" s="234">
        <v>3261.1800000000003</v>
      </c>
      <c r="AFN6" s="234">
        <v>0</v>
      </c>
      <c r="AFO6" s="234">
        <v>713.99</v>
      </c>
      <c r="AFP6" s="234">
        <v>1422.82</v>
      </c>
      <c r="AFQ6" s="234">
        <v>0</v>
      </c>
      <c r="AFR6" s="234">
        <v>0</v>
      </c>
      <c r="AFS6" s="234">
        <v>179.53</v>
      </c>
      <c r="AFT6" s="234">
        <v>1018.1600000000001</v>
      </c>
      <c r="AFU6" s="234">
        <v>0</v>
      </c>
      <c r="AFV6" s="234">
        <v>0</v>
      </c>
      <c r="AFW6" s="234">
        <v>331.78999999999996</v>
      </c>
      <c r="AFX6" s="235">
        <v>68865.539999999994</v>
      </c>
      <c r="AFY6" s="234">
        <v>725.12000000000012</v>
      </c>
      <c r="AFZ6" s="234">
        <v>2037.2400000000002</v>
      </c>
      <c r="AGA6" s="234">
        <v>1487.7499999999995</v>
      </c>
      <c r="AGB6" s="234">
        <v>3181.54</v>
      </c>
      <c r="AGC6" s="234">
        <v>2569.2399999999998</v>
      </c>
      <c r="AGD6" s="234">
        <v>2453.94</v>
      </c>
      <c r="AGE6" s="234">
        <v>2705.0099999999998</v>
      </c>
      <c r="AGF6" s="234">
        <v>2002.33</v>
      </c>
      <c r="AGG6" s="234">
        <v>2223.67</v>
      </c>
      <c r="AGH6" s="234">
        <v>0</v>
      </c>
      <c r="AGI6" s="234">
        <v>1132.1000000000001</v>
      </c>
      <c r="AGJ6" s="234">
        <v>0</v>
      </c>
      <c r="AGK6" s="234">
        <v>1463.62</v>
      </c>
      <c r="AGL6" s="234">
        <v>1940.1</v>
      </c>
      <c r="AGM6" s="234">
        <v>2006.2399999999998</v>
      </c>
      <c r="AGN6" s="234">
        <v>2602.9999999999995</v>
      </c>
      <c r="AGO6" s="234">
        <v>2663.4300000000003</v>
      </c>
      <c r="AGP6" s="234">
        <v>2878.11</v>
      </c>
      <c r="AGQ6" s="234">
        <v>274.83</v>
      </c>
      <c r="AGR6" s="234">
        <v>30.43</v>
      </c>
      <c r="AGS6" s="234">
        <v>750.89</v>
      </c>
      <c r="AGT6" s="234">
        <v>0</v>
      </c>
      <c r="AGU6" s="234">
        <v>4893.17</v>
      </c>
      <c r="AGV6" s="234">
        <v>5891.76</v>
      </c>
      <c r="AGW6" s="234">
        <v>3023.18</v>
      </c>
      <c r="AGX6" s="234">
        <v>2590.64</v>
      </c>
      <c r="AGY6" s="234">
        <v>0</v>
      </c>
      <c r="AGZ6" s="234">
        <v>1894.38</v>
      </c>
      <c r="AHA6" s="234">
        <v>4625.8799999999992</v>
      </c>
      <c r="AHB6" s="234">
        <v>3783.84</v>
      </c>
      <c r="AHC6" s="234">
        <v>2184.4100000000003</v>
      </c>
      <c r="AHD6" s="235">
        <v>64015.849999999991</v>
      </c>
      <c r="AHE6" s="234">
        <v>2079.37</v>
      </c>
      <c r="AHF6" s="234">
        <v>29.64</v>
      </c>
      <c r="AHG6" s="234">
        <v>1033.43</v>
      </c>
      <c r="AHH6" s="234">
        <v>1237.2299999999998</v>
      </c>
      <c r="AHI6" s="234">
        <v>2576.4900000000002</v>
      </c>
      <c r="AHJ6" s="234">
        <v>1676.29</v>
      </c>
      <c r="AHK6" s="234">
        <v>1750.2800000000007</v>
      </c>
      <c r="AHL6" s="234">
        <v>3587.3099999999995</v>
      </c>
      <c r="AHM6" s="234">
        <v>1116.6399999999999</v>
      </c>
      <c r="AHN6" s="234">
        <v>923.44</v>
      </c>
      <c r="AHO6" s="234">
        <v>4299.6599999999989</v>
      </c>
      <c r="AHP6" s="234">
        <v>2083.96</v>
      </c>
      <c r="AHQ6" s="234">
        <v>1608.76</v>
      </c>
      <c r="AHR6" s="234">
        <v>2448.42</v>
      </c>
      <c r="AHS6" s="234">
        <v>3018.1800000000003</v>
      </c>
      <c r="AHT6" s="234">
        <v>1144.56</v>
      </c>
      <c r="AHU6" s="234">
        <v>712.55</v>
      </c>
      <c r="AHV6" s="234">
        <v>4517</v>
      </c>
      <c r="AHW6" s="234">
        <v>1807.0600000000006</v>
      </c>
      <c r="AHX6" s="234">
        <v>3919.7700000000004</v>
      </c>
      <c r="AHY6" s="234">
        <v>5869.6</v>
      </c>
      <c r="AHZ6" s="234">
        <v>4496.7300000000005</v>
      </c>
      <c r="AIA6" s="234">
        <v>2732.42</v>
      </c>
      <c r="AIB6" s="234">
        <v>4501.74</v>
      </c>
      <c r="AIC6" s="234">
        <v>4243.1400000000003</v>
      </c>
      <c r="AID6" s="234">
        <v>2997.3399999999992</v>
      </c>
      <c r="AIE6" s="234">
        <v>3627.3200000000006</v>
      </c>
      <c r="AIF6" s="234">
        <v>4225.4000000000005</v>
      </c>
      <c r="AIG6" s="234">
        <v>756.3</v>
      </c>
      <c r="AIH6" s="234">
        <v>118.03</v>
      </c>
      <c r="AII6" s="234">
        <v>4101.33</v>
      </c>
      <c r="AIJ6" s="235">
        <v>79239.39</v>
      </c>
      <c r="AIK6" s="239">
        <v>4238.6199999999981</v>
      </c>
      <c r="AIL6" s="239">
        <v>4309.8299999999981</v>
      </c>
      <c r="AIM6" s="239">
        <v>1469.54</v>
      </c>
      <c r="AIN6" s="239">
        <v>990.80000000000007</v>
      </c>
      <c r="AIO6" s="239">
        <v>0</v>
      </c>
      <c r="AIP6" s="239">
        <v>1106.1800000000003</v>
      </c>
      <c r="AIQ6" s="239">
        <v>2065.8200000000002</v>
      </c>
      <c r="AIR6" s="239">
        <v>2779.8</v>
      </c>
      <c r="AIS6" s="239">
        <v>2258.2599999999998</v>
      </c>
      <c r="AIT6" s="239">
        <v>3125.46</v>
      </c>
      <c r="AIU6" s="239">
        <v>5162.8899999999994</v>
      </c>
      <c r="AIV6" s="239">
        <v>2842.9999999999991</v>
      </c>
      <c r="AIW6" s="239">
        <v>728.37</v>
      </c>
      <c r="AIX6" s="239">
        <v>1804.5100000000002</v>
      </c>
      <c r="AIY6" s="239">
        <v>1292.1500000000001</v>
      </c>
      <c r="AIZ6" s="239">
        <v>1330.47</v>
      </c>
      <c r="AJA6" s="239">
        <v>1097.29</v>
      </c>
      <c r="AJB6" s="239">
        <v>2091.5299999999997</v>
      </c>
      <c r="AJC6" s="239">
        <v>2046.1999999999998</v>
      </c>
      <c r="AJD6" s="239">
        <v>1034.97</v>
      </c>
      <c r="AJE6" s="239">
        <v>3861.08</v>
      </c>
      <c r="AJF6" s="239">
        <v>2911.79</v>
      </c>
      <c r="AJG6" s="239">
        <v>1610.7000000000003</v>
      </c>
      <c r="AJH6" s="239">
        <v>0</v>
      </c>
      <c r="AJI6" s="239">
        <v>2305.3399999999997</v>
      </c>
      <c r="AJJ6" s="239">
        <v>2246.0499999999997</v>
      </c>
      <c r="AJK6" s="239">
        <v>1199.5899999999999</v>
      </c>
      <c r="AJL6" s="239">
        <v>1630.24</v>
      </c>
      <c r="AJM6" s="239">
        <v>1761.75</v>
      </c>
      <c r="AJN6" s="239">
        <v>2216.16</v>
      </c>
      <c r="AJO6" s="235">
        <v>61518.389999999985</v>
      </c>
      <c r="AJP6" s="239">
        <v>2432.25</v>
      </c>
      <c r="AJQ6" s="239">
        <v>2084.35</v>
      </c>
      <c r="AJR6" s="239">
        <v>2102.46</v>
      </c>
      <c r="AJS6" s="239">
        <v>1027.28</v>
      </c>
      <c r="AJT6" s="239">
        <v>2314.61</v>
      </c>
      <c r="AJU6" s="239">
        <v>2509.3900000000008</v>
      </c>
      <c r="AJV6" s="239">
        <v>2794.88</v>
      </c>
      <c r="AJW6" s="239">
        <v>1656.4799999999998</v>
      </c>
      <c r="AJX6" s="239">
        <v>1020.3399999999999</v>
      </c>
      <c r="AJY6" s="239">
        <v>1985.5399999999997</v>
      </c>
      <c r="AJZ6" s="239">
        <v>1388.37</v>
      </c>
      <c r="AKA6" s="239">
        <v>2373.5100000000002</v>
      </c>
      <c r="AKB6" s="239">
        <v>2651.8199999999997</v>
      </c>
      <c r="AKC6" s="239">
        <v>2436.9</v>
      </c>
      <c r="AKD6" s="239">
        <v>2539.34</v>
      </c>
      <c r="AKE6" s="239">
        <v>1252.6899999999998</v>
      </c>
      <c r="AKF6" s="239">
        <v>1221.1899999999998</v>
      </c>
      <c r="AKG6" s="239">
        <v>438.14</v>
      </c>
      <c r="AKH6" s="239">
        <v>1151.23</v>
      </c>
      <c r="AKI6" s="239">
        <v>1033.6499999999999</v>
      </c>
      <c r="AKJ6" s="239">
        <v>732.35</v>
      </c>
      <c r="AKK6" s="239">
        <v>966.95</v>
      </c>
      <c r="AKL6" s="239">
        <v>624.12</v>
      </c>
      <c r="AKM6" s="239">
        <v>1736.0200000000002</v>
      </c>
      <c r="AKN6" s="239">
        <v>850.47</v>
      </c>
      <c r="AKO6" s="239">
        <v>464.34999999999997</v>
      </c>
      <c r="AKP6" s="239">
        <v>2414.5300000000007</v>
      </c>
      <c r="AKQ6" s="239">
        <v>2713.99</v>
      </c>
      <c r="AKR6" s="239">
        <v>2843.74</v>
      </c>
      <c r="AKS6" s="239">
        <v>3005.35</v>
      </c>
      <c r="AKT6" s="239">
        <v>4148.170000000001</v>
      </c>
      <c r="AKU6" s="235">
        <v>54482.209999999985</v>
      </c>
      <c r="AKV6" s="239">
        <v>934.98</v>
      </c>
      <c r="AKW6" s="239">
        <v>3552.1099999999997</v>
      </c>
      <c r="AKX6" s="239">
        <v>4036.0099999999998</v>
      </c>
      <c r="AKY6" s="239">
        <v>3735.4900000000002</v>
      </c>
      <c r="AKZ6" s="239">
        <v>2220.4300000000007</v>
      </c>
      <c r="ALA6" s="239">
        <v>3153.6299999999997</v>
      </c>
      <c r="ALB6" s="239">
        <v>2572.9299999999998</v>
      </c>
      <c r="ALC6" s="239">
        <v>1369.89</v>
      </c>
      <c r="ALD6" s="239">
        <v>1285.95</v>
      </c>
      <c r="ALE6" s="239">
        <v>2143.7800000000002</v>
      </c>
      <c r="ALF6" s="239">
        <v>3248.67</v>
      </c>
      <c r="ALG6" s="239">
        <v>1879.4299999999998</v>
      </c>
      <c r="ALH6" s="239">
        <v>2827.63</v>
      </c>
      <c r="ALI6" s="239">
        <v>2718.079999999999</v>
      </c>
      <c r="ALJ6" s="239">
        <v>1293.8900000000001</v>
      </c>
      <c r="ALK6" s="239">
        <v>2435.4700000000003</v>
      </c>
      <c r="ALL6" s="239">
        <v>1222.8499999999999</v>
      </c>
      <c r="ALM6" s="239">
        <v>420.61</v>
      </c>
      <c r="ALN6" s="239">
        <v>1178.03</v>
      </c>
      <c r="ALO6" s="239">
        <v>2138.2000000000003</v>
      </c>
      <c r="ALP6" s="239">
        <v>92.03</v>
      </c>
      <c r="ALQ6" s="239">
        <v>0</v>
      </c>
      <c r="ALR6" s="239">
        <v>635.21</v>
      </c>
      <c r="ALS6" s="239">
        <v>1751.8499999999997</v>
      </c>
      <c r="ALT6" s="239">
        <v>1648.6100000000001</v>
      </c>
      <c r="ALU6" s="239">
        <v>1858.3700000000003</v>
      </c>
      <c r="ALV6" s="239">
        <v>2567.4300000000003</v>
      </c>
      <c r="ALW6" s="239">
        <v>1703.0399999999995</v>
      </c>
      <c r="ALX6" s="239">
        <v>989.1099999999999</v>
      </c>
      <c r="ALY6" s="239">
        <v>2236.52</v>
      </c>
      <c r="ALZ6" s="235">
        <v>57850.229999999996</v>
      </c>
      <c r="AMA6" s="239">
        <f>Actual!F159</f>
        <v>0</v>
      </c>
      <c r="AMB6" s="239">
        <f>Actual!G159</f>
        <v>0</v>
      </c>
      <c r="AMC6" s="239">
        <f>Actual!H159</f>
        <v>0</v>
      </c>
      <c r="AMD6" s="239">
        <f>Actual!I159</f>
        <v>0</v>
      </c>
      <c r="AME6" s="239">
        <f>Actual!J159</f>
        <v>0</v>
      </c>
      <c r="AMF6" s="239">
        <f>Actual!K159</f>
        <v>0</v>
      </c>
      <c r="AMG6" s="239">
        <f>Actual!L159</f>
        <v>0</v>
      </c>
      <c r="AMH6" s="239">
        <f>Actual!M159</f>
        <v>0</v>
      </c>
      <c r="AMI6" s="239">
        <f>Actual!N159</f>
        <v>0</v>
      </c>
      <c r="AMJ6" s="239">
        <f>Actual!O159</f>
        <v>0</v>
      </c>
      <c r="AMK6" s="239">
        <f>Actual!P159</f>
        <v>0</v>
      </c>
      <c r="AML6" s="239">
        <f>Actual!Q159</f>
        <v>0</v>
      </c>
      <c r="AMM6" s="239">
        <f>Actual!R159</f>
        <v>0</v>
      </c>
      <c r="AMN6" s="239">
        <f>Actual!S159</f>
        <v>0</v>
      </c>
      <c r="AMO6" s="239">
        <f>Actual!T159</f>
        <v>0</v>
      </c>
      <c r="AMP6" s="239">
        <f>Actual!U159</f>
        <v>0</v>
      </c>
      <c r="AMQ6" s="239">
        <f>Actual!V159</f>
        <v>0</v>
      </c>
      <c r="AMR6" s="239">
        <f>Actual!W159</f>
        <v>0</v>
      </c>
      <c r="AMS6" s="239">
        <f>Actual!X159</f>
        <v>0</v>
      </c>
      <c r="AMT6" s="239">
        <f>Actual!Y159</f>
        <v>0</v>
      </c>
      <c r="AMU6" s="239">
        <f>Actual!Z159</f>
        <v>0</v>
      </c>
      <c r="AMV6" s="239">
        <f>Actual!AA159</f>
        <v>0</v>
      </c>
      <c r="AMW6" s="239">
        <f>Actual!AB159</f>
        <v>0</v>
      </c>
      <c r="AMX6" s="239">
        <f>Actual!AC159</f>
        <v>0</v>
      </c>
      <c r="AMY6" s="239">
        <f>Actual!AD159</f>
        <v>0</v>
      </c>
      <c r="AMZ6" s="239">
        <f>Actual!AE159</f>
        <v>0</v>
      </c>
      <c r="ANA6" s="239">
        <f>Actual!AF159</f>
        <v>0</v>
      </c>
      <c r="ANB6" s="239">
        <f>Actual!AG159</f>
        <v>0</v>
      </c>
      <c r="ANC6" s="239">
        <f>Actual!AH159</f>
        <v>0</v>
      </c>
      <c r="AND6" s="239">
        <f>Actual!AI159</f>
        <v>0</v>
      </c>
      <c r="ANE6" s="239">
        <f>Actual!AJ159</f>
        <v>0</v>
      </c>
      <c r="ANF6" s="235">
        <f>SUM(AMA6:ANE6)</f>
        <v>0</v>
      </c>
      <c r="ANG6" s="234">
        <v>2921.59</v>
      </c>
      <c r="ANH6" s="234">
        <v>515.92000000000007</v>
      </c>
      <c r="ANI6" s="234">
        <v>1194.9100000000001</v>
      </c>
      <c r="ANJ6" s="234">
        <v>2245.65</v>
      </c>
      <c r="ANK6" s="234">
        <v>1584.6799999999998</v>
      </c>
      <c r="ANL6" s="234">
        <v>150.1</v>
      </c>
      <c r="ANM6" s="234">
        <v>446.79000000000008</v>
      </c>
      <c r="ANN6" s="234">
        <v>910.85</v>
      </c>
      <c r="ANO6" s="234">
        <v>658.13</v>
      </c>
      <c r="ANP6" s="234">
        <v>64.22</v>
      </c>
      <c r="ANQ6" s="234">
        <v>950.09999999999991</v>
      </c>
      <c r="ANR6" s="234">
        <v>1012.92</v>
      </c>
      <c r="ANS6" s="234">
        <v>917.94999999999982</v>
      </c>
      <c r="ANT6" s="234">
        <v>293.02</v>
      </c>
      <c r="ANU6" s="234">
        <v>1051.7299999999998</v>
      </c>
      <c r="ANV6" s="234">
        <v>1812.88</v>
      </c>
      <c r="ANW6" s="234">
        <v>22.96</v>
      </c>
      <c r="ANX6" s="234">
        <v>696.08</v>
      </c>
      <c r="ANY6" s="234">
        <v>1083.69</v>
      </c>
      <c r="ANZ6" s="234">
        <v>1564.2599999999998</v>
      </c>
      <c r="AOA6" s="234">
        <v>684.67</v>
      </c>
      <c r="AOB6" s="234">
        <v>4036.1299999999992</v>
      </c>
      <c r="AOC6" s="234">
        <v>3223.48</v>
      </c>
      <c r="AOD6" s="234">
        <v>1558.4100000000005</v>
      </c>
      <c r="AOE6" s="234">
        <v>609.42000000000007</v>
      </c>
      <c r="AOF6" s="234">
        <v>411.84999999999997</v>
      </c>
      <c r="AOG6" s="234">
        <v>1800.1100000000004</v>
      </c>
      <c r="AOH6" s="234">
        <v>351.7</v>
      </c>
      <c r="AOI6" s="235">
        <v>32774.19999999999</v>
      </c>
      <c r="AOJ6" s="234">
        <v>235.21</v>
      </c>
      <c r="AOK6" s="234">
        <v>442.94</v>
      </c>
      <c r="AOL6" s="234">
        <v>1358</v>
      </c>
      <c r="AOM6" s="234">
        <v>1479.65</v>
      </c>
      <c r="AON6" s="234">
        <v>1304.2600000000002</v>
      </c>
      <c r="AOO6" s="234">
        <v>1654.9100000000003</v>
      </c>
      <c r="AOP6" s="234">
        <v>920.88</v>
      </c>
      <c r="AOQ6" s="234">
        <v>1820.05</v>
      </c>
      <c r="AOR6" s="234">
        <v>2025.1099999999997</v>
      </c>
      <c r="AOS6" s="234">
        <v>1680.6</v>
      </c>
      <c r="AOT6" s="234">
        <v>1696.4199999999996</v>
      </c>
      <c r="AOU6" s="234">
        <v>1770.9</v>
      </c>
      <c r="AOV6" s="234">
        <v>1519.0900000000001</v>
      </c>
      <c r="AOW6" s="234">
        <v>2438.85</v>
      </c>
      <c r="AOX6" s="234">
        <v>2084.6999999999998</v>
      </c>
      <c r="AOY6" s="234">
        <v>2006.7299999999996</v>
      </c>
      <c r="AOZ6" s="234">
        <v>1702.3599999999997</v>
      </c>
      <c r="APA6" s="234">
        <v>1401.21</v>
      </c>
      <c r="APB6" s="234">
        <v>1278.83</v>
      </c>
      <c r="APC6" s="234">
        <v>2415.92</v>
      </c>
      <c r="APD6" s="234">
        <v>557.89</v>
      </c>
      <c r="APE6" s="234">
        <v>0</v>
      </c>
      <c r="APF6" s="234">
        <v>0</v>
      </c>
      <c r="APG6" s="234">
        <v>0</v>
      </c>
      <c r="APH6" s="234">
        <v>0</v>
      </c>
      <c r="API6" s="234">
        <v>0</v>
      </c>
      <c r="APJ6" s="234">
        <v>0</v>
      </c>
      <c r="APK6" s="234">
        <v>0</v>
      </c>
      <c r="APL6" s="234">
        <v>1762.5</v>
      </c>
      <c r="APM6" s="234">
        <v>1496.88</v>
      </c>
      <c r="APN6" s="234">
        <v>0</v>
      </c>
      <c r="APO6" s="235">
        <v>35053.89</v>
      </c>
      <c r="APP6" s="234">
        <v>1848.5100000000002</v>
      </c>
      <c r="APQ6" s="234">
        <v>1324.08</v>
      </c>
      <c r="APR6" s="234">
        <v>1680.1399999999999</v>
      </c>
      <c r="APS6" s="234">
        <v>2984.02</v>
      </c>
      <c r="APT6" s="234">
        <v>1503.46</v>
      </c>
      <c r="APU6" s="234">
        <v>1672.99</v>
      </c>
      <c r="APV6" s="234">
        <v>2695.4900000000007</v>
      </c>
      <c r="APW6" s="234">
        <v>3269.27</v>
      </c>
      <c r="APX6" s="234">
        <v>4472.2699999999986</v>
      </c>
      <c r="APY6" s="234">
        <v>3967.6200000000003</v>
      </c>
      <c r="APZ6" s="234">
        <v>3146.5999999999995</v>
      </c>
      <c r="AQA6" s="234">
        <v>1820.7300000000002</v>
      </c>
      <c r="AQB6" s="234">
        <v>1965.59</v>
      </c>
      <c r="AQC6" s="234">
        <v>1872.39</v>
      </c>
      <c r="AQD6" s="234">
        <v>1275.7200000000003</v>
      </c>
      <c r="AQE6" s="234">
        <v>1353.29</v>
      </c>
      <c r="AQF6" s="234">
        <v>1351.3700000000001</v>
      </c>
      <c r="AQG6" s="234">
        <v>1300.02</v>
      </c>
      <c r="AQH6" s="234">
        <v>1799.31</v>
      </c>
      <c r="AQI6" s="234">
        <v>1235.03</v>
      </c>
      <c r="AQJ6" s="234">
        <v>376.05</v>
      </c>
      <c r="AQK6" s="234">
        <v>0</v>
      </c>
      <c r="AQL6" s="234">
        <v>670.03</v>
      </c>
      <c r="AQM6" s="234">
        <v>940.93</v>
      </c>
      <c r="AQN6" s="234">
        <v>522.27</v>
      </c>
      <c r="AQO6" s="234">
        <v>86.09</v>
      </c>
      <c r="AQP6" s="234">
        <v>0</v>
      </c>
      <c r="AQQ6" s="234">
        <v>0</v>
      </c>
      <c r="AQR6" s="234">
        <v>0</v>
      </c>
      <c r="AQS6" s="234">
        <v>0</v>
      </c>
      <c r="AQT6" s="235">
        <f>SUM(APP6:AQS6)</f>
        <v>45133.26999999999</v>
      </c>
      <c r="AQU6" s="234">
        <v>0</v>
      </c>
      <c r="AQV6" s="234">
        <v>0</v>
      </c>
      <c r="AQW6" s="234">
        <v>0</v>
      </c>
      <c r="AQX6" s="234">
        <v>85.97999999999999</v>
      </c>
      <c r="AQY6" s="234">
        <v>1847.0600000000004</v>
      </c>
      <c r="AQZ6" s="234">
        <v>1771.4099999999999</v>
      </c>
      <c r="ARA6" s="234">
        <v>1860.1600000000003</v>
      </c>
      <c r="ARB6" s="234">
        <v>1464.7200000000003</v>
      </c>
      <c r="ARC6" s="234">
        <v>1721.54</v>
      </c>
      <c r="ARD6" s="234">
        <v>2599.7200000000003</v>
      </c>
      <c r="ARE6" s="234">
        <v>2295.4399999999996</v>
      </c>
      <c r="ARF6" s="234">
        <v>1959.1799999999998</v>
      </c>
      <c r="ARG6" s="234">
        <v>1897.77</v>
      </c>
      <c r="ARH6" s="234">
        <v>1207.21</v>
      </c>
      <c r="ARI6" s="234">
        <v>1768.6100000000001</v>
      </c>
      <c r="ARJ6" s="234">
        <v>1685.21</v>
      </c>
      <c r="ARK6" s="234">
        <v>1624.75</v>
      </c>
      <c r="ARL6" s="234">
        <v>2288.9300000000003</v>
      </c>
      <c r="ARM6" s="234">
        <v>1360.78</v>
      </c>
      <c r="ARN6" s="234">
        <v>821.53</v>
      </c>
      <c r="ARO6" s="234">
        <v>2120.65</v>
      </c>
      <c r="ARP6" s="234">
        <v>1803.2</v>
      </c>
      <c r="ARQ6" s="234">
        <v>979.95999999999992</v>
      </c>
      <c r="ARR6" s="234">
        <v>2231.4100000000003</v>
      </c>
      <c r="ARS6" s="234">
        <v>2370.36</v>
      </c>
      <c r="ART6" s="234">
        <v>1872.5000000000002</v>
      </c>
      <c r="ARU6" s="234">
        <v>2373.88</v>
      </c>
      <c r="ARV6" s="234">
        <v>2551.5499999999997</v>
      </c>
      <c r="ARW6" s="234">
        <v>2403.25</v>
      </c>
      <c r="ARX6" s="234">
        <v>1974</v>
      </c>
      <c r="ARY6" s="234">
        <v>1400</v>
      </c>
      <c r="ARZ6" s="235">
        <f>SUM(AQU6:ARY6)</f>
        <v>50340.76</v>
      </c>
      <c r="ASA6" s="234">
        <v>1923.5300000000002</v>
      </c>
      <c r="ASB6" s="234">
        <v>1730.76</v>
      </c>
      <c r="ASC6" s="234">
        <v>1088.75</v>
      </c>
      <c r="ASD6" s="234">
        <v>1168.9299999999998</v>
      </c>
      <c r="ASE6" s="234">
        <v>261.84000000000003</v>
      </c>
      <c r="ASF6" s="234">
        <v>1340.0700000000002</v>
      </c>
      <c r="ASG6" s="234">
        <v>1916.7</v>
      </c>
      <c r="ASH6" s="234">
        <v>2143.8899999999994</v>
      </c>
      <c r="ASI6" s="234">
        <v>1886.61</v>
      </c>
      <c r="ASJ6" s="234">
        <v>2435.3000000000002</v>
      </c>
      <c r="ASK6" s="234">
        <v>2077.06</v>
      </c>
      <c r="ASL6" s="234">
        <v>621.32999999999993</v>
      </c>
      <c r="ASM6" s="234">
        <v>387.29</v>
      </c>
      <c r="ASN6" s="234">
        <v>595.14999999999986</v>
      </c>
      <c r="ASO6" s="234">
        <v>1408.6200000000001</v>
      </c>
      <c r="ASP6" s="234">
        <v>2358.8500000000004</v>
      </c>
      <c r="ASQ6" s="234">
        <v>2269.79</v>
      </c>
      <c r="ASR6" s="234">
        <v>2709.7299999999996</v>
      </c>
      <c r="ASS6" s="234">
        <v>2390.52</v>
      </c>
      <c r="AST6" s="234">
        <v>1210.93</v>
      </c>
      <c r="ASU6" s="234">
        <v>1854.2199999999996</v>
      </c>
      <c r="ASV6" s="234">
        <v>1861.99</v>
      </c>
      <c r="ASW6" s="234">
        <v>2109.1799999999998</v>
      </c>
      <c r="ASX6" s="234">
        <v>1874.0900000000004</v>
      </c>
      <c r="ASY6" s="234">
        <v>1736.0099999999998</v>
      </c>
      <c r="ASZ6" s="234">
        <v>567.86</v>
      </c>
      <c r="ATA6" s="234">
        <v>87.69</v>
      </c>
      <c r="ATB6" s="234">
        <v>0</v>
      </c>
      <c r="ATC6" s="234">
        <v>0</v>
      </c>
      <c r="ATD6" s="234">
        <v>0</v>
      </c>
      <c r="ATE6" s="235">
        <v>42016.690000000017</v>
      </c>
      <c r="ATF6" s="234">
        <v>0</v>
      </c>
      <c r="ATG6" s="234">
        <v>0</v>
      </c>
      <c r="ATH6" s="234">
        <v>0</v>
      </c>
      <c r="ATI6" s="234">
        <v>0</v>
      </c>
      <c r="ATJ6" s="234">
        <v>0</v>
      </c>
      <c r="ATK6" s="234">
        <v>0</v>
      </c>
      <c r="ATL6" s="234">
        <v>0</v>
      </c>
      <c r="ATM6" s="234">
        <v>0</v>
      </c>
      <c r="ATN6" s="234">
        <v>594.55999999999995</v>
      </c>
      <c r="ATO6" s="234">
        <v>2177.9299999999998</v>
      </c>
      <c r="ATP6" s="234">
        <v>1957.1899999999998</v>
      </c>
      <c r="ATQ6" s="234">
        <v>2472.92</v>
      </c>
      <c r="ATR6" s="234">
        <v>1684.8000000000002</v>
      </c>
      <c r="ATS6" s="234">
        <v>1214.71</v>
      </c>
      <c r="ATT6" s="234">
        <v>2129.84</v>
      </c>
      <c r="ATU6" s="234">
        <v>2432.7299999999996</v>
      </c>
      <c r="ATV6" s="234">
        <v>1553.17</v>
      </c>
      <c r="ATW6" s="234">
        <v>1173.02</v>
      </c>
      <c r="ATX6" s="234">
        <v>85.73</v>
      </c>
      <c r="ATY6" s="234">
        <v>1377.4199999999998</v>
      </c>
      <c r="ATZ6" s="234">
        <v>2018.16</v>
      </c>
      <c r="AUA6" s="234">
        <v>4416.82</v>
      </c>
      <c r="AUB6" s="234">
        <v>4529.78</v>
      </c>
      <c r="AUC6" s="234">
        <v>5389.79</v>
      </c>
      <c r="AUD6" s="234">
        <v>4900.1600000000008</v>
      </c>
      <c r="AUE6" s="234">
        <v>5004.7300000000005</v>
      </c>
      <c r="AUF6" s="234">
        <v>111.78</v>
      </c>
      <c r="AUG6" s="234">
        <v>0</v>
      </c>
      <c r="AUH6" s="234">
        <v>0</v>
      </c>
      <c r="AUI6" s="234">
        <v>0</v>
      </c>
      <c r="AUJ6" s="234">
        <v>0</v>
      </c>
      <c r="AUK6" s="235">
        <v>45225.24</v>
      </c>
      <c r="AUL6" s="239">
        <v>0</v>
      </c>
      <c r="AUM6" s="239">
        <v>0</v>
      </c>
      <c r="AUN6" s="239">
        <v>0</v>
      </c>
      <c r="AUO6" s="239">
        <v>0</v>
      </c>
      <c r="AUP6" s="239">
        <v>0</v>
      </c>
      <c r="AUQ6" s="239">
        <v>0</v>
      </c>
      <c r="AUR6" s="239">
        <v>0</v>
      </c>
      <c r="AUS6" s="239">
        <v>0</v>
      </c>
      <c r="AUT6" s="239">
        <v>507.71999999999997</v>
      </c>
      <c r="AUU6" s="239">
        <v>4234.6200000000008</v>
      </c>
      <c r="AUV6" s="239">
        <v>3448.4399999999991</v>
      </c>
      <c r="AUW6" s="239">
        <v>3897.1899999999996</v>
      </c>
      <c r="AUX6" s="239">
        <v>5303.11</v>
      </c>
      <c r="AUY6" s="239">
        <v>5820.01</v>
      </c>
      <c r="AUZ6" s="239">
        <v>1669.2600000000002</v>
      </c>
      <c r="AVA6" s="239">
        <v>4817.1000000000004</v>
      </c>
      <c r="AVB6" s="239">
        <v>2063.2400000000002</v>
      </c>
      <c r="AVC6" s="239">
        <v>4319.42</v>
      </c>
      <c r="AVD6" s="239">
        <v>4791.2499999999991</v>
      </c>
      <c r="AVE6" s="239">
        <v>5543.63</v>
      </c>
      <c r="AVF6" s="239">
        <v>5293.76</v>
      </c>
      <c r="AVG6" s="239">
        <v>4851.329999999999</v>
      </c>
      <c r="AVH6" s="239">
        <v>5584.880000000001</v>
      </c>
      <c r="AVI6" s="239">
        <v>5557.89</v>
      </c>
      <c r="AVJ6" s="239">
        <v>4861.16</v>
      </c>
      <c r="AVK6" s="239">
        <v>4819.9100000000017</v>
      </c>
      <c r="AVL6" s="239">
        <v>2674.4500000000003</v>
      </c>
      <c r="AVM6" s="239">
        <v>2811.7300000000005</v>
      </c>
      <c r="AVN6" s="239">
        <v>964.22</v>
      </c>
      <c r="AVO6" s="239">
        <v>3543.46</v>
      </c>
      <c r="AVP6" s="239">
        <v>2668.5800000000004</v>
      </c>
      <c r="AVQ6" s="235">
        <f>SUM(AUL6:AVP6)</f>
        <v>90046.360000000015</v>
      </c>
      <c r="AVR6" s="239">
        <v>2487.3100000000004</v>
      </c>
      <c r="AVS6" s="239">
        <v>3067.82</v>
      </c>
      <c r="AVT6" s="239">
        <v>2698.8199999999997</v>
      </c>
      <c r="AVU6" s="239">
        <v>2327.37</v>
      </c>
      <c r="AVV6" s="239">
        <v>1549.95</v>
      </c>
      <c r="AVW6" s="239">
        <v>2620.6899999999996</v>
      </c>
      <c r="AVX6" s="239">
        <v>2135.06</v>
      </c>
      <c r="AVY6" s="239">
        <v>2563.9700000000003</v>
      </c>
      <c r="AVZ6" s="239">
        <v>2184.21</v>
      </c>
      <c r="AWA6" s="239">
        <v>2677.06</v>
      </c>
      <c r="AWB6" s="239">
        <v>2613.2800000000002</v>
      </c>
      <c r="AWC6" s="239">
        <v>892.13000000000011</v>
      </c>
      <c r="AWD6" s="239">
        <v>1886.3600000000001</v>
      </c>
      <c r="AWE6" s="239">
        <v>2367.0899999999997</v>
      </c>
      <c r="AWF6" s="239">
        <v>2325.8800000000006</v>
      </c>
      <c r="AWG6" s="239">
        <v>1632.8300000000002</v>
      </c>
      <c r="AWH6" s="239">
        <v>1465.9199999999996</v>
      </c>
      <c r="AWI6" s="239">
        <v>2202.67</v>
      </c>
      <c r="AWJ6" s="239">
        <v>1504.54</v>
      </c>
      <c r="AWK6" s="239">
        <v>2795.52</v>
      </c>
      <c r="AWL6" s="239">
        <v>2945.33</v>
      </c>
      <c r="AWM6" s="239">
        <v>2645.5199999999995</v>
      </c>
      <c r="AWN6" s="239">
        <v>1872.3100000000002</v>
      </c>
      <c r="AWO6" s="239">
        <v>2316.2799999999997</v>
      </c>
      <c r="AWP6" s="239">
        <v>1232.9899999999998</v>
      </c>
      <c r="AWQ6" s="239">
        <v>110.23</v>
      </c>
      <c r="AWR6" s="239">
        <v>0</v>
      </c>
      <c r="AWS6" s="239">
        <v>0</v>
      </c>
      <c r="AWT6" s="239">
        <v>0</v>
      </c>
      <c r="AWU6" s="239">
        <v>0</v>
      </c>
      <c r="AWV6" s="235">
        <v>55121.139999999992</v>
      </c>
      <c r="AWW6" s="239">
        <v>52.21</v>
      </c>
      <c r="AWX6" s="239">
        <v>0</v>
      </c>
      <c r="AWY6" s="239">
        <v>0</v>
      </c>
      <c r="AWZ6" s="239">
        <v>0</v>
      </c>
      <c r="AXA6" s="239">
        <v>0</v>
      </c>
      <c r="AXB6" s="239">
        <v>0</v>
      </c>
      <c r="AXC6" s="239">
        <v>0</v>
      </c>
      <c r="AXD6" s="239">
        <v>1124.5400000000002</v>
      </c>
      <c r="AXE6" s="239">
        <v>2320.61</v>
      </c>
      <c r="AXF6" s="239">
        <v>1981.0000000000002</v>
      </c>
      <c r="AXG6" s="239">
        <v>1866.1100000000004</v>
      </c>
      <c r="AXH6" s="239">
        <v>2082.39</v>
      </c>
      <c r="AXI6" s="239">
        <v>1535.23</v>
      </c>
      <c r="AXJ6" s="239">
        <v>2212.31</v>
      </c>
      <c r="AXK6" s="239">
        <v>2225.6999999999998</v>
      </c>
      <c r="AXL6" s="239">
        <v>2573.9699999999998</v>
      </c>
      <c r="AXM6" s="239">
        <v>3325.14</v>
      </c>
      <c r="AXN6" s="239">
        <v>2996.1499999999996</v>
      </c>
      <c r="AXO6" s="239">
        <v>4522.130000000001</v>
      </c>
      <c r="AXP6" s="239">
        <v>7563.7800000000007</v>
      </c>
      <c r="AXQ6" s="239">
        <v>7516.84</v>
      </c>
      <c r="AXR6" s="239">
        <v>7690.6200000000008</v>
      </c>
      <c r="AXS6" s="239">
        <v>5736.0800000000008</v>
      </c>
      <c r="AXT6" s="239">
        <v>4015.2200000000003</v>
      </c>
      <c r="AXU6" s="239">
        <v>7237.2100000000009</v>
      </c>
      <c r="AXV6" s="239">
        <v>7076.7599999999993</v>
      </c>
      <c r="AXW6" s="239">
        <v>5242.5300000000007</v>
      </c>
      <c r="AXX6" s="239">
        <v>2781.5800000000004</v>
      </c>
      <c r="AXY6" s="239">
        <v>2188.7599999999998</v>
      </c>
      <c r="AXZ6" s="239">
        <v>1720.2</v>
      </c>
      <c r="AYA6" s="239">
        <v>1232.9100000000001</v>
      </c>
      <c r="AYB6" s="235">
        <v>88819.98</v>
      </c>
      <c r="AYC6" s="239">
        <v>1606.2700000000002</v>
      </c>
      <c r="AYD6" s="239">
        <v>423.15999999999997</v>
      </c>
      <c r="AYE6" s="239">
        <v>0</v>
      </c>
      <c r="AYF6" s="239">
        <v>0</v>
      </c>
      <c r="AYG6" s="239">
        <v>0</v>
      </c>
      <c r="AYH6" s="239">
        <v>0</v>
      </c>
      <c r="AYI6" s="239">
        <v>0</v>
      </c>
      <c r="AYJ6" s="239">
        <v>0</v>
      </c>
      <c r="AYK6" s="239">
        <v>0</v>
      </c>
      <c r="AYL6" s="239">
        <v>0</v>
      </c>
      <c r="AYM6" s="239">
        <v>0</v>
      </c>
      <c r="AYN6" s="239">
        <v>0</v>
      </c>
      <c r="AYO6" s="239">
        <v>0</v>
      </c>
      <c r="AYP6" s="239">
        <v>1276.3699999999999</v>
      </c>
      <c r="AYQ6" s="239">
        <v>2118.7800000000002</v>
      </c>
      <c r="AYR6" s="239">
        <v>1581.45</v>
      </c>
      <c r="AYS6" s="239">
        <v>896.2600000000001</v>
      </c>
      <c r="AYT6" s="239">
        <v>883.5</v>
      </c>
      <c r="AYU6" s="239">
        <v>1172.3499999999999</v>
      </c>
      <c r="AYV6" s="239">
        <v>1682.15</v>
      </c>
      <c r="AYW6" s="239">
        <v>2532.5199999999995</v>
      </c>
      <c r="AYX6" s="239">
        <v>1408.1900000000003</v>
      </c>
      <c r="AYY6" s="239">
        <v>3375.2700000000004</v>
      </c>
      <c r="AYZ6" s="239">
        <v>3006.2100000000005</v>
      </c>
      <c r="AZA6" s="239">
        <v>5415.21</v>
      </c>
      <c r="AZB6" s="239">
        <v>3157.0999999999995</v>
      </c>
      <c r="AZC6" s="239">
        <v>4102.01</v>
      </c>
      <c r="AZD6" s="239">
        <v>1590.9999999999998</v>
      </c>
      <c r="AZE6" s="239">
        <v>3816.5999999999995</v>
      </c>
      <c r="AZF6" s="239">
        <v>1753.0100000000002</v>
      </c>
      <c r="AZG6" s="235">
        <v>41797.410000000003</v>
      </c>
      <c r="AZH6" s="239">
        <f>Actual!F159</f>
        <v>0</v>
      </c>
      <c r="AZI6" s="239">
        <f>Actual!G159</f>
        <v>0</v>
      </c>
      <c r="AZJ6" s="239">
        <f>Actual!H159</f>
        <v>0</v>
      </c>
      <c r="AZK6" s="239">
        <f>Actual!I159</f>
        <v>0</v>
      </c>
      <c r="AZL6" s="239">
        <f>Actual!J159</f>
        <v>0</v>
      </c>
      <c r="AZM6" s="239">
        <f>Actual!K159</f>
        <v>0</v>
      </c>
      <c r="AZN6" s="239">
        <f>Actual!L159</f>
        <v>0</v>
      </c>
      <c r="AZO6" s="239">
        <f>Actual!M159</f>
        <v>0</v>
      </c>
      <c r="AZP6" s="239">
        <f>Actual!N159</f>
        <v>0</v>
      </c>
      <c r="AZQ6" s="239">
        <f>Actual!O159</f>
        <v>0</v>
      </c>
      <c r="AZR6" s="239">
        <f>Actual!P159</f>
        <v>0</v>
      </c>
      <c r="AZS6" s="239">
        <f>Actual!Q159</f>
        <v>0</v>
      </c>
      <c r="AZT6" s="239">
        <f>Actual!R159</f>
        <v>0</v>
      </c>
      <c r="AZU6" s="239">
        <f>Actual!S159</f>
        <v>0</v>
      </c>
      <c r="AZV6" s="239">
        <f>Actual!T159</f>
        <v>0</v>
      </c>
      <c r="AZW6" s="239">
        <f>Actual!U159</f>
        <v>0</v>
      </c>
      <c r="AZX6" s="239">
        <f>Actual!V159</f>
        <v>0</v>
      </c>
      <c r="AZY6" s="239">
        <f>Actual!W159</f>
        <v>0</v>
      </c>
      <c r="AZZ6" s="239">
        <f>Actual!X159</f>
        <v>0</v>
      </c>
      <c r="BAA6" s="239">
        <f>Actual!Y159</f>
        <v>0</v>
      </c>
      <c r="BAB6" s="239">
        <f>Actual!Z159</f>
        <v>0</v>
      </c>
      <c r="BAC6" s="239">
        <f>Actual!AA159</f>
        <v>0</v>
      </c>
      <c r="BAD6" s="239">
        <f>Actual!AB159</f>
        <v>0</v>
      </c>
      <c r="BAE6" s="239">
        <f>Actual!AC159</f>
        <v>0</v>
      </c>
      <c r="BAF6" s="239">
        <f>Actual!AD159</f>
        <v>0</v>
      </c>
      <c r="BAG6" s="239">
        <f>Actual!AE159</f>
        <v>0</v>
      </c>
      <c r="BAH6" s="239">
        <f>Actual!AF159</f>
        <v>0</v>
      </c>
      <c r="BAI6" s="239">
        <f>Actual!AG159</f>
        <v>0</v>
      </c>
      <c r="BAJ6" s="239">
        <f>Actual!AH159</f>
        <v>0</v>
      </c>
      <c r="BAK6" s="239">
        <f>Actual!AI159</f>
        <v>0</v>
      </c>
      <c r="BAL6" s="239">
        <f>Actual!AJ159</f>
        <v>0</v>
      </c>
      <c r="BAM6" s="235">
        <f>SUM(AZH6:BAL6)</f>
        <v>0</v>
      </c>
    </row>
    <row r="7" spans="2:1392">
      <c r="B7" s="233" t="s">
        <v>357</v>
      </c>
      <c r="C7" s="234">
        <f>+Actual!F110/1000</f>
        <v>0</v>
      </c>
      <c r="D7" s="234">
        <f>+Actual!G110/1000</f>
        <v>0</v>
      </c>
      <c r="E7" s="234">
        <f>+Actual!H110/1000</f>
        <v>0</v>
      </c>
      <c r="F7" s="234">
        <f>+Actual!I110/1000</f>
        <v>0</v>
      </c>
      <c r="G7" s="234">
        <f>+Actual!J110/1000</f>
        <v>0</v>
      </c>
      <c r="H7" s="234">
        <f>+Actual!K110/1000</f>
        <v>0</v>
      </c>
      <c r="I7" s="234">
        <f>+Actual!L110/1000</f>
        <v>0</v>
      </c>
      <c r="J7" s="234">
        <f>+Actual!M110/1000</f>
        <v>0</v>
      </c>
      <c r="K7" s="234">
        <f>+Actual!N110/1000</f>
        <v>0</v>
      </c>
      <c r="L7" s="234">
        <f>+Actual!O110/1000</f>
        <v>0</v>
      </c>
      <c r="M7" s="234">
        <f>+Actual!P110/1000</f>
        <v>0</v>
      </c>
      <c r="N7" s="234">
        <f>+Actual!Q110/1000</f>
        <v>0</v>
      </c>
      <c r="O7" s="234">
        <f>+Actual!R110/1000</f>
        <v>0</v>
      </c>
      <c r="P7" s="234">
        <f>+Actual!S110/1000</f>
        <v>0</v>
      </c>
      <c r="Q7" s="234">
        <f>+Actual!T110/1000</f>
        <v>0</v>
      </c>
      <c r="R7" s="234">
        <f>+Actual!U110/1000</f>
        <v>0</v>
      </c>
      <c r="S7" s="234">
        <f>+Actual!V110/1000</f>
        <v>0</v>
      </c>
      <c r="T7" s="234">
        <f>+Actual!W110/1000</f>
        <v>0</v>
      </c>
      <c r="U7" s="234">
        <f>+Actual!X110/1000</f>
        <v>0</v>
      </c>
      <c r="V7" s="234">
        <f>+Actual!Y110/1000</f>
        <v>0</v>
      </c>
      <c r="W7" s="234">
        <f>+Actual!Z110/1000</f>
        <v>0</v>
      </c>
      <c r="X7" s="234">
        <f>+Actual!AA110/1000</f>
        <v>0</v>
      </c>
      <c r="Y7" s="234">
        <f>+Actual!AB110/1000</f>
        <v>0</v>
      </c>
      <c r="Z7" s="234">
        <f>+Actual!AC110/1000</f>
        <v>0</v>
      </c>
      <c r="AA7" s="234">
        <f>+Actual!AD110/1000</f>
        <v>0</v>
      </c>
      <c r="AB7" s="234">
        <f>+Actual!AE110/1000</f>
        <v>0</v>
      </c>
      <c r="AC7" s="234">
        <f>+Actual!AF110/1000</f>
        <v>0</v>
      </c>
      <c r="AD7" s="234">
        <f>+Actual!AG110/1000</f>
        <v>0</v>
      </c>
      <c r="AE7" s="234">
        <f>+Actual!AH110/1000</f>
        <v>0</v>
      </c>
      <c r="AF7" s="234">
        <f>+Actual!AI110/1000</f>
        <v>0</v>
      </c>
      <c r="AG7" s="234">
        <f>+Actual!AJ823/1000</f>
        <v>0</v>
      </c>
      <c r="AH7" s="235">
        <f>SUM(C7:AG7)</f>
        <v>0</v>
      </c>
      <c r="AI7" s="234">
        <v>1569.1999999999998</v>
      </c>
      <c r="AJ7" s="234">
        <v>1475.2499999999998</v>
      </c>
      <c r="AK7" s="234">
        <v>2560.3900000000003</v>
      </c>
      <c r="AL7" s="234">
        <v>1932.7</v>
      </c>
      <c r="AM7" s="234">
        <v>1171.8000000000002</v>
      </c>
      <c r="AN7" s="234">
        <v>2716.6</v>
      </c>
      <c r="AO7" s="234">
        <v>2707.5600000000004</v>
      </c>
      <c r="AP7" s="234">
        <v>1989.31</v>
      </c>
      <c r="AQ7" s="234">
        <v>1867.4299999999998</v>
      </c>
      <c r="AR7" s="234">
        <v>5450.06</v>
      </c>
      <c r="AS7" s="234">
        <v>4534.7700000000004</v>
      </c>
      <c r="AT7" s="234">
        <v>1696.98</v>
      </c>
      <c r="AU7" s="234">
        <v>2165.17</v>
      </c>
      <c r="AV7" s="234">
        <v>2593.1499999999996</v>
      </c>
      <c r="AW7" s="234">
        <v>3616.2599999999998</v>
      </c>
      <c r="AX7" s="234">
        <v>1699.89</v>
      </c>
      <c r="AY7" s="234">
        <v>4593.03</v>
      </c>
      <c r="AZ7" s="234">
        <v>3915.49</v>
      </c>
      <c r="BA7" s="234">
        <v>2715.4300000000003</v>
      </c>
      <c r="BB7" s="234">
        <v>1971.28</v>
      </c>
      <c r="BC7" s="234">
        <v>3506.35</v>
      </c>
      <c r="BD7" s="234">
        <v>1762.12</v>
      </c>
      <c r="BE7" s="234">
        <v>343.38</v>
      </c>
      <c r="BF7" s="234">
        <v>1543.9900000000002</v>
      </c>
      <c r="BG7" s="234">
        <v>2923.2799999999997</v>
      </c>
      <c r="BH7" s="234">
        <v>2652.8500000000004</v>
      </c>
      <c r="BI7" s="234">
        <v>2496.4500000000003</v>
      </c>
      <c r="BJ7" s="234">
        <v>3109.0400000000004</v>
      </c>
      <c r="BK7" s="235">
        <f>SUM(AI7:BJ7)</f>
        <v>71279.209999999992</v>
      </c>
      <c r="BL7" s="234">
        <v>1722.34</v>
      </c>
      <c r="BM7" s="234">
        <v>3732.26</v>
      </c>
      <c r="BN7" s="234">
        <v>3565.88</v>
      </c>
      <c r="BO7" s="234">
        <v>3174.62</v>
      </c>
      <c r="BP7" s="234">
        <v>2741.88</v>
      </c>
      <c r="BQ7" s="234">
        <v>1863.65</v>
      </c>
      <c r="BR7" s="234">
        <v>1146.95</v>
      </c>
      <c r="BS7" s="234">
        <v>2183.67</v>
      </c>
      <c r="BT7" s="234">
        <v>3503.8199999999997</v>
      </c>
      <c r="BU7" s="234">
        <v>2362.31</v>
      </c>
      <c r="BV7" s="234">
        <v>3779.84</v>
      </c>
      <c r="BW7" s="234">
        <v>3567.5</v>
      </c>
      <c r="BX7" s="234">
        <v>3902.5600000000004</v>
      </c>
      <c r="BY7" s="234">
        <v>1584.48</v>
      </c>
      <c r="BZ7" s="234">
        <v>3470.2</v>
      </c>
      <c r="CA7" s="234">
        <v>3799.41</v>
      </c>
      <c r="CB7" s="234">
        <v>2488.92</v>
      </c>
      <c r="CC7" s="234">
        <v>3428.7299999999996</v>
      </c>
      <c r="CD7" s="234">
        <v>2963.48</v>
      </c>
      <c r="CE7" s="234">
        <v>3138.41</v>
      </c>
      <c r="CF7" s="234">
        <v>1293.3800000000001</v>
      </c>
      <c r="CG7" s="234">
        <v>3211.41</v>
      </c>
      <c r="CH7" s="234">
        <v>3270.2799999999997</v>
      </c>
      <c r="CI7" s="234">
        <v>3579.12</v>
      </c>
      <c r="CJ7" s="234">
        <v>3506.6800000000003</v>
      </c>
      <c r="CK7" s="234">
        <v>1200.51</v>
      </c>
      <c r="CL7" s="234">
        <v>3044.98</v>
      </c>
      <c r="CM7" s="234">
        <v>1844.54</v>
      </c>
      <c r="CN7" s="234">
        <v>1954.9900000000002</v>
      </c>
      <c r="CO7" s="234">
        <v>1630.83</v>
      </c>
      <c r="CP7" s="234">
        <v>2882.43</v>
      </c>
      <c r="CQ7" s="235">
        <f>SUM(BL7:CP7)</f>
        <v>85540.059999999954</v>
      </c>
      <c r="CR7" s="234">
        <v>2525.71</v>
      </c>
      <c r="CS7" s="234">
        <v>2900.05</v>
      </c>
      <c r="CT7" s="234">
        <v>2328.8000000000002</v>
      </c>
      <c r="CU7" s="234">
        <v>1144.4000000000001</v>
      </c>
      <c r="CV7" s="234">
        <v>1653.93</v>
      </c>
      <c r="CW7" s="234">
        <v>2270.88</v>
      </c>
      <c r="CX7" s="234">
        <v>2531.64</v>
      </c>
      <c r="CY7" s="234">
        <v>2570.0100000000002</v>
      </c>
      <c r="CZ7" s="234">
        <v>2812.33</v>
      </c>
      <c r="DA7" s="234">
        <v>2612.4699999999998</v>
      </c>
      <c r="DB7" s="234">
        <v>1122.93</v>
      </c>
      <c r="DC7" s="234">
        <v>767.68</v>
      </c>
      <c r="DD7" s="234">
        <v>710.55</v>
      </c>
      <c r="DE7" s="234">
        <v>2469.4700000000003</v>
      </c>
      <c r="DF7" s="234">
        <v>1973.6</v>
      </c>
      <c r="DG7" s="234">
        <v>3002.12</v>
      </c>
      <c r="DH7" s="234">
        <v>3853.27</v>
      </c>
      <c r="DI7" s="234">
        <v>1673.98</v>
      </c>
      <c r="DJ7" s="234">
        <v>963.57999999999993</v>
      </c>
      <c r="DK7" s="234">
        <v>2600.3199999999997</v>
      </c>
      <c r="DL7" s="234">
        <v>3493.82</v>
      </c>
      <c r="DM7" s="234">
        <v>3349.92</v>
      </c>
      <c r="DN7" s="234">
        <v>2096.98</v>
      </c>
      <c r="DO7" s="234">
        <v>2379.6800000000003</v>
      </c>
      <c r="DP7" s="234">
        <v>461.74</v>
      </c>
      <c r="DQ7" s="234">
        <v>2961.1</v>
      </c>
      <c r="DR7" s="234">
        <v>1266.1500000000001</v>
      </c>
      <c r="DS7" s="234">
        <v>2899.59</v>
      </c>
      <c r="DT7" s="234">
        <v>3387.9500000000003</v>
      </c>
      <c r="DU7" s="234">
        <v>3141.41</v>
      </c>
      <c r="DV7" s="234">
        <v>0</v>
      </c>
      <c r="DW7" s="235">
        <f>SUM(CR7:DV7)</f>
        <v>67926.06</v>
      </c>
      <c r="DX7" s="234">
        <v>1840.99</v>
      </c>
      <c r="DY7" s="234">
        <v>2032.8</v>
      </c>
      <c r="DZ7" s="234">
        <v>1620.69</v>
      </c>
      <c r="EA7" s="234">
        <v>2644.17</v>
      </c>
      <c r="EB7" s="234">
        <v>2093.35</v>
      </c>
      <c r="EC7" s="234">
        <v>818.85</v>
      </c>
      <c r="ED7" s="234">
        <v>1344.43</v>
      </c>
      <c r="EE7" s="234">
        <v>2109.04</v>
      </c>
      <c r="EF7" s="234">
        <v>0</v>
      </c>
      <c r="EG7" s="234">
        <v>911.27</v>
      </c>
      <c r="EH7" s="234">
        <v>1699.95</v>
      </c>
      <c r="EI7" s="234">
        <v>1100.96</v>
      </c>
      <c r="EJ7" s="234">
        <v>3129.19</v>
      </c>
      <c r="EK7" s="234">
        <v>2278.65</v>
      </c>
      <c r="EL7" s="234">
        <v>1893.0700000000004</v>
      </c>
      <c r="EM7" s="234">
        <v>1653.07</v>
      </c>
      <c r="EN7" s="234">
        <v>3684.1400000000003</v>
      </c>
      <c r="EO7" s="234">
        <v>4086.83</v>
      </c>
      <c r="EP7" s="234">
        <v>2638.92</v>
      </c>
      <c r="EQ7" s="234">
        <v>2915.7000000000003</v>
      </c>
      <c r="ER7" s="234">
        <v>3647.94</v>
      </c>
      <c r="ES7" s="234">
        <v>2273.6799999999998</v>
      </c>
      <c r="ET7" s="234">
        <v>1656.4</v>
      </c>
      <c r="EU7" s="234">
        <v>2546.69</v>
      </c>
      <c r="EV7" s="234">
        <v>1836.6399999999999</v>
      </c>
      <c r="EW7" s="234">
        <v>847.23</v>
      </c>
      <c r="EX7" s="234">
        <v>1901.9199999999998</v>
      </c>
      <c r="EY7" s="234">
        <v>1902.5800000000002</v>
      </c>
      <c r="EZ7" s="234">
        <v>1604.3</v>
      </c>
      <c r="FA7" s="234">
        <v>2969.9</v>
      </c>
      <c r="FB7" s="234">
        <v>2571.9399999999996</v>
      </c>
      <c r="FC7" s="235">
        <f>SUM(DX7:FB7)</f>
        <v>64255.290000000008</v>
      </c>
      <c r="FD7" s="234">
        <v>0</v>
      </c>
      <c r="FE7" s="234">
        <v>494.06</v>
      </c>
      <c r="FF7" s="234">
        <v>161.09</v>
      </c>
      <c r="FG7" s="234">
        <v>1463.57</v>
      </c>
      <c r="FH7" s="234">
        <v>1804.1799999999998</v>
      </c>
      <c r="FI7" s="234">
        <v>1537.89</v>
      </c>
      <c r="FJ7" s="234">
        <v>2280.1799999999998</v>
      </c>
      <c r="FK7" s="234">
        <v>2579.39</v>
      </c>
      <c r="FL7" s="234">
        <v>2056.4699999999998</v>
      </c>
      <c r="FM7" s="234">
        <v>1433.4999999999998</v>
      </c>
      <c r="FN7" s="234">
        <v>991.25</v>
      </c>
      <c r="FO7" s="234">
        <v>681.52</v>
      </c>
      <c r="FP7" s="234">
        <v>0</v>
      </c>
      <c r="FQ7" s="234">
        <v>1558.51</v>
      </c>
      <c r="FR7" s="234">
        <v>2592.6499999999996</v>
      </c>
      <c r="FS7" s="234">
        <v>2579.59</v>
      </c>
      <c r="FT7" s="234">
        <v>1478.65</v>
      </c>
      <c r="FU7" s="234">
        <v>2495.59</v>
      </c>
      <c r="FV7" s="234">
        <v>893.19</v>
      </c>
      <c r="FW7" s="234">
        <v>1643.1100000000001</v>
      </c>
      <c r="FX7" s="234">
        <v>1498.74</v>
      </c>
      <c r="FY7" s="234">
        <v>1941.4299999999998</v>
      </c>
      <c r="FZ7" s="234">
        <v>1606.79</v>
      </c>
      <c r="GA7" s="234">
        <v>708.94</v>
      </c>
      <c r="GB7" s="234">
        <v>0</v>
      </c>
      <c r="GC7" s="234">
        <v>2696.1099999999997</v>
      </c>
      <c r="GD7" s="234">
        <v>2240.85</v>
      </c>
      <c r="GE7" s="234">
        <v>1620.75</v>
      </c>
      <c r="GF7" s="234">
        <v>2792.51</v>
      </c>
      <c r="GG7" s="234">
        <v>3121.39</v>
      </c>
      <c r="GH7" s="234">
        <v>2000</v>
      </c>
      <c r="GI7" s="235">
        <f>SUM(FD7:GH7)</f>
        <v>48951.9</v>
      </c>
      <c r="GJ7" s="234">
        <v>1351.95</v>
      </c>
      <c r="GK7" s="234">
        <v>1987.2500000000002</v>
      </c>
      <c r="GL7" s="234">
        <v>3008.3500000000004</v>
      </c>
      <c r="GM7" s="234">
        <v>769.58</v>
      </c>
      <c r="GN7" s="234">
        <v>1002.86</v>
      </c>
      <c r="GO7" s="234">
        <v>633.01</v>
      </c>
      <c r="GP7" s="234">
        <v>774.17</v>
      </c>
      <c r="GQ7" s="234">
        <v>1205.8400000000001</v>
      </c>
      <c r="GR7" s="234">
        <v>2049.87</v>
      </c>
      <c r="GS7" s="234">
        <v>1717.61</v>
      </c>
      <c r="GT7" s="234">
        <v>166.53</v>
      </c>
      <c r="GU7" s="234">
        <v>1499.04</v>
      </c>
      <c r="GV7" s="234">
        <v>993.70999999999992</v>
      </c>
      <c r="GW7" s="234">
        <v>170.79</v>
      </c>
      <c r="GX7" s="234">
        <v>2577.2600000000002</v>
      </c>
      <c r="GY7" s="234">
        <v>2347.33</v>
      </c>
      <c r="GZ7" s="234">
        <v>2287.9299999999998</v>
      </c>
      <c r="HA7" s="234">
        <v>57.01</v>
      </c>
      <c r="HB7" s="234">
        <v>1747.6</v>
      </c>
      <c r="HC7" s="234">
        <v>2111.35</v>
      </c>
      <c r="HD7" s="234">
        <v>1971.4299999999998</v>
      </c>
      <c r="HE7" s="234">
        <v>1884.5900000000001</v>
      </c>
      <c r="HF7" s="234">
        <v>1474.23</v>
      </c>
      <c r="HG7" s="234">
        <v>2301.7000000000003</v>
      </c>
      <c r="HH7" s="234">
        <v>755.74</v>
      </c>
      <c r="HI7" s="234">
        <v>1651.06</v>
      </c>
      <c r="HJ7" s="234">
        <v>158.39000000000001</v>
      </c>
      <c r="HK7" s="234">
        <v>1278.79</v>
      </c>
      <c r="HL7" s="234">
        <v>1793.48</v>
      </c>
      <c r="HM7" s="234">
        <v>2517.19</v>
      </c>
      <c r="HN7" s="234">
        <v>2358.16</v>
      </c>
      <c r="HO7" s="235">
        <f>SUM(GJ7:HN7)</f>
        <v>46603.8</v>
      </c>
      <c r="HP7" s="234">
        <v>1270.04</v>
      </c>
      <c r="HQ7" s="234">
        <v>1219.79</v>
      </c>
      <c r="HR7" s="234">
        <v>2351.2600000000002</v>
      </c>
      <c r="HS7" s="234">
        <v>1848.1499999999999</v>
      </c>
      <c r="HT7" s="234">
        <v>1875.41</v>
      </c>
      <c r="HU7" s="234">
        <v>2039.96</v>
      </c>
      <c r="HV7" s="234">
        <v>0</v>
      </c>
      <c r="HW7" s="234">
        <v>0</v>
      </c>
      <c r="HX7" s="234">
        <v>31.78</v>
      </c>
      <c r="HY7" s="234">
        <v>0</v>
      </c>
      <c r="HZ7" s="234">
        <v>1715.1699999999998</v>
      </c>
      <c r="IA7" s="234">
        <v>851.68000000000006</v>
      </c>
      <c r="IB7" s="234">
        <v>3195.3999999999996</v>
      </c>
      <c r="IC7" s="234">
        <v>3057.9799999999996</v>
      </c>
      <c r="ID7" s="234">
        <v>3199.7599999999998</v>
      </c>
      <c r="IE7" s="234">
        <v>2935.64</v>
      </c>
      <c r="IF7" s="234">
        <v>2100.4499999999998</v>
      </c>
      <c r="IG7" s="234">
        <v>3615.2500000000005</v>
      </c>
      <c r="IH7" s="234">
        <v>2095.04</v>
      </c>
      <c r="II7" s="234">
        <v>1748.4499999999998</v>
      </c>
      <c r="IJ7" s="234">
        <v>3751.8100000000004</v>
      </c>
      <c r="IK7" s="234">
        <v>4443.08</v>
      </c>
      <c r="IL7" s="234">
        <v>2592.3999999999996</v>
      </c>
      <c r="IM7" s="234">
        <v>3626.5499999999997</v>
      </c>
      <c r="IN7" s="234">
        <v>30.37</v>
      </c>
      <c r="IO7" s="234">
        <v>533.14</v>
      </c>
      <c r="IP7" s="234">
        <v>0</v>
      </c>
      <c r="IQ7" s="234">
        <v>0</v>
      </c>
      <c r="IR7" s="234">
        <v>890.85</v>
      </c>
      <c r="IS7" s="234">
        <v>3579.94</v>
      </c>
      <c r="IT7" s="234">
        <v>2970.53</v>
      </c>
      <c r="IU7" s="235">
        <f>SUM(HP7:IT7)</f>
        <v>57569.88</v>
      </c>
      <c r="IV7" s="234">
        <v>649.19000000000005</v>
      </c>
      <c r="IW7" s="234">
        <v>3502.02</v>
      </c>
      <c r="IX7" s="234">
        <v>4513.32</v>
      </c>
      <c r="IY7" s="234">
        <v>2421.1799999999998</v>
      </c>
      <c r="IZ7" s="234">
        <v>3301.03</v>
      </c>
      <c r="JA7" s="234">
        <v>2486.7799999999997</v>
      </c>
      <c r="JB7" s="234">
        <v>3354.2400000000002</v>
      </c>
      <c r="JC7" s="234">
        <v>3802.7599999999998</v>
      </c>
      <c r="JD7" s="234">
        <v>2771.27</v>
      </c>
      <c r="JE7" s="234">
        <v>3172.4</v>
      </c>
      <c r="JF7" s="234">
        <v>3944.87</v>
      </c>
      <c r="JG7" s="234">
        <v>2931.33</v>
      </c>
      <c r="JH7" s="234">
        <v>1971.0900000000001</v>
      </c>
      <c r="JI7" s="234">
        <v>3101.6500000000005</v>
      </c>
      <c r="JJ7" s="234">
        <v>1621.2399999999998</v>
      </c>
      <c r="JK7" s="234">
        <v>249.12</v>
      </c>
      <c r="JL7" s="234">
        <v>968.73</v>
      </c>
      <c r="JM7" s="234">
        <v>1794.6399999999999</v>
      </c>
      <c r="JN7" s="234">
        <v>2314.64</v>
      </c>
      <c r="JO7" s="234">
        <v>4340.83</v>
      </c>
      <c r="JP7" s="234">
        <v>3694.6099999999997</v>
      </c>
      <c r="JQ7" s="234">
        <v>571.91</v>
      </c>
      <c r="JR7" s="234">
        <v>853.40000000000009</v>
      </c>
      <c r="JS7" s="234">
        <v>1841.1</v>
      </c>
      <c r="JT7" s="234">
        <v>2075.34</v>
      </c>
      <c r="JU7" s="234">
        <v>2190.29</v>
      </c>
      <c r="JV7" s="234">
        <v>1267.76</v>
      </c>
      <c r="JW7" s="234">
        <v>2937.54</v>
      </c>
      <c r="JX7" s="234">
        <v>3257.91</v>
      </c>
      <c r="JY7" s="234">
        <v>3191.3199999999997</v>
      </c>
      <c r="JZ7" s="234">
        <v>0</v>
      </c>
      <c r="KA7" s="235">
        <f>SUM(IV7:JZ7)</f>
        <v>75093.510000000009</v>
      </c>
      <c r="KB7" s="291">
        <v>4536.369999999999</v>
      </c>
      <c r="KC7" s="291">
        <v>4393.04</v>
      </c>
      <c r="KD7" s="291">
        <v>1908.6899999999998</v>
      </c>
      <c r="KE7" s="291">
        <v>4242.1899999999996</v>
      </c>
      <c r="KF7" s="291">
        <v>3849.83</v>
      </c>
      <c r="KG7" s="291">
        <v>4413.58</v>
      </c>
      <c r="KH7" s="291">
        <v>3323.4399999999996</v>
      </c>
      <c r="KI7" s="291">
        <v>1994.5</v>
      </c>
      <c r="KJ7" s="291">
        <v>2392.65</v>
      </c>
      <c r="KK7" s="291">
        <v>3180.58</v>
      </c>
      <c r="KL7" s="291">
        <v>1711.33</v>
      </c>
      <c r="KM7" s="291">
        <v>3557.12</v>
      </c>
      <c r="KN7" s="291">
        <v>2655.5699999999997</v>
      </c>
      <c r="KO7" s="291">
        <v>3491.24</v>
      </c>
      <c r="KP7" s="291">
        <v>3954.17</v>
      </c>
      <c r="KQ7" s="291">
        <v>2126.7999999999997</v>
      </c>
      <c r="KR7" s="291">
        <v>3091.71</v>
      </c>
      <c r="KS7" s="291">
        <v>4863.1499999999996</v>
      </c>
      <c r="KT7" s="291">
        <v>4628.95</v>
      </c>
      <c r="KU7" s="291">
        <v>4778.92</v>
      </c>
      <c r="KV7" s="291">
        <v>4729.2000000000007</v>
      </c>
      <c r="KW7" s="291">
        <v>4975.84</v>
      </c>
      <c r="KX7" s="291">
        <v>5054.42</v>
      </c>
      <c r="KY7" s="291">
        <v>6164.42</v>
      </c>
      <c r="KZ7" s="291">
        <v>5741.0499999999993</v>
      </c>
      <c r="LA7" s="291">
        <v>5235.55</v>
      </c>
      <c r="LB7" s="291">
        <v>4466.8999999999996</v>
      </c>
      <c r="LC7" s="291">
        <v>3535.0099999999998</v>
      </c>
      <c r="LD7" s="291">
        <v>4053.17</v>
      </c>
      <c r="LE7" s="291">
        <v>3844.51</v>
      </c>
      <c r="LF7" s="291">
        <v>4630.91</v>
      </c>
      <c r="LG7" s="235">
        <f>SUM(KB7:LF7)</f>
        <v>121524.80999999998</v>
      </c>
      <c r="LH7" s="291">
        <v>2363.2800000000002</v>
      </c>
      <c r="LI7" s="291">
        <v>3235.48</v>
      </c>
      <c r="LJ7" s="291">
        <v>4157.88</v>
      </c>
      <c r="LK7" s="291">
        <v>2735.67</v>
      </c>
      <c r="LL7" s="291">
        <v>2264.9300000000003</v>
      </c>
      <c r="LM7" s="291">
        <v>2067.7399999999998</v>
      </c>
      <c r="LN7" s="291">
        <v>2969.3</v>
      </c>
      <c r="LO7" s="291">
        <v>4465.7700000000004</v>
      </c>
      <c r="LP7" s="291">
        <v>3508.1400000000003</v>
      </c>
      <c r="LQ7" s="291">
        <v>3814.8</v>
      </c>
      <c r="LR7" s="291">
        <v>4228.5400000000009</v>
      </c>
      <c r="LS7" s="291">
        <v>4484.09</v>
      </c>
      <c r="LT7" s="291">
        <v>3451.59</v>
      </c>
      <c r="LU7" s="291">
        <v>3056.2700000000004</v>
      </c>
      <c r="LV7" s="291">
        <v>469.74</v>
      </c>
      <c r="LW7" s="291">
        <v>3893.24</v>
      </c>
      <c r="LX7" s="291">
        <v>4144.1499999999996</v>
      </c>
      <c r="LY7" s="291">
        <v>5275.57</v>
      </c>
      <c r="LZ7" s="291">
        <v>2870.11</v>
      </c>
      <c r="MA7" s="291">
        <v>3782.79</v>
      </c>
      <c r="MB7" s="291">
        <v>3227.88</v>
      </c>
      <c r="MC7" s="291">
        <v>4439.63</v>
      </c>
      <c r="MD7" s="291">
        <v>4060.84</v>
      </c>
      <c r="ME7" s="291">
        <v>3857.91</v>
      </c>
      <c r="MF7" s="291">
        <v>4831.16</v>
      </c>
      <c r="MG7" s="291">
        <v>4950.46</v>
      </c>
      <c r="MH7" s="291">
        <v>1620.0300000000002</v>
      </c>
      <c r="MI7" s="291">
        <v>3067.65</v>
      </c>
      <c r="MJ7" s="291">
        <v>3564.6499999999996</v>
      </c>
      <c r="MK7" s="291">
        <v>5118.5999999999995</v>
      </c>
      <c r="ML7" s="234"/>
      <c r="MM7" s="235">
        <f>SUM(LH7:ML7)</f>
        <v>105977.89</v>
      </c>
      <c r="MN7" s="291">
        <v>4549.34</v>
      </c>
      <c r="MO7" s="291">
        <v>5737.8099999999995</v>
      </c>
      <c r="MP7" s="291">
        <v>4947.68</v>
      </c>
      <c r="MQ7" s="291">
        <v>6013.58</v>
      </c>
      <c r="MR7" s="291">
        <v>3000.29</v>
      </c>
      <c r="MS7" s="291">
        <v>4421.84</v>
      </c>
      <c r="MT7" s="291">
        <v>2903.01</v>
      </c>
      <c r="MU7" s="291">
        <v>6017.7900000000009</v>
      </c>
      <c r="MV7" s="291">
        <v>2838.2599999999998</v>
      </c>
      <c r="MW7" s="291">
        <v>2959.32</v>
      </c>
      <c r="MX7" s="291">
        <v>3833.35</v>
      </c>
      <c r="MY7" s="291">
        <v>4458.3899999999994</v>
      </c>
      <c r="MZ7" s="291">
        <v>5084.63</v>
      </c>
      <c r="NA7" s="291">
        <v>3815.54</v>
      </c>
      <c r="NB7" s="291">
        <v>4902.4699999999993</v>
      </c>
      <c r="NC7" s="291">
        <v>2451.96</v>
      </c>
      <c r="ND7" s="291">
        <v>2711.8199999999997</v>
      </c>
      <c r="NE7" s="291">
        <v>1289.5100000000002</v>
      </c>
      <c r="NF7" s="291">
        <v>2316.67</v>
      </c>
      <c r="NG7" s="291">
        <v>2108.5</v>
      </c>
      <c r="NH7" s="291">
        <v>2344.27</v>
      </c>
      <c r="NI7" s="291">
        <v>2360.1800000000003</v>
      </c>
      <c r="NJ7" s="291">
        <v>4993.75</v>
      </c>
      <c r="NK7" s="291">
        <v>4000.82</v>
      </c>
      <c r="NL7" s="291">
        <v>2263.27</v>
      </c>
      <c r="NM7" s="291">
        <v>3051.1400000000003</v>
      </c>
      <c r="NN7" s="291">
        <v>2635.52</v>
      </c>
      <c r="NO7" s="291">
        <v>4302.1000000000004</v>
      </c>
      <c r="NP7" s="291">
        <v>4497.42</v>
      </c>
      <c r="NQ7" s="291">
        <v>2282.54</v>
      </c>
      <c r="NR7" s="291">
        <v>60.03</v>
      </c>
      <c r="NS7" s="235">
        <f>SUM(MN7:NR7)</f>
        <v>109152.80000000003</v>
      </c>
      <c r="NT7" s="234">
        <v>2711.8900000000003</v>
      </c>
      <c r="NU7" s="234">
        <v>1457.3200000000002</v>
      </c>
      <c r="NV7" s="234">
        <v>2136.2200000000003</v>
      </c>
      <c r="NW7" s="234">
        <v>2432.34</v>
      </c>
      <c r="NX7" s="234">
        <v>3024</v>
      </c>
      <c r="NY7" s="234">
        <v>1962.77</v>
      </c>
      <c r="NZ7" s="234">
        <v>1467.1599999999999</v>
      </c>
      <c r="OA7" s="234">
        <v>1937.06</v>
      </c>
      <c r="OB7" s="234">
        <v>776.24</v>
      </c>
      <c r="OC7" s="234">
        <v>2068.9900000000002</v>
      </c>
      <c r="OD7" s="234">
        <v>2612.2799999999997</v>
      </c>
      <c r="OE7" s="234">
        <v>2702.99</v>
      </c>
      <c r="OF7" s="234">
        <v>2227.9</v>
      </c>
      <c r="OG7" s="234">
        <v>1714.5</v>
      </c>
      <c r="OH7" s="234">
        <v>3126.21</v>
      </c>
      <c r="OI7" s="234">
        <v>887.68999999999994</v>
      </c>
      <c r="OJ7" s="234">
        <v>2069.9700000000003</v>
      </c>
      <c r="OK7" s="234">
        <v>898.99</v>
      </c>
      <c r="OL7" s="234">
        <v>2217.38</v>
      </c>
      <c r="OM7" s="234">
        <v>2215.7799999999997</v>
      </c>
      <c r="ON7" s="234">
        <v>3105.2700000000004</v>
      </c>
      <c r="OO7" s="234">
        <v>2913.68</v>
      </c>
      <c r="OP7" s="234">
        <v>2053.81</v>
      </c>
      <c r="OQ7" s="234">
        <v>3017.0299999999997</v>
      </c>
      <c r="OR7" s="234">
        <v>3484.02</v>
      </c>
      <c r="OS7" s="234">
        <v>4029.95</v>
      </c>
      <c r="OT7" s="234">
        <v>4143.8599999999997</v>
      </c>
      <c r="OU7" s="234">
        <v>2876.99</v>
      </c>
      <c r="OV7" s="234">
        <v>4470.83</v>
      </c>
      <c r="OW7" s="234">
        <v>2601.1000000000004</v>
      </c>
      <c r="OX7" s="234">
        <v>3614.21</v>
      </c>
      <c r="OY7" s="235">
        <f>SUM(NT7:OX7)</f>
        <v>76958.430000000008</v>
      </c>
      <c r="OZ7" s="234">
        <v>781.81</v>
      </c>
      <c r="PA7" s="234">
        <v>3864.99</v>
      </c>
      <c r="PB7" s="234">
        <v>2244.52</v>
      </c>
      <c r="PC7" s="234">
        <v>804.41000000000008</v>
      </c>
      <c r="PD7" s="234">
        <v>2621.7000000000003</v>
      </c>
      <c r="PE7" s="234">
        <v>1287.4000000000001</v>
      </c>
      <c r="PF7" s="234">
        <v>2538.37</v>
      </c>
      <c r="PG7" s="234">
        <v>2465.4499999999998</v>
      </c>
      <c r="PH7" s="234">
        <v>2383.75</v>
      </c>
      <c r="PI7" s="234">
        <v>1931.4900000000002</v>
      </c>
      <c r="PJ7" s="234">
        <v>1725.96</v>
      </c>
      <c r="PK7" s="234">
        <v>2913.14</v>
      </c>
      <c r="PL7" s="234">
        <v>926.83</v>
      </c>
      <c r="PM7" s="234">
        <v>2116.31</v>
      </c>
      <c r="PN7" s="234">
        <v>2005.74</v>
      </c>
      <c r="PO7" s="234">
        <v>3072.41</v>
      </c>
      <c r="PP7" s="234">
        <v>2524.8000000000002</v>
      </c>
      <c r="PQ7" s="234">
        <v>2594.0499999999997</v>
      </c>
      <c r="PR7" s="234">
        <v>2002.35</v>
      </c>
      <c r="PS7" s="234">
        <v>2033.5</v>
      </c>
      <c r="PT7" s="234">
        <v>4020.63</v>
      </c>
      <c r="PU7" s="234">
        <v>3701.5299999999997</v>
      </c>
      <c r="PV7" s="234">
        <v>3646.3100000000004</v>
      </c>
      <c r="PW7" s="234">
        <v>3514.62</v>
      </c>
      <c r="PX7" s="234">
        <v>3241.58</v>
      </c>
      <c r="PY7" s="234">
        <v>3290.7600000000007</v>
      </c>
      <c r="PZ7" s="234">
        <v>2728.8100000000004</v>
      </c>
      <c r="QA7" s="234">
        <v>3327.81</v>
      </c>
      <c r="QB7" s="234">
        <v>2658.29</v>
      </c>
      <c r="QC7" s="234">
        <v>3202.72</v>
      </c>
      <c r="QD7" s="235">
        <f>SUM(OZ7:QC7)</f>
        <v>76172.040000000008</v>
      </c>
      <c r="QE7" s="234">
        <v>2936.4599999999996</v>
      </c>
      <c r="QF7" s="234">
        <v>2486.1</v>
      </c>
      <c r="QG7" s="234">
        <v>2817.05</v>
      </c>
      <c r="QH7" s="234">
        <v>1355.16</v>
      </c>
      <c r="QI7" s="234">
        <v>1565.4499999999998</v>
      </c>
      <c r="QJ7" s="234">
        <v>803.41000000000008</v>
      </c>
      <c r="QK7" s="234">
        <v>1529.04</v>
      </c>
      <c r="QL7" s="234">
        <v>1030.6599999999999</v>
      </c>
      <c r="QM7" s="234">
        <v>1217.22</v>
      </c>
      <c r="QN7" s="234">
        <v>1604.8400000000001</v>
      </c>
      <c r="QO7" s="234">
        <v>505.31</v>
      </c>
      <c r="QP7" s="234">
        <v>28.82</v>
      </c>
      <c r="QQ7" s="234">
        <v>0</v>
      </c>
      <c r="QR7" s="234">
        <v>0</v>
      </c>
      <c r="QS7" s="234">
        <v>0</v>
      </c>
      <c r="QT7" s="234">
        <v>292.02999999999997</v>
      </c>
      <c r="QU7" s="234">
        <v>1034.52</v>
      </c>
      <c r="QV7" s="234">
        <v>444.70000000000005</v>
      </c>
      <c r="QW7" s="234">
        <v>786.4799999999999</v>
      </c>
      <c r="QX7" s="234">
        <v>1214.73</v>
      </c>
      <c r="QY7" s="234">
        <v>2653.76</v>
      </c>
      <c r="QZ7" s="234">
        <v>3570.37</v>
      </c>
      <c r="RA7" s="234">
        <v>2561.2700000000004</v>
      </c>
      <c r="RB7" s="234">
        <v>3480.85</v>
      </c>
      <c r="RC7" s="234">
        <v>2102.59</v>
      </c>
      <c r="RD7" s="234">
        <v>2213.9700000000003</v>
      </c>
      <c r="RE7" s="234">
        <v>3628.47</v>
      </c>
      <c r="RF7" s="234">
        <v>3178.08</v>
      </c>
      <c r="RG7" s="234">
        <v>3557.32</v>
      </c>
      <c r="RH7" s="234">
        <v>3621.06</v>
      </c>
      <c r="RI7" s="234">
        <v>3863.66</v>
      </c>
      <c r="RJ7" s="235">
        <v>56083.37999999999</v>
      </c>
      <c r="RK7" s="234">
        <v>1156.3400000000001</v>
      </c>
      <c r="RL7" s="234">
        <v>4419.8900000000003</v>
      </c>
      <c r="RM7" s="234">
        <v>5511.43</v>
      </c>
      <c r="RN7" s="234">
        <v>4672.2700000000004</v>
      </c>
      <c r="RO7" s="234">
        <v>4359.12</v>
      </c>
      <c r="RP7" s="234">
        <v>2965.36</v>
      </c>
      <c r="RQ7" s="234">
        <v>4039.0599999999995</v>
      </c>
      <c r="RR7" s="234">
        <v>2976.3900000000003</v>
      </c>
      <c r="RS7" s="234">
        <v>3432.95</v>
      </c>
      <c r="RT7" s="234">
        <v>3948.13</v>
      </c>
      <c r="RU7" s="234">
        <v>4088.7300000000005</v>
      </c>
      <c r="RV7" s="234">
        <v>3554.4699999999993</v>
      </c>
      <c r="RW7" s="234">
        <v>4181.0600000000004</v>
      </c>
      <c r="RX7" s="234">
        <v>3574.1499999999996</v>
      </c>
      <c r="RY7" s="234">
        <v>3901.41</v>
      </c>
      <c r="RZ7" s="234">
        <v>5425.65</v>
      </c>
      <c r="SA7" s="234">
        <v>3970.8199999999997</v>
      </c>
      <c r="SB7" s="234">
        <v>5399.79</v>
      </c>
      <c r="SC7" s="234">
        <v>4146.3500000000004</v>
      </c>
      <c r="SD7" s="234">
        <v>3224.58</v>
      </c>
      <c r="SE7" s="234">
        <v>4779.6899999999996</v>
      </c>
      <c r="SF7" s="234">
        <v>5265.89</v>
      </c>
      <c r="SG7" s="234">
        <v>5995.75</v>
      </c>
      <c r="SH7" s="234">
        <v>2265.86</v>
      </c>
      <c r="SI7" s="234">
        <v>5742.38</v>
      </c>
      <c r="SJ7" s="234">
        <v>5298.05</v>
      </c>
      <c r="SK7" s="234">
        <v>5074.3899999999994</v>
      </c>
      <c r="SL7" s="234">
        <v>5826.99</v>
      </c>
      <c r="SM7" s="234">
        <v>1448.5</v>
      </c>
      <c r="SN7" s="234">
        <v>3831.86</v>
      </c>
      <c r="SO7" s="235">
        <f>SUM(RK7:SN7)</f>
        <v>124477.31000000001</v>
      </c>
      <c r="SP7" s="234">
        <v>1490.25</v>
      </c>
      <c r="SQ7" s="234">
        <v>2629.0099999999998</v>
      </c>
      <c r="SR7" s="234">
        <v>4109.93</v>
      </c>
      <c r="SS7" s="234">
        <v>3657.6099999999997</v>
      </c>
      <c r="ST7" s="234">
        <v>4113.6499999999996</v>
      </c>
      <c r="SU7" s="234">
        <v>3129.5299999999997</v>
      </c>
      <c r="SV7" s="234">
        <v>449.34000000000003</v>
      </c>
      <c r="SW7" s="234">
        <v>1515.2600000000002</v>
      </c>
      <c r="SX7" s="234">
        <v>2915.72</v>
      </c>
      <c r="SY7" s="234">
        <v>2599.04</v>
      </c>
      <c r="SZ7" s="234">
        <v>1484.6200000000001</v>
      </c>
      <c r="TA7" s="234">
        <v>1448.23</v>
      </c>
      <c r="TB7" s="234">
        <v>362.88</v>
      </c>
      <c r="TC7" s="234">
        <v>3007.7400000000002</v>
      </c>
      <c r="TD7" s="234">
        <v>3511</v>
      </c>
      <c r="TE7" s="234">
        <v>2960.2700000000004</v>
      </c>
      <c r="TF7" s="234">
        <v>2635.51</v>
      </c>
      <c r="TG7" s="234">
        <v>2508.02</v>
      </c>
      <c r="TH7" s="234">
        <v>1808.9800000000002</v>
      </c>
      <c r="TI7" s="234">
        <v>1639.6200000000001</v>
      </c>
      <c r="TJ7" s="234">
        <v>2251.59</v>
      </c>
      <c r="TK7" s="234">
        <v>2967.42</v>
      </c>
      <c r="TL7" s="234">
        <v>3308.05</v>
      </c>
      <c r="TM7" s="234">
        <v>4051.15</v>
      </c>
      <c r="TN7" s="234">
        <v>4108.67</v>
      </c>
      <c r="TO7" s="234">
        <v>2805.7999999999997</v>
      </c>
      <c r="TP7" s="234">
        <v>3676.04</v>
      </c>
      <c r="TQ7" s="234">
        <v>4638.9799999999996</v>
      </c>
      <c r="TR7" s="234">
        <v>4821.75</v>
      </c>
      <c r="TS7" s="234">
        <v>3709.13</v>
      </c>
      <c r="TT7" s="234">
        <v>3665.78</v>
      </c>
      <c r="TU7" s="235">
        <v>87980.569999999992</v>
      </c>
      <c r="TV7" s="234">
        <v>2970.7400000000002</v>
      </c>
      <c r="TW7" s="234">
        <v>3342</v>
      </c>
      <c r="TX7" s="234">
        <v>875.12</v>
      </c>
      <c r="TY7" s="234">
        <v>2790.06</v>
      </c>
      <c r="TZ7" s="234">
        <v>1850.2600000000002</v>
      </c>
      <c r="UA7" s="234">
        <v>2926.76</v>
      </c>
      <c r="UB7" s="234">
        <v>3809.2300000000005</v>
      </c>
      <c r="UC7" s="234">
        <v>3346.7200000000003</v>
      </c>
      <c r="UD7" s="234">
        <v>3272.98</v>
      </c>
      <c r="UE7" s="234">
        <v>3663.9399999999996</v>
      </c>
      <c r="UF7" s="234">
        <v>3053.83</v>
      </c>
      <c r="UG7" s="234">
        <v>0</v>
      </c>
      <c r="UH7" s="234">
        <v>645.71</v>
      </c>
      <c r="UI7" s="234">
        <v>1505.29</v>
      </c>
      <c r="UJ7" s="234">
        <v>3099.2</v>
      </c>
      <c r="UK7" s="234">
        <v>4976.6820000000007</v>
      </c>
      <c r="UL7" s="234">
        <v>917.77</v>
      </c>
      <c r="UM7" s="234">
        <v>216.28</v>
      </c>
      <c r="UN7" s="234">
        <v>183.98</v>
      </c>
      <c r="UO7" s="234">
        <v>1129.0700000000002</v>
      </c>
      <c r="UP7" s="234">
        <v>0</v>
      </c>
      <c r="UQ7" s="234">
        <v>801.46</v>
      </c>
      <c r="UR7" s="234">
        <v>1049.8200000000002</v>
      </c>
      <c r="US7" s="234">
        <v>1847.7000000000003</v>
      </c>
      <c r="UT7" s="234">
        <v>3186.3399999999997</v>
      </c>
      <c r="UU7" s="234">
        <v>3380.41</v>
      </c>
      <c r="UV7" s="234">
        <v>2923.63</v>
      </c>
      <c r="UW7" s="234">
        <v>4073.3900000000003</v>
      </c>
      <c r="UX7" s="234">
        <v>2058.4899999999998</v>
      </c>
      <c r="UY7" s="234">
        <v>2359.4699999999998</v>
      </c>
      <c r="UZ7" s="234">
        <v>1963.69</v>
      </c>
      <c r="VA7" s="235">
        <v>87980.569999999992</v>
      </c>
      <c r="VB7" s="234">
        <v>2272.84</v>
      </c>
      <c r="VC7" s="234">
        <v>2184.2600000000002</v>
      </c>
      <c r="VD7" s="234">
        <v>404.64</v>
      </c>
      <c r="VE7" s="234">
        <v>0</v>
      </c>
      <c r="VF7" s="234">
        <v>1357.61</v>
      </c>
      <c r="VG7" s="234">
        <v>2611.1</v>
      </c>
      <c r="VH7" s="234">
        <v>3590.12</v>
      </c>
      <c r="VI7" s="234">
        <v>4156.7700000000004</v>
      </c>
      <c r="VJ7" s="234">
        <v>1689.13</v>
      </c>
      <c r="VK7" s="234">
        <v>442.14</v>
      </c>
      <c r="VL7" s="234">
        <v>0</v>
      </c>
      <c r="VM7" s="234">
        <v>0</v>
      </c>
      <c r="VN7" s="234">
        <v>2935.92</v>
      </c>
      <c r="VO7" s="234">
        <v>3103.78</v>
      </c>
      <c r="VP7" s="234">
        <v>2611.91</v>
      </c>
      <c r="VQ7" s="234">
        <v>3629.26</v>
      </c>
      <c r="VR7" s="234">
        <v>2700.24</v>
      </c>
      <c r="VS7" s="234">
        <v>3733.84</v>
      </c>
      <c r="VT7" s="234">
        <v>4392.75</v>
      </c>
      <c r="VU7" s="234">
        <v>3295.6899999999996</v>
      </c>
      <c r="VV7" s="234">
        <v>1178.73</v>
      </c>
      <c r="VW7" s="234">
        <v>3753.9500000000007</v>
      </c>
      <c r="VX7" s="234">
        <v>4158.3100000000004</v>
      </c>
      <c r="VY7" s="234">
        <v>3377.29</v>
      </c>
      <c r="VZ7" s="234">
        <v>3403.8899999999994</v>
      </c>
      <c r="WA7" s="234">
        <v>3742.65</v>
      </c>
      <c r="WB7" s="234">
        <v>4285.96</v>
      </c>
      <c r="WC7" s="234">
        <v>2603.29</v>
      </c>
      <c r="WD7" s="234">
        <v>4752.5399999999991</v>
      </c>
      <c r="WE7" s="234">
        <v>1515.12</v>
      </c>
      <c r="WF7" s="235">
        <v>87980.569999999992</v>
      </c>
      <c r="WG7" s="234">
        <v>1360.73</v>
      </c>
      <c r="WH7" s="234">
        <v>1638.6599999999999</v>
      </c>
      <c r="WI7" s="234">
        <v>1123.4000000000001</v>
      </c>
      <c r="WJ7" s="234">
        <v>2339.59</v>
      </c>
      <c r="WK7" s="234">
        <v>2115.6000000000004</v>
      </c>
      <c r="WL7" s="234">
        <v>2030.21</v>
      </c>
      <c r="WM7" s="234">
        <v>2665.1000000000004</v>
      </c>
      <c r="WN7" s="234">
        <v>3262.97</v>
      </c>
      <c r="WO7" s="234">
        <v>2251.35</v>
      </c>
      <c r="WP7" s="234">
        <v>2372.0299999999997</v>
      </c>
      <c r="WQ7" s="234">
        <v>2689.2700000000004</v>
      </c>
      <c r="WR7" s="234">
        <v>2111.38</v>
      </c>
      <c r="WS7" s="234">
        <v>3251.2200000000003</v>
      </c>
      <c r="WT7" s="234">
        <v>2339.31</v>
      </c>
      <c r="WU7" s="234">
        <v>1392.13</v>
      </c>
      <c r="WV7" s="234">
        <v>3830.12</v>
      </c>
      <c r="WW7" s="234">
        <v>1870.0700000000002</v>
      </c>
      <c r="WX7" s="234">
        <v>1935.19</v>
      </c>
      <c r="WY7" s="234">
        <v>2516.59</v>
      </c>
      <c r="WZ7" s="234">
        <v>3130.38</v>
      </c>
      <c r="XA7" s="234">
        <v>913.54</v>
      </c>
      <c r="XB7" s="234">
        <v>2802.06</v>
      </c>
      <c r="XC7" s="234">
        <v>3537.3500000000004</v>
      </c>
      <c r="XD7" s="234">
        <v>4301.83</v>
      </c>
      <c r="XE7" s="234">
        <v>2309.71</v>
      </c>
      <c r="XF7" s="234">
        <v>1760.3000000000002</v>
      </c>
      <c r="XG7" s="234">
        <v>3454.87</v>
      </c>
      <c r="XH7" s="234">
        <v>1278.67</v>
      </c>
      <c r="XI7" s="234">
        <v>3065.2200000000003</v>
      </c>
      <c r="XJ7" s="234">
        <v>2262.87</v>
      </c>
      <c r="XK7" s="234">
        <v>2788.78</v>
      </c>
      <c r="XL7" s="235">
        <v>74700.5</v>
      </c>
      <c r="XM7" s="234">
        <v>1535.48</v>
      </c>
      <c r="XN7" s="234">
        <v>1039.2699999999998</v>
      </c>
      <c r="XO7" s="234">
        <v>1856.3400000000001</v>
      </c>
      <c r="XP7" s="234">
        <v>1356.7800000000002</v>
      </c>
      <c r="XQ7" s="234">
        <v>2966.3999999999996</v>
      </c>
      <c r="XR7" s="234">
        <v>3759.04</v>
      </c>
      <c r="XS7" s="234">
        <v>924.55</v>
      </c>
      <c r="XT7" s="234">
        <v>3731.66</v>
      </c>
      <c r="XU7" s="234">
        <v>1410.5500000000002</v>
      </c>
      <c r="XV7" s="234">
        <v>3378.6499999999996</v>
      </c>
      <c r="XW7" s="234">
        <v>1445.06</v>
      </c>
      <c r="XX7" s="234">
        <v>652.13000000000011</v>
      </c>
      <c r="XY7" s="234">
        <v>1451</v>
      </c>
      <c r="XZ7" s="234">
        <v>1214.19</v>
      </c>
      <c r="YA7" s="234">
        <v>3700.47</v>
      </c>
      <c r="YB7" s="234">
        <v>2546.17</v>
      </c>
      <c r="YC7" s="234">
        <v>3025.8900000000003</v>
      </c>
      <c r="YD7" s="234">
        <v>4080.6099999999997</v>
      </c>
      <c r="YE7" s="234">
        <v>2066.86</v>
      </c>
      <c r="YF7" s="234">
        <v>2592.46</v>
      </c>
      <c r="YG7" s="234">
        <v>4135.8899999999994</v>
      </c>
      <c r="YH7" s="234">
        <v>3831.8999999999996</v>
      </c>
      <c r="YI7" s="234">
        <v>1451.6499999999999</v>
      </c>
      <c r="YJ7" s="234">
        <v>3443.3399999999992</v>
      </c>
      <c r="YK7" s="234">
        <v>3347.7000000000007</v>
      </c>
      <c r="YL7" s="234">
        <v>3148.5499999999997</v>
      </c>
      <c r="YM7" s="234">
        <v>2417.08</v>
      </c>
      <c r="YN7" s="234">
        <v>1817.5700000000002</v>
      </c>
      <c r="YO7" s="234">
        <v>1899.9199999999998</v>
      </c>
      <c r="YP7" s="234">
        <v>2096.774191544594</v>
      </c>
      <c r="YQ7" s="234">
        <v>2096.774191544594</v>
      </c>
      <c r="YR7" s="235">
        <v>74420.708383089208</v>
      </c>
      <c r="YS7" s="234">
        <f>Actual!F151</f>
        <v>0</v>
      </c>
      <c r="YT7" s="234">
        <f>Actual!G151</f>
        <v>0</v>
      </c>
      <c r="YU7" s="234">
        <f>Actual!H151</f>
        <v>0</v>
      </c>
      <c r="YV7" s="234">
        <f>Actual!I151</f>
        <v>0</v>
      </c>
      <c r="YW7" s="234">
        <f>Actual!J151</f>
        <v>1312.8979999999999</v>
      </c>
      <c r="YX7" s="234">
        <f>Actual!K151</f>
        <v>0</v>
      </c>
      <c r="YY7" s="234">
        <f>Actual!L151</f>
        <v>0</v>
      </c>
      <c r="YZ7" s="234">
        <f>Actual!M151</f>
        <v>0</v>
      </c>
      <c r="ZA7" s="234">
        <f>Actual!N151</f>
        <v>0</v>
      </c>
      <c r="ZB7" s="234">
        <f>Actual!O151</f>
        <v>0</v>
      </c>
      <c r="ZC7" s="234">
        <f>Actual!P151</f>
        <v>0</v>
      </c>
      <c r="ZD7" s="234">
        <f>Actual!Q151</f>
        <v>0</v>
      </c>
      <c r="ZE7" s="234">
        <f>Actual!R151</f>
        <v>0</v>
      </c>
      <c r="ZF7" s="234">
        <f>Actual!S151</f>
        <v>0</v>
      </c>
      <c r="ZG7" s="234">
        <f>Actual!T151</f>
        <v>0</v>
      </c>
      <c r="ZH7" s="234">
        <f>Actual!U151</f>
        <v>0</v>
      </c>
      <c r="ZI7" s="234">
        <f>Actual!V151</f>
        <v>0</v>
      </c>
      <c r="ZJ7" s="234">
        <f>Actual!W151</f>
        <v>0</v>
      </c>
      <c r="ZK7" s="234">
        <f>Actual!X151</f>
        <v>0</v>
      </c>
      <c r="ZL7" s="234">
        <f>Actual!Y151</f>
        <v>0</v>
      </c>
      <c r="ZM7" s="234">
        <f>Actual!Z151</f>
        <v>0</v>
      </c>
      <c r="ZN7" s="234">
        <f>Actual!AA151</f>
        <v>0</v>
      </c>
      <c r="ZO7" s="234">
        <f>Actual!AB151</f>
        <v>0</v>
      </c>
      <c r="ZP7" s="234">
        <f>Actual!AC151</f>
        <v>0</v>
      </c>
      <c r="ZQ7" s="234">
        <f>Actual!AD151</f>
        <v>0</v>
      </c>
      <c r="ZR7" s="234">
        <f>Actual!AE151</f>
        <v>0</v>
      </c>
      <c r="ZS7" s="234">
        <f>Actual!AF151</f>
        <v>0</v>
      </c>
      <c r="ZT7" s="234">
        <f>Actual!AG151</f>
        <v>0</v>
      </c>
      <c r="ZU7" s="234">
        <f>Actual!AH151</f>
        <v>0</v>
      </c>
      <c r="ZV7" s="234">
        <f>Outlook!$Q$5/31</f>
        <v>11908.064516129032</v>
      </c>
      <c r="ZW7" s="234">
        <f>Outlook!$Q$5/31</f>
        <v>11908.064516129032</v>
      </c>
      <c r="ZX7" s="235">
        <f>SUM(YS7:ZW7)</f>
        <v>25129.027032258062</v>
      </c>
      <c r="ZY7" s="234">
        <v>1864.3400000000001</v>
      </c>
      <c r="ZZ7" s="234">
        <v>3753.6499999999996</v>
      </c>
      <c r="AAA7" s="234">
        <v>2402.2700000000004</v>
      </c>
      <c r="AAB7" s="234">
        <v>3333.97</v>
      </c>
      <c r="AAC7" s="234">
        <v>2580.4899999999998</v>
      </c>
      <c r="AAD7" s="234">
        <v>2077.64</v>
      </c>
      <c r="AAE7" s="234">
        <v>1897.91</v>
      </c>
      <c r="AAF7" s="234">
        <v>2552.9899999999998</v>
      </c>
      <c r="AAG7" s="234">
        <v>2916.6499999999996</v>
      </c>
      <c r="AAH7" s="234">
        <v>2137.8199999999997</v>
      </c>
      <c r="AAI7" s="234">
        <v>2101.52</v>
      </c>
      <c r="AAJ7" s="234">
        <v>1588.17</v>
      </c>
      <c r="AAK7" s="234">
        <v>2677.56</v>
      </c>
      <c r="AAL7" s="234">
        <v>3559.25</v>
      </c>
      <c r="AAM7" s="234">
        <v>3567.1499999999996</v>
      </c>
      <c r="AAN7" s="234">
        <v>4242.66</v>
      </c>
      <c r="AAO7" s="234">
        <v>2773.0600000000004</v>
      </c>
      <c r="AAP7" s="234">
        <v>3080.39</v>
      </c>
      <c r="AAQ7" s="234">
        <v>4574.5200000000004</v>
      </c>
      <c r="AAR7" s="234">
        <v>4876.9400000000005</v>
      </c>
      <c r="AAS7" s="234">
        <v>4710.3100000000004</v>
      </c>
      <c r="AAT7" s="234">
        <v>741.81000000000006</v>
      </c>
      <c r="AAU7" s="234">
        <v>4997.08</v>
      </c>
      <c r="AAV7" s="234">
        <v>4536.09</v>
      </c>
      <c r="AAW7" s="234">
        <v>4979.88</v>
      </c>
      <c r="AAX7" s="234">
        <v>5424.2799999999988</v>
      </c>
      <c r="AAY7" s="234">
        <v>5997.5999999999995</v>
      </c>
      <c r="AAZ7" s="234">
        <v>5446.92</v>
      </c>
      <c r="ABA7" s="235">
        <f>SUM(ZY7:AAZ7)</f>
        <v>95392.920000000013</v>
      </c>
      <c r="ABB7" s="234">
        <v>3233.05</v>
      </c>
      <c r="ABC7" s="234">
        <v>3155.63</v>
      </c>
      <c r="ABD7" s="234">
        <v>4024.95</v>
      </c>
      <c r="ABE7" s="234">
        <v>3884.32</v>
      </c>
      <c r="ABF7" s="234">
        <v>4949.91</v>
      </c>
      <c r="ABG7" s="234">
        <v>3086.11</v>
      </c>
      <c r="ABH7" s="234">
        <v>1343.1399999999999</v>
      </c>
      <c r="ABI7" s="234">
        <v>3435.59</v>
      </c>
      <c r="ABJ7" s="234">
        <v>3904.76</v>
      </c>
      <c r="ABK7" s="234">
        <v>4261.41</v>
      </c>
      <c r="ABL7" s="234">
        <v>4153.6499999999996</v>
      </c>
      <c r="ABM7" s="234">
        <v>4851.01</v>
      </c>
      <c r="ABN7" s="234">
        <v>1705.88</v>
      </c>
      <c r="ABO7" s="234">
        <v>4718.2</v>
      </c>
      <c r="ABP7" s="234">
        <v>4071.26</v>
      </c>
      <c r="ABQ7" s="234">
        <v>5497.3099999999995</v>
      </c>
      <c r="ABR7" s="234">
        <v>4796.25</v>
      </c>
      <c r="ABS7" s="234">
        <v>4683.6399999999994</v>
      </c>
      <c r="ABT7" s="234">
        <v>4427.8899999999994</v>
      </c>
      <c r="ABU7" s="234">
        <v>4805.66</v>
      </c>
      <c r="ABV7" s="234">
        <v>3780.3900000000003</v>
      </c>
      <c r="ABW7" s="234">
        <v>4366.5200000000004</v>
      </c>
      <c r="ABX7" s="234">
        <v>6255.8099999999995</v>
      </c>
      <c r="ABY7" s="234">
        <v>5257.9199999999992</v>
      </c>
      <c r="ABZ7" s="234">
        <v>4730.84</v>
      </c>
      <c r="ACA7" s="234">
        <v>5183.2199999999993</v>
      </c>
      <c r="ACB7" s="234">
        <v>4502.8499999999995</v>
      </c>
      <c r="ACC7" s="234">
        <v>3961.3900000000003</v>
      </c>
      <c r="ACD7" s="234">
        <v>4288.2800000000007</v>
      </c>
      <c r="ACE7" s="234">
        <v>3397.8799999999997</v>
      </c>
      <c r="ACF7" s="234">
        <v>3246.7700000000004</v>
      </c>
      <c r="ACG7" s="235">
        <v>127961.49</v>
      </c>
      <c r="ACH7" s="234">
        <v>5212.71</v>
      </c>
      <c r="ACI7" s="234">
        <v>4971</v>
      </c>
      <c r="ACJ7" s="234">
        <v>3512.7299999999996</v>
      </c>
      <c r="ACK7" s="234">
        <v>1610.5099999999998</v>
      </c>
      <c r="ACL7" s="234">
        <v>1538.2800000000002</v>
      </c>
      <c r="ACM7" s="234">
        <v>3586.7</v>
      </c>
      <c r="ACN7" s="234">
        <v>3858.17</v>
      </c>
      <c r="ACO7" s="234">
        <v>2456.6099999999997</v>
      </c>
      <c r="ACP7" s="234">
        <v>1294.3000000000002</v>
      </c>
      <c r="ACQ7" s="234">
        <v>1684.6999999999998</v>
      </c>
      <c r="ACR7" s="234">
        <v>1266.26</v>
      </c>
      <c r="ACS7" s="234">
        <v>0</v>
      </c>
      <c r="ACT7" s="234">
        <v>974.69999999999993</v>
      </c>
      <c r="ACU7" s="234">
        <v>511.21</v>
      </c>
      <c r="ACV7" s="234">
        <v>371.04000000000008</v>
      </c>
      <c r="ACW7" s="234">
        <v>26.78</v>
      </c>
      <c r="ACX7" s="234">
        <v>1302.1399999999999</v>
      </c>
      <c r="ACY7" s="234">
        <v>791.03</v>
      </c>
      <c r="ACZ7" s="234">
        <v>156.99</v>
      </c>
      <c r="ADA7" s="234">
        <v>1075.31</v>
      </c>
      <c r="ADB7" s="234">
        <v>426.7</v>
      </c>
      <c r="ADC7" s="234">
        <v>1290.52</v>
      </c>
      <c r="ADD7" s="234">
        <v>579.21</v>
      </c>
      <c r="ADE7" s="234">
        <v>1490.93</v>
      </c>
      <c r="ADF7" s="234">
        <v>3285.58</v>
      </c>
      <c r="ADG7" s="234">
        <v>2285.15</v>
      </c>
      <c r="ADH7" s="234">
        <v>2646.7699999999995</v>
      </c>
      <c r="ADI7" s="234">
        <v>3058.19</v>
      </c>
      <c r="ADJ7" s="234">
        <v>4450.1099999999997</v>
      </c>
      <c r="ADK7" s="234">
        <v>4791.6599999999989</v>
      </c>
      <c r="ADL7" s="234"/>
      <c r="ADM7" s="235">
        <v>60505.989999999983</v>
      </c>
      <c r="ADN7" s="234">
        <v>1314.15</v>
      </c>
      <c r="ADO7" s="234">
        <v>0</v>
      </c>
      <c r="ADP7" s="234">
        <v>2260.71</v>
      </c>
      <c r="ADQ7" s="234">
        <v>1742.2600000000002</v>
      </c>
      <c r="ADR7" s="234">
        <v>3359.8799999999997</v>
      </c>
      <c r="ADS7" s="234">
        <v>3015.9399999999996</v>
      </c>
      <c r="ADT7" s="234">
        <v>3389.9200000000005</v>
      </c>
      <c r="ADU7" s="234">
        <v>2430.7400000000002</v>
      </c>
      <c r="ADV7" s="234">
        <v>1030.9099999999999</v>
      </c>
      <c r="ADW7" s="234">
        <v>2036.3900000000003</v>
      </c>
      <c r="ADX7" s="234">
        <v>3190.8699999999994</v>
      </c>
      <c r="ADY7" s="234">
        <v>1763.3300000000002</v>
      </c>
      <c r="ADZ7" s="234">
        <v>1186.77</v>
      </c>
      <c r="AEA7" s="234">
        <v>3626.6099999999997</v>
      </c>
      <c r="AEB7" s="234">
        <v>2443.5600000000004</v>
      </c>
      <c r="AEC7" s="234">
        <v>915.44</v>
      </c>
      <c r="AED7" s="234">
        <v>863.3599999999999</v>
      </c>
      <c r="AEE7" s="234">
        <v>3690.96</v>
      </c>
      <c r="AEF7" s="234">
        <v>3356.0699999999997</v>
      </c>
      <c r="AEG7" s="234">
        <v>2388.58</v>
      </c>
      <c r="AEH7" s="234">
        <v>3917.1100000000006</v>
      </c>
      <c r="AEI7" s="234">
        <v>4463.58</v>
      </c>
      <c r="AEJ7" s="234">
        <v>2294.11</v>
      </c>
      <c r="AEK7" s="234">
        <v>2158.52</v>
      </c>
      <c r="AEL7" s="234">
        <v>4015.24</v>
      </c>
      <c r="AEM7" s="234">
        <v>3697.5100000000007</v>
      </c>
      <c r="AEN7" s="234">
        <v>3460.0400000000004</v>
      </c>
      <c r="AEO7" s="234">
        <v>4850.2900000000009</v>
      </c>
      <c r="AEP7" s="234">
        <v>3184.7300000000005</v>
      </c>
      <c r="AEQ7" s="234">
        <v>3874.3700000000008</v>
      </c>
      <c r="AER7" s="234">
        <v>4366.9399999999996</v>
      </c>
      <c r="AES7" s="235">
        <v>60505.989999999983</v>
      </c>
      <c r="AET7" s="234">
        <v>4120.4799999999996</v>
      </c>
      <c r="AEU7" s="234">
        <v>3625.9099999999994</v>
      </c>
      <c r="AEV7" s="234">
        <v>3571.9300000000007</v>
      </c>
      <c r="AEW7" s="234">
        <v>3534.1100000000006</v>
      </c>
      <c r="AEX7" s="234">
        <v>4147.4400000000005</v>
      </c>
      <c r="AEY7" s="234">
        <v>1879.69</v>
      </c>
      <c r="AEZ7" s="234">
        <v>3765.22</v>
      </c>
      <c r="AFA7" s="234">
        <v>3224.8700000000008</v>
      </c>
      <c r="AFB7" s="234">
        <v>4565.5099999999984</v>
      </c>
      <c r="AFC7" s="234">
        <v>4570.6400000000003</v>
      </c>
      <c r="AFD7" s="234">
        <v>2596.25</v>
      </c>
      <c r="AFE7" s="234">
        <v>4815.7199999999993</v>
      </c>
      <c r="AFF7" s="234">
        <v>4267.2300000000014</v>
      </c>
      <c r="AFG7" s="234">
        <v>1618.76</v>
      </c>
      <c r="AFH7" s="234">
        <v>3823.88</v>
      </c>
      <c r="AFI7" s="234">
        <v>3362.0600000000004</v>
      </c>
      <c r="AFJ7" s="234">
        <v>2006.7800000000004</v>
      </c>
      <c r="AFK7" s="234">
        <v>1162.2399999999998</v>
      </c>
      <c r="AFL7" s="234">
        <v>3404.5</v>
      </c>
      <c r="AFM7" s="234">
        <v>3261.1800000000003</v>
      </c>
      <c r="AFN7" s="234">
        <v>0</v>
      </c>
      <c r="AFO7" s="234">
        <v>713.99</v>
      </c>
      <c r="AFP7" s="234">
        <v>1422.82</v>
      </c>
      <c r="AFQ7" s="234">
        <v>0</v>
      </c>
      <c r="AFR7" s="234">
        <v>0</v>
      </c>
      <c r="AFS7" s="234">
        <v>179.53</v>
      </c>
      <c r="AFT7" s="234">
        <v>1018.1600000000001</v>
      </c>
      <c r="AFU7" s="234">
        <v>0</v>
      </c>
      <c r="AFV7" s="234">
        <v>0</v>
      </c>
      <c r="AFW7" s="234">
        <v>331.78999999999996</v>
      </c>
      <c r="AFX7" s="235">
        <v>70990.69</v>
      </c>
      <c r="AFY7" s="234">
        <v>725.12</v>
      </c>
      <c r="AFZ7" s="234">
        <v>2037.2400000000005</v>
      </c>
      <c r="AGA7" s="234">
        <v>1487.7499999999998</v>
      </c>
      <c r="AGB7" s="234">
        <v>3181.54</v>
      </c>
      <c r="AGC7" s="234">
        <v>2569.2399999999993</v>
      </c>
      <c r="AGD7" s="234">
        <v>2453.94</v>
      </c>
      <c r="AGE7" s="234">
        <v>2705.01</v>
      </c>
      <c r="AGF7" s="234">
        <v>2002.33</v>
      </c>
      <c r="AGG7" s="234">
        <v>2223.67</v>
      </c>
      <c r="AGH7" s="234">
        <v>0</v>
      </c>
      <c r="AGI7" s="234">
        <v>1132.1000000000001</v>
      </c>
      <c r="AGJ7" s="234">
        <v>825.93</v>
      </c>
      <c r="AGK7" s="234">
        <v>1463.62</v>
      </c>
      <c r="AGL7" s="234">
        <v>1940.1000000000001</v>
      </c>
      <c r="AGM7" s="234">
        <v>2006.24</v>
      </c>
      <c r="AGN7" s="234">
        <v>2602.9999999999995</v>
      </c>
      <c r="AGO7" s="234">
        <v>2663.43</v>
      </c>
      <c r="AGP7" s="234">
        <v>2878.11</v>
      </c>
      <c r="AGQ7" s="234">
        <v>1316</v>
      </c>
      <c r="AGR7" s="234">
        <v>30.43</v>
      </c>
      <c r="AGS7" s="234">
        <v>750.88999999999987</v>
      </c>
      <c r="AGT7" s="234">
        <v>0</v>
      </c>
      <c r="AGU7" s="234">
        <v>4893.1699999999992</v>
      </c>
      <c r="AGV7" s="234">
        <v>5891.76</v>
      </c>
      <c r="AGW7" s="234">
        <v>3171.7299999999996</v>
      </c>
      <c r="AGX7" s="234">
        <v>2590.64</v>
      </c>
      <c r="AGY7" s="234">
        <v>0</v>
      </c>
      <c r="AGZ7" s="234">
        <v>1894.38</v>
      </c>
      <c r="AHA7" s="234">
        <v>4625.8799999999992</v>
      </c>
      <c r="AHB7" s="234">
        <v>3783.8400000000006</v>
      </c>
      <c r="AHC7" s="234">
        <v>2412.0500000000002</v>
      </c>
      <c r="AHD7" s="235">
        <v>66259.139999999985</v>
      </c>
      <c r="AHE7" s="234">
        <v>2079.37</v>
      </c>
      <c r="AHF7" s="234">
        <v>1253.55</v>
      </c>
      <c r="AHG7" s="234">
        <v>1033.43</v>
      </c>
      <c r="AHH7" s="234">
        <v>1237.2299999999996</v>
      </c>
      <c r="AHI7" s="234">
        <v>2914.73</v>
      </c>
      <c r="AHJ7" s="234">
        <v>1676.2900000000002</v>
      </c>
      <c r="AHK7" s="234">
        <v>1750.2800000000007</v>
      </c>
      <c r="AHL7" s="234">
        <v>3587.31</v>
      </c>
      <c r="AHM7" s="234">
        <v>1283.4000000000001</v>
      </c>
      <c r="AHN7" s="234">
        <v>923.44</v>
      </c>
      <c r="AHO7" s="234">
        <v>4543.2199999999993</v>
      </c>
      <c r="AHP7" s="234">
        <v>2083.96</v>
      </c>
      <c r="AHQ7" s="234">
        <v>1608.7599999999998</v>
      </c>
      <c r="AHR7" s="234">
        <v>2687.7699999999995</v>
      </c>
      <c r="AHS7" s="234">
        <v>3018.18</v>
      </c>
      <c r="AHT7" s="234">
        <v>1144.56</v>
      </c>
      <c r="AHU7" s="234">
        <v>712.55</v>
      </c>
      <c r="AHV7" s="234">
        <v>1710.7299999999998</v>
      </c>
      <c r="AHW7" s="234">
        <v>0</v>
      </c>
      <c r="AHX7" s="234">
        <v>1522.6800000000003</v>
      </c>
      <c r="AHY7" s="234">
        <v>3387.51</v>
      </c>
      <c r="AHZ7" s="234">
        <v>3436.09</v>
      </c>
      <c r="AIA7" s="234">
        <v>4568.6400000000003</v>
      </c>
      <c r="AIB7" s="234">
        <v>3053.5600000000004</v>
      </c>
      <c r="AIC7" s="234">
        <v>946.68000000000006</v>
      </c>
      <c r="AID7" s="234">
        <v>25.74</v>
      </c>
      <c r="AIE7" s="234">
        <v>0</v>
      </c>
      <c r="AIF7" s="234">
        <v>635.72</v>
      </c>
      <c r="AIG7" s="234">
        <v>484.95000000000005</v>
      </c>
      <c r="AIH7" s="234">
        <v>118.03</v>
      </c>
      <c r="AII7" s="234">
        <v>2076.56</v>
      </c>
      <c r="AIJ7" s="235">
        <v>55504.92</v>
      </c>
      <c r="AIK7" s="239">
        <v>1371.25</v>
      </c>
      <c r="AIL7" s="239">
        <v>1849.19</v>
      </c>
      <c r="AIM7" s="239">
        <v>1469.54</v>
      </c>
      <c r="AIN7" s="239">
        <v>990.8</v>
      </c>
      <c r="AIO7" s="239">
        <v>0</v>
      </c>
      <c r="AIP7" s="239">
        <v>0</v>
      </c>
      <c r="AIQ7" s="239">
        <v>1251.0900000000001</v>
      </c>
      <c r="AIR7" s="239">
        <v>845.17</v>
      </c>
      <c r="AIS7" s="239">
        <v>911.38</v>
      </c>
      <c r="AIT7" s="239">
        <v>2158.9800000000005</v>
      </c>
      <c r="AIU7" s="239">
        <v>2270.5100000000002</v>
      </c>
      <c r="AIV7" s="239">
        <v>1392.18</v>
      </c>
      <c r="AIW7" s="239">
        <v>0</v>
      </c>
      <c r="AIX7" s="239">
        <v>0</v>
      </c>
      <c r="AIY7" s="239">
        <v>0</v>
      </c>
      <c r="AIZ7" s="239">
        <v>0</v>
      </c>
      <c r="AJA7" s="239">
        <v>0</v>
      </c>
      <c r="AJB7" s="239">
        <v>0</v>
      </c>
      <c r="AJC7" s="239">
        <v>29.04</v>
      </c>
      <c r="AJD7" s="239">
        <v>0</v>
      </c>
      <c r="AJE7" s="239">
        <v>1725.92</v>
      </c>
      <c r="AJF7" s="239">
        <v>2736.08</v>
      </c>
      <c r="AJG7" s="239">
        <v>1610.7</v>
      </c>
      <c r="AJH7" s="239">
        <v>0</v>
      </c>
      <c r="AJI7" s="239">
        <v>2305.3399999999997</v>
      </c>
      <c r="AJJ7" s="239">
        <v>2246.0500000000002</v>
      </c>
      <c r="AJK7" s="239">
        <v>2669.3199999999997</v>
      </c>
      <c r="AJL7" s="239">
        <v>1661.8899999999999</v>
      </c>
      <c r="AJM7" s="239">
        <v>1761.75</v>
      </c>
      <c r="AJN7" s="239">
        <v>2216.16</v>
      </c>
      <c r="AJO7" s="235">
        <v>33472.340000000004</v>
      </c>
      <c r="AJP7" s="239">
        <v>2432.25</v>
      </c>
      <c r="AJQ7" s="239">
        <v>2084.35</v>
      </c>
      <c r="AJR7" s="239">
        <v>2133.69</v>
      </c>
      <c r="AJS7" s="239">
        <v>2065.7200000000003</v>
      </c>
      <c r="AJT7" s="239">
        <v>2314.61</v>
      </c>
      <c r="AJU7" s="239">
        <v>2509.3900000000008</v>
      </c>
      <c r="AJV7" s="239">
        <v>2794.88</v>
      </c>
      <c r="AJW7" s="239">
        <v>1656.4799999999998</v>
      </c>
      <c r="AJX7" s="239">
        <v>1020.3399999999999</v>
      </c>
      <c r="AJY7" s="239">
        <v>1985.5399999999997</v>
      </c>
      <c r="AJZ7" s="239">
        <v>2353.83</v>
      </c>
      <c r="AKA7" s="239">
        <v>2373.5100000000002</v>
      </c>
      <c r="AKB7" s="239">
        <v>2651.8199999999997</v>
      </c>
      <c r="AKC7" s="239">
        <v>2436.9</v>
      </c>
      <c r="AKD7" s="239">
        <v>2539.34</v>
      </c>
      <c r="AKE7" s="239">
        <v>1252.69</v>
      </c>
      <c r="AKF7" s="239">
        <v>1221.1899999999998</v>
      </c>
      <c r="AKG7" s="239">
        <v>1929.6099999999994</v>
      </c>
      <c r="AKH7" s="239">
        <v>1151.23</v>
      </c>
      <c r="AKI7" s="239">
        <v>1033.6499999999999</v>
      </c>
      <c r="AKJ7" s="239">
        <v>732.34999999999991</v>
      </c>
      <c r="AKK7" s="239">
        <v>966.94999999999993</v>
      </c>
      <c r="AKL7" s="239">
        <v>624.12</v>
      </c>
      <c r="AKM7" s="239">
        <v>1736.02</v>
      </c>
      <c r="AKN7" s="239">
        <v>1029.0700000000002</v>
      </c>
      <c r="AKO7" s="239">
        <v>464.34999999999997</v>
      </c>
      <c r="AKP7" s="239">
        <v>1481.7100000000005</v>
      </c>
      <c r="AKQ7" s="239">
        <v>2456.3599999999997</v>
      </c>
      <c r="AKR7" s="239">
        <v>1488.6399999999999</v>
      </c>
      <c r="AKS7" s="239">
        <v>2704.74</v>
      </c>
      <c r="AKT7" s="239">
        <v>3218.9000000000005</v>
      </c>
      <c r="AKU7" s="235">
        <v>54411.98</v>
      </c>
      <c r="AKV7" s="239">
        <v>554.86</v>
      </c>
      <c r="AKW7" s="239">
        <v>2518.4999999999995</v>
      </c>
      <c r="AKX7" s="239">
        <v>4036.0099999999998</v>
      </c>
      <c r="AKY7" s="239">
        <v>3735.4900000000002</v>
      </c>
      <c r="AKZ7" s="239">
        <v>2220.4300000000003</v>
      </c>
      <c r="ALA7" s="239">
        <v>3153.6299999999997</v>
      </c>
      <c r="ALB7" s="239">
        <v>2572.9300000000003</v>
      </c>
      <c r="ALC7" s="239">
        <v>3188.3200000000006</v>
      </c>
      <c r="ALD7" s="239">
        <v>1285.95</v>
      </c>
      <c r="ALE7" s="239">
        <v>2143.7800000000002</v>
      </c>
      <c r="ALF7" s="239">
        <v>3248.67</v>
      </c>
      <c r="ALG7" s="239">
        <v>1879.43</v>
      </c>
      <c r="ALH7" s="239">
        <v>2827.63</v>
      </c>
      <c r="ALI7" s="239">
        <v>2718.079999999999</v>
      </c>
      <c r="ALJ7" s="239">
        <v>2458.3599999999997</v>
      </c>
      <c r="ALK7" s="239">
        <v>2435.4700000000003</v>
      </c>
      <c r="ALL7" s="239">
        <v>1222.8499999999999</v>
      </c>
      <c r="ALM7" s="239">
        <v>420.61</v>
      </c>
      <c r="ALN7" s="239">
        <v>1178.0300000000002</v>
      </c>
      <c r="ALO7" s="239">
        <v>2138.2000000000003</v>
      </c>
      <c r="ALP7" s="239">
        <v>1093.3100000000002</v>
      </c>
      <c r="ALQ7" s="239">
        <v>2048.7599999999998</v>
      </c>
      <c r="ALR7" s="239">
        <v>1640.83</v>
      </c>
      <c r="ALS7" s="239">
        <v>1780.08</v>
      </c>
      <c r="ALT7" s="239">
        <v>1648.6100000000001</v>
      </c>
      <c r="ALU7" s="239">
        <v>1858.3700000000003</v>
      </c>
      <c r="ALV7" s="239">
        <v>2567.4299999999998</v>
      </c>
      <c r="ALW7" s="239">
        <v>1703.04</v>
      </c>
      <c r="ALX7" s="239">
        <v>1701.09</v>
      </c>
      <c r="ALY7" s="239">
        <v>2236.52</v>
      </c>
      <c r="ALZ7" s="235">
        <v>64215.27</v>
      </c>
      <c r="AMA7" s="239">
        <f>Actual!F151</f>
        <v>0</v>
      </c>
      <c r="AMB7" s="239">
        <f>Actual!G151</f>
        <v>0</v>
      </c>
      <c r="AMC7" s="239">
        <f>Actual!H151</f>
        <v>0</v>
      </c>
      <c r="AMD7" s="239">
        <f>Actual!I151</f>
        <v>0</v>
      </c>
      <c r="AME7" s="239">
        <f>Actual!J151</f>
        <v>1312.8979999999999</v>
      </c>
      <c r="AMF7" s="239">
        <f>Actual!K151</f>
        <v>0</v>
      </c>
      <c r="AMG7" s="239">
        <f>Actual!L151</f>
        <v>0</v>
      </c>
      <c r="AMH7" s="239">
        <f>Actual!M151</f>
        <v>0</v>
      </c>
      <c r="AMI7" s="239">
        <f>Actual!N151</f>
        <v>0</v>
      </c>
      <c r="AMJ7" s="239">
        <f>Actual!O151</f>
        <v>0</v>
      </c>
      <c r="AMK7" s="239">
        <f>Actual!P151</f>
        <v>0</v>
      </c>
      <c r="AML7" s="239">
        <f>Actual!Q151</f>
        <v>0</v>
      </c>
      <c r="AMM7" s="239">
        <f>Actual!R151</f>
        <v>0</v>
      </c>
      <c r="AMN7" s="239">
        <f>Actual!S151</f>
        <v>0</v>
      </c>
      <c r="AMO7" s="239">
        <f>Actual!T151</f>
        <v>0</v>
      </c>
      <c r="AMP7" s="239">
        <f>Actual!U151</f>
        <v>0</v>
      </c>
      <c r="AMQ7" s="239">
        <f>Actual!V151</f>
        <v>0</v>
      </c>
      <c r="AMR7" s="239">
        <f>Actual!W151</f>
        <v>0</v>
      </c>
      <c r="AMS7" s="239">
        <f>Actual!X151</f>
        <v>0</v>
      </c>
      <c r="AMT7" s="239">
        <f>Actual!Y151</f>
        <v>0</v>
      </c>
      <c r="AMU7" s="239">
        <f>Actual!Z151</f>
        <v>0</v>
      </c>
      <c r="AMV7" s="239">
        <f>Actual!AA151</f>
        <v>0</v>
      </c>
      <c r="AMW7" s="239">
        <f>Actual!AB151</f>
        <v>0</v>
      </c>
      <c r="AMX7" s="239">
        <f>Actual!AC151</f>
        <v>0</v>
      </c>
      <c r="AMY7" s="239">
        <f>Actual!AD151</f>
        <v>0</v>
      </c>
      <c r="AMZ7" s="239">
        <f>Actual!AE151</f>
        <v>0</v>
      </c>
      <c r="ANA7" s="239">
        <f>Actual!AF151</f>
        <v>0</v>
      </c>
      <c r="ANB7" s="239">
        <f>Actual!AG151</f>
        <v>0</v>
      </c>
      <c r="ANC7" s="239">
        <f>Actual!AH151</f>
        <v>0</v>
      </c>
      <c r="AND7" s="239">
        <f>Actual!AI151</f>
        <v>0</v>
      </c>
      <c r="ANE7" s="239">
        <f>Actual!AJ151</f>
        <v>0</v>
      </c>
      <c r="ANF7" s="235">
        <f t="shared" ref="ANF7:ANF20" si="2">SUM(AMA7:ANE7)</f>
        <v>1312.8979999999999</v>
      </c>
      <c r="ANG7" s="234">
        <v>1986.79</v>
      </c>
      <c r="ANH7" s="234">
        <v>515.92000000000007</v>
      </c>
      <c r="ANI7" s="234">
        <v>1194.9100000000001</v>
      </c>
      <c r="ANJ7" s="234">
        <v>2245.6499999999996</v>
      </c>
      <c r="ANK7" s="234">
        <v>1584.6799999999998</v>
      </c>
      <c r="ANL7" s="234">
        <v>150.1</v>
      </c>
      <c r="ANM7" s="234">
        <v>1449.65</v>
      </c>
      <c r="ANN7" s="234">
        <v>910.85</v>
      </c>
      <c r="ANO7" s="234">
        <v>658.13</v>
      </c>
      <c r="ANP7" s="234">
        <v>64.22</v>
      </c>
      <c r="ANQ7" s="234">
        <v>950.09999999999991</v>
      </c>
      <c r="ANR7" s="234">
        <v>1012.9200000000001</v>
      </c>
      <c r="ANS7" s="234">
        <v>917.94999999999982</v>
      </c>
      <c r="ANT7" s="234">
        <v>293.02</v>
      </c>
      <c r="ANU7" s="234">
        <v>1051.7299999999998</v>
      </c>
      <c r="ANV7" s="234">
        <v>1812.88</v>
      </c>
      <c r="ANW7" s="234">
        <v>22.96</v>
      </c>
      <c r="ANX7" s="234">
        <v>696.08</v>
      </c>
      <c r="ANY7" s="234">
        <v>1083.69</v>
      </c>
      <c r="ANZ7" s="234">
        <v>1564.26</v>
      </c>
      <c r="AOA7" s="234">
        <v>1419</v>
      </c>
      <c r="AOB7" s="234">
        <v>382.63</v>
      </c>
      <c r="AOC7" s="234">
        <v>847.36</v>
      </c>
      <c r="AOD7" s="234">
        <v>0</v>
      </c>
      <c r="AOE7" s="234">
        <v>609.42000000000007</v>
      </c>
      <c r="AOF7" s="234">
        <v>411.84999999999997</v>
      </c>
      <c r="AOG7" s="234">
        <v>1800.1100000000004</v>
      </c>
      <c r="AOH7" s="234">
        <v>1635.9400000000003</v>
      </c>
      <c r="AOI7" s="235">
        <v>27272.799999999999</v>
      </c>
      <c r="AOJ7" s="234">
        <v>235.21</v>
      </c>
      <c r="AOK7" s="234">
        <v>442.94</v>
      </c>
      <c r="AOL7" s="234">
        <v>1358</v>
      </c>
      <c r="AOM7" s="234">
        <v>1479.65</v>
      </c>
      <c r="AON7" s="234">
        <v>1304.2600000000002</v>
      </c>
      <c r="AOO7" s="234">
        <v>1654.9100000000003</v>
      </c>
      <c r="AOP7" s="234">
        <v>1588.2</v>
      </c>
      <c r="AOQ7" s="234">
        <v>1820.05</v>
      </c>
      <c r="AOR7" s="234">
        <v>2025.1099999999997</v>
      </c>
      <c r="AOS7" s="234">
        <v>1686.78</v>
      </c>
      <c r="AOT7" s="234">
        <v>1696.4199999999996</v>
      </c>
      <c r="AOU7" s="234">
        <v>1770.9</v>
      </c>
      <c r="AOV7" s="234">
        <v>1519.0900000000001</v>
      </c>
      <c r="AOW7" s="234">
        <v>2466.3000000000002</v>
      </c>
      <c r="AOX7" s="234">
        <v>2084.6999999999998</v>
      </c>
      <c r="AOY7" s="234">
        <v>2006.7299999999998</v>
      </c>
      <c r="AOZ7" s="234">
        <v>1702.3599999999997</v>
      </c>
      <c r="APA7" s="234">
        <v>1401.21</v>
      </c>
      <c r="APB7" s="234">
        <v>1278.83</v>
      </c>
      <c r="APC7" s="234">
        <v>2415.92</v>
      </c>
      <c r="APD7" s="234">
        <v>1147.5800000000002</v>
      </c>
      <c r="APE7" s="234">
        <v>0</v>
      </c>
      <c r="APF7" s="234">
        <v>0</v>
      </c>
      <c r="APG7" s="234">
        <v>0</v>
      </c>
      <c r="APH7" s="234">
        <v>0</v>
      </c>
      <c r="API7" s="234">
        <v>0</v>
      </c>
      <c r="APJ7" s="234">
        <v>0</v>
      </c>
      <c r="APK7" s="234">
        <v>0</v>
      </c>
      <c r="APL7" s="234">
        <v>1762.5</v>
      </c>
      <c r="APM7" s="234">
        <v>1496.88</v>
      </c>
      <c r="APN7" s="234">
        <v>0</v>
      </c>
      <c r="APO7" s="235">
        <v>36344.53</v>
      </c>
      <c r="APP7" s="234">
        <v>1848.5100000000002</v>
      </c>
      <c r="APQ7" s="234">
        <v>1324.08</v>
      </c>
      <c r="APR7" s="234">
        <v>932.72</v>
      </c>
      <c r="APS7" s="234">
        <v>829.10999999999967</v>
      </c>
      <c r="APT7" s="234">
        <v>1465.27</v>
      </c>
      <c r="APU7" s="234">
        <v>740.34999999999991</v>
      </c>
      <c r="APV7" s="234">
        <v>1673.5700000000006</v>
      </c>
      <c r="APW7" s="234">
        <v>1844.31</v>
      </c>
      <c r="APX7" s="234">
        <v>1862.6599999999999</v>
      </c>
      <c r="APY7" s="234">
        <v>2059.3500000000004</v>
      </c>
      <c r="APZ7" s="234">
        <v>2386.12</v>
      </c>
      <c r="AQA7" s="234">
        <v>1820.73</v>
      </c>
      <c r="AQB7" s="234">
        <v>1965.5900000000001</v>
      </c>
      <c r="AQC7" s="234">
        <v>1872.3900000000003</v>
      </c>
      <c r="AQD7" s="234">
        <v>1275.72</v>
      </c>
      <c r="AQE7" s="234">
        <v>1353.29</v>
      </c>
      <c r="AQF7" s="234">
        <v>1351.37</v>
      </c>
      <c r="AQG7" s="234">
        <v>1894.6799999999998</v>
      </c>
      <c r="AQH7" s="234">
        <v>1799.31</v>
      </c>
      <c r="AQI7" s="234">
        <v>1235.03</v>
      </c>
      <c r="AQJ7" s="234">
        <v>376.05</v>
      </c>
      <c r="AQK7" s="234">
        <v>0</v>
      </c>
      <c r="AQL7" s="234">
        <v>670.03</v>
      </c>
      <c r="AQM7" s="234">
        <v>940.93000000000006</v>
      </c>
      <c r="AQN7" s="234">
        <v>522.27</v>
      </c>
      <c r="AQO7" s="234">
        <v>1119.4099999999999</v>
      </c>
      <c r="AQP7" s="234">
        <v>802.26999999999987</v>
      </c>
      <c r="AQQ7" s="234">
        <v>397.71</v>
      </c>
      <c r="AQR7" s="234">
        <v>577.67999999999995</v>
      </c>
      <c r="AQS7" s="234">
        <v>1030.23</v>
      </c>
      <c r="AQT7" s="235">
        <f>SUM(APP7:AQS7)</f>
        <v>37970.739999999991</v>
      </c>
      <c r="AQU7" s="234">
        <v>1382.9299999999998</v>
      </c>
      <c r="AQV7" s="234">
        <v>1753.94</v>
      </c>
      <c r="AQW7" s="234">
        <v>1635.04</v>
      </c>
      <c r="AQX7" s="234">
        <v>1318.59</v>
      </c>
      <c r="AQY7" s="234">
        <v>1847.0600000000004</v>
      </c>
      <c r="AQZ7" s="234">
        <v>1771.41</v>
      </c>
      <c r="ARA7" s="234">
        <v>1860.1600000000003</v>
      </c>
      <c r="ARB7" s="234">
        <v>1464.72</v>
      </c>
      <c r="ARC7" s="234">
        <v>1721.54</v>
      </c>
      <c r="ARD7" s="234">
        <v>2599.7200000000003</v>
      </c>
      <c r="ARE7" s="234">
        <v>2295.4399999999996</v>
      </c>
      <c r="ARF7" s="234">
        <v>1959.1799999999998</v>
      </c>
      <c r="ARG7" s="234">
        <v>1897.77</v>
      </c>
      <c r="ARH7" s="234">
        <v>1207.21</v>
      </c>
      <c r="ARI7" s="234">
        <v>1768.6100000000001</v>
      </c>
      <c r="ARJ7" s="234">
        <v>1685.21</v>
      </c>
      <c r="ARK7" s="234">
        <v>1624.7499999999998</v>
      </c>
      <c r="ARL7" s="234">
        <v>2288.9299999999998</v>
      </c>
      <c r="ARM7" s="234">
        <v>2176.34</v>
      </c>
      <c r="ARN7" s="234">
        <v>1852.47</v>
      </c>
      <c r="ARO7" s="234">
        <v>2120.65</v>
      </c>
      <c r="ARP7" s="234">
        <v>1828.71</v>
      </c>
      <c r="ARQ7" s="234">
        <v>1599.56</v>
      </c>
      <c r="ARR7" s="234">
        <v>2231.4100000000003</v>
      </c>
      <c r="ARS7" s="234">
        <v>2370.36</v>
      </c>
      <c r="ART7" s="234">
        <v>2445.25</v>
      </c>
      <c r="ARU7" s="234">
        <v>2373.88</v>
      </c>
      <c r="ARV7" s="234">
        <v>2551.5500000000002</v>
      </c>
      <c r="ARW7" s="234">
        <v>2403.25</v>
      </c>
      <c r="ARX7" s="234">
        <v>1974.0000000000002</v>
      </c>
      <c r="ARY7" s="234">
        <v>1387.0967741935483</v>
      </c>
      <c r="ARZ7" s="235">
        <f>SUM(AQU7:ARY7)</f>
        <v>59396.736774193552</v>
      </c>
      <c r="ASA7" s="234">
        <v>1923.5300000000002</v>
      </c>
      <c r="ASB7" s="234">
        <v>1730.7600000000002</v>
      </c>
      <c r="ASC7" s="234">
        <v>1088.75</v>
      </c>
      <c r="ASD7" s="234">
        <v>1168.9299999999998</v>
      </c>
      <c r="ASE7" s="234">
        <v>377.79</v>
      </c>
      <c r="ASF7" s="234">
        <v>2088.9</v>
      </c>
      <c r="ASG7" s="234">
        <v>1916.7</v>
      </c>
      <c r="ASH7" s="234">
        <v>2143.8899999999994</v>
      </c>
      <c r="ASI7" s="234">
        <v>1886.61</v>
      </c>
      <c r="ASJ7" s="234">
        <v>2435.3000000000002</v>
      </c>
      <c r="ASK7" s="234">
        <v>2077.06</v>
      </c>
      <c r="ASL7" s="234">
        <v>621.32999999999993</v>
      </c>
      <c r="ASM7" s="234">
        <v>744.98</v>
      </c>
      <c r="ASN7" s="234">
        <v>595.14999999999986</v>
      </c>
      <c r="ASO7" s="234">
        <v>1467.45</v>
      </c>
      <c r="ASP7" s="234">
        <v>2358.8500000000004</v>
      </c>
      <c r="ASQ7" s="234">
        <v>2269.79</v>
      </c>
      <c r="ASR7" s="234">
        <v>2709.7299999999996</v>
      </c>
      <c r="ASS7" s="234">
        <v>2390.52</v>
      </c>
      <c r="AST7" s="234">
        <v>1660.04</v>
      </c>
      <c r="ASU7" s="234">
        <v>2002.8399999999997</v>
      </c>
      <c r="ASV7" s="234">
        <v>1861.9899999999998</v>
      </c>
      <c r="ASW7" s="234">
        <v>2109.1800000000003</v>
      </c>
      <c r="ASX7" s="234">
        <v>1874.0900000000001</v>
      </c>
      <c r="ASY7" s="234">
        <v>1736.0100000000002</v>
      </c>
      <c r="ASZ7" s="234">
        <v>567.8599999999999</v>
      </c>
      <c r="ATA7" s="234">
        <v>2142.2000000000003</v>
      </c>
      <c r="ATB7" s="234">
        <v>1206.6599999999999</v>
      </c>
      <c r="ATC7" s="234">
        <v>225.84000000000003</v>
      </c>
      <c r="ATD7" s="234">
        <v>1128.45</v>
      </c>
      <c r="ATE7" s="235">
        <v>48511.179999999993</v>
      </c>
      <c r="ATF7" s="234">
        <v>1584.38</v>
      </c>
      <c r="ATG7" s="234">
        <v>957.99</v>
      </c>
      <c r="ATH7" s="234">
        <v>455.96921568627454</v>
      </c>
      <c r="ATI7" s="234">
        <v>1480.04</v>
      </c>
      <c r="ATJ7" s="234">
        <v>1416.9200000000003</v>
      </c>
      <c r="ATK7" s="234">
        <v>289.54000000000002</v>
      </c>
      <c r="ATL7" s="234">
        <v>29.39</v>
      </c>
      <c r="ATM7" s="234">
        <v>845.73</v>
      </c>
      <c r="ATN7" s="234">
        <v>1984.08</v>
      </c>
      <c r="ATO7" s="234">
        <v>2177.9300000000003</v>
      </c>
      <c r="ATP7" s="234">
        <v>1957.1899999999998</v>
      </c>
      <c r="ATQ7" s="234">
        <v>2472.92</v>
      </c>
      <c r="ATR7" s="234">
        <v>1684.8</v>
      </c>
      <c r="ATS7" s="234">
        <v>1214.71</v>
      </c>
      <c r="ATT7" s="234">
        <v>2129.84</v>
      </c>
      <c r="ATU7" s="234">
        <v>2432.73</v>
      </c>
      <c r="ATV7" s="234">
        <v>1965.5</v>
      </c>
      <c r="ATW7" s="234">
        <v>2243.42</v>
      </c>
      <c r="ATX7" s="234">
        <v>85.73</v>
      </c>
      <c r="ATY7" s="234">
        <v>1377.42</v>
      </c>
      <c r="ATZ7" s="234">
        <v>2018.1599999999999</v>
      </c>
      <c r="AUA7" s="234">
        <v>2653.76</v>
      </c>
      <c r="AUB7" s="234">
        <v>1856.09</v>
      </c>
      <c r="AUC7" s="234">
        <v>2259.2200000000003</v>
      </c>
      <c r="AUD7" s="234">
        <v>1959.17</v>
      </c>
      <c r="AUE7" s="234">
        <v>1671.8999999999999</v>
      </c>
      <c r="AUF7" s="234">
        <v>1487.86</v>
      </c>
      <c r="AUG7" s="234">
        <v>1433.6399999999999</v>
      </c>
      <c r="AUH7" s="234">
        <v>3393.9000000000005</v>
      </c>
      <c r="AUI7" s="234">
        <v>2473.23</v>
      </c>
      <c r="AUJ7" s="234">
        <v>2176.83</v>
      </c>
      <c r="AUK7" s="235">
        <v>52169.989215686277</v>
      </c>
      <c r="AUL7" s="239">
        <v>1623.37</v>
      </c>
      <c r="AUM7" s="239">
        <v>2580.0500000000002</v>
      </c>
      <c r="AUN7" s="239">
        <v>2413.62</v>
      </c>
      <c r="AUO7" s="239">
        <v>1745.84</v>
      </c>
      <c r="AUP7" s="239">
        <v>1844.36</v>
      </c>
      <c r="AUQ7" s="239">
        <v>2226.4899999999998</v>
      </c>
      <c r="AUR7" s="239">
        <v>2206.2200000000003</v>
      </c>
      <c r="AUS7" s="239">
        <v>2322.16</v>
      </c>
      <c r="AUT7" s="239">
        <v>1171.81</v>
      </c>
      <c r="AUU7" s="239">
        <v>2119.89</v>
      </c>
      <c r="AUV7" s="239">
        <v>1696.78</v>
      </c>
      <c r="AUW7" s="239">
        <v>715.56</v>
      </c>
      <c r="AUX7" s="239">
        <v>2396.14</v>
      </c>
      <c r="AUY7" s="239">
        <v>2401.9299999999998</v>
      </c>
      <c r="AUZ7" s="239">
        <v>2263.0500000000002</v>
      </c>
      <c r="AVA7" s="239">
        <v>2188.9</v>
      </c>
      <c r="AVB7" s="239">
        <v>860.61999999999989</v>
      </c>
      <c r="AVC7" s="239">
        <v>1751.3999999999999</v>
      </c>
      <c r="AVD7" s="239">
        <v>1362.2100000000003</v>
      </c>
      <c r="AVE7" s="239">
        <v>2197.19</v>
      </c>
      <c r="AVF7" s="239">
        <v>2116.7299999999996</v>
      </c>
      <c r="AVG7" s="239">
        <v>1643.53</v>
      </c>
      <c r="AVH7" s="239">
        <v>2356.36</v>
      </c>
      <c r="AVI7" s="239">
        <v>2939.7299999999996</v>
      </c>
      <c r="AVJ7" s="239">
        <v>2708.41</v>
      </c>
      <c r="AVK7" s="239">
        <v>2418.71</v>
      </c>
      <c r="AVL7" s="239">
        <v>2674.4500000000003</v>
      </c>
      <c r="AVM7" s="239">
        <v>2811.7300000000005</v>
      </c>
      <c r="AVN7" s="239">
        <v>2579.6800000000003</v>
      </c>
      <c r="AVO7" s="239">
        <v>3692.8500000000004</v>
      </c>
      <c r="AVP7" s="239">
        <v>2668.58</v>
      </c>
      <c r="AVQ7" s="235">
        <f t="shared" ref="AVQ7:AVQ20" si="3">SUM(AUL7:AVP7)</f>
        <v>66698.350000000006</v>
      </c>
      <c r="AVR7" s="239">
        <v>2487.3100000000004</v>
      </c>
      <c r="AVS7" s="239">
        <v>3067.8200000000006</v>
      </c>
      <c r="AVT7" s="239">
        <v>2698.8199999999997</v>
      </c>
      <c r="AVU7" s="239">
        <v>2327.37</v>
      </c>
      <c r="AVV7" s="239">
        <v>3069.33</v>
      </c>
      <c r="AVW7" s="239">
        <v>2620.69</v>
      </c>
      <c r="AVX7" s="239">
        <v>2195.39</v>
      </c>
      <c r="AVY7" s="239">
        <v>2563.9700000000003</v>
      </c>
      <c r="AVZ7" s="239">
        <v>2184.21</v>
      </c>
      <c r="AWA7" s="239">
        <v>2677.0600000000004</v>
      </c>
      <c r="AWB7" s="239">
        <v>2613.2800000000002</v>
      </c>
      <c r="AWC7" s="239">
        <v>2046.3200000000002</v>
      </c>
      <c r="AWD7" s="239">
        <v>1886.3600000000001</v>
      </c>
      <c r="AWE7" s="239">
        <v>2367.09</v>
      </c>
      <c r="AWF7" s="239">
        <v>2325.88</v>
      </c>
      <c r="AWG7" s="239">
        <v>1632.83</v>
      </c>
      <c r="AWH7" s="239">
        <v>1465.9199999999998</v>
      </c>
      <c r="AWI7" s="239">
        <v>2202.67</v>
      </c>
      <c r="AWJ7" s="239">
        <v>2313.1999999999998</v>
      </c>
      <c r="AWK7" s="239">
        <v>2795.52</v>
      </c>
      <c r="AWL7" s="239">
        <v>2945.33</v>
      </c>
      <c r="AWM7" s="239">
        <v>2645.5199999999995</v>
      </c>
      <c r="AWN7" s="239">
        <v>1872.3100000000002</v>
      </c>
      <c r="AWO7" s="239">
        <v>2316.2800000000002</v>
      </c>
      <c r="AWP7" s="239">
        <v>1232.9899999999998</v>
      </c>
      <c r="AWQ7" s="239">
        <v>2851.57</v>
      </c>
      <c r="AWR7" s="239">
        <v>1831</v>
      </c>
      <c r="AWS7" s="239">
        <v>2849.95</v>
      </c>
      <c r="AWT7" s="239">
        <v>1964.5099999999998</v>
      </c>
      <c r="AWU7" s="239">
        <v>911.65</v>
      </c>
      <c r="AWV7" s="235">
        <v>68962.14999999998</v>
      </c>
      <c r="AWW7" s="239">
        <v>786.44</v>
      </c>
      <c r="AWX7" s="239">
        <v>983.20000000000016</v>
      </c>
      <c r="AWY7" s="239">
        <v>2468.2299999999996</v>
      </c>
      <c r="AWZ7" s="239">
        <v>3374.09</v>
      </c>
      <c r="AXA7" s="239">
        <v>2739.5699999999997</v>
      </c>
      <c r="AXB7" s="239">
        <v>2222.59</v>
      </c>
      <c r="AXC7" s="239">
        <v>2534.19</v>
      </c>
      <c r="AXD7" s="239">
        <v>3096.86</v>
      </c>
      <c r="AXE7" s="239">
        <v>2487.41</v>
      </c>
      <c r="AXF7" s="239">
        <v>1981</v>
      </c>
      <c r="AXG7" s="239">
        <v>1866.1100000000001</v>
      </c>
      <c r="AXH7" s="239">
        <v>2082.3900000000003</v>
      </c>
      <c r="AXI7" s="239">
        <v>1535.23</v>
      </c>
      <c r="AXJ7" s="239">
        <v>2212.31</v>
      </c>
      <c r="AXK7" s="239">
        <v>2225.7000000000003</v>
      </c>
      <c r="AXL7" s="239">
        <v>2634.2799999999997</v>
      </c>
      <c r="AXM7" s="239">
        <v>3353.08</v>
      </c>
      <c r="AXN7" s="239">
        <v>2996.15</v>
      </c>
      <c r="AXO7" s="239">
        <v>3114.65</v>
      </c>
      <c r="AXP7" s="239">
        <v>2515.67</v>
      </c>
      <c r="AXQ7" s="239">
        <v>2302.0700000000002</v>
      </c>
      <c r="AXR7" s="239">
        <v>2693.8300000000004</v>
      </c>
      <c r="AXS7" s="239">
        <v>3017.38</v>
      </c>
      <c r="AXT7" s="239">
        <v>3347.5600000000004</v>
      </c>
      <c r="AXU7" s="239">
        <v>2125.04</v>
      </c>
      <c r="AXV7" s="239">
        <v>2345.8500000000004</v>
      </c>
      <c r="AXW7" s="239">
        <v>2849.15</v>
      </c>
      <c r="AXX7" s="239">
        <v>2781.58</v>
      </c>
      <c r="AXY7" s="239">
        <v>2188.7599999999998</v>
      </c>
      <c r="AXZ7" s="239">
        <v>1720.2</v>
      </c>
      <c r="AYA7" s="239">
        <v>1831.29</v>
      </c>
      <c r="AYB7" s="235">
        <v>74411.859999999986</v>
      </c>
      <c r="AYC7" s="239">
        <v>2319.4399999999996</v>
      </c>
      <c r="AYD7" s="239">
        <v>1669.15</v>
      </c>
      <c r="AYE7" s="239">
        <v>1856.3299999999997</v>
      </c>
      <c r="AYF7" s="239">
        <v>805.8599999999999</v>
      </c>
      <c r="AYG7" s="239">
        <v>3363.75</v>
      </c>
      <c r="AYH7" s="239">
        <v>3037.27</v>
      </c>
      <c r="AYI7" s="239">
        <v>3703.46</v>
      </c>
      <c r="AYJ7" s="239">
        <v>2680.26</v>
      </c>
      <c r="AYK7" s="239">
        <v>3006.6900000000005</v>
      </c>
      <c r="AYL7" s="239">
        <v>2142.62</v>
      </c>
      <c r="AYM7" s="239">
        <v>3318.4400000000005</v>
      </c>
      <c r="AYN7" s="239">
        <v>2003.3000000000002</v>
      </c>
      <c r="AYO7" s="239">
        <v>1714.83</v>
      </c>
      <c r="AYP7" s="239">
        <v>2165.19</v>
      </c>
      <c r="AYQ7" s="239">
        <v>2118.7800000000007</v>
      </c>
      <c r="AYR7" s="239">
        <v>1581.4500000000003</v>
      </c>
      <c r="AYS7" s="239">
        <v>896.2600000000001</v>
      </c>
      <c r="AYT7" s="239">
        <v>883.5</v>
      </c>
      <c r="AYU7" s="239">
        <v>1172.3499999999999</v>
      </c>
      <c r="AYV7" s="239">
        <v>1682.15</v>
      </c>
      <c r="AYW7" s="239">
        <v>2532.5199999999995</v>
      </c>
      <c r="AYX7" s="239">
        <v>1408.1900000000003</v>
      </c>
      <c r="AYY7" s="239">
        <v>1585.27</v>
      </c>
      <c r="AYZ7" s="239">
        <v>945.43999999999983</v>
      </c>
      <c r="AZA7" s="239">
        <v>2088.96</v>
      </c>
      <c r="AZB7" s="239">
        <v>1105.21</v>
      </c>
      <c r="AZC7" s="239">
        <v>1026.6500000000001</v>
      </c>
      <c r="AZD7" s="239">
        <v>457.89000000000004</v>
      </c>
      <c r="AZE7" s="239">
        <v>1403.7800000000002</v>
      </c>
      <c r="AZF7" s="239">
        <v>1753.0100000000002</v>
      </c>
      <c r="AZG7" s="235">
        <v>56427.999999999993</v>
      </c>
      <c r="AZH7" s="239">
        <f>Actual!F151</f>
        <v>0</v>
      </c>
      <c r="AZI7" s="239">
        <f>Actual!G151</f>
        <v>0</v>
      </c>
      <c r="AZJ7" s="239">
        <f>Actual!H151</f>
        <v>0</v>
      </c>
      <c r="AZK7" s="239">
        <f>Actual!I151</f>
        <v>0</v>
      </c>
      <c r="AZL7" s="239">
        <f>Actual!J151</f>
        <v>1312.8979999999999</v>
      </c>
      <c r="AZM7" s="239">
        <f>Actual!K151</f>
        <v>0</v>
      </c>
      <c r="AZN7" s="239">
        <f>Actual!L151</f>
        <v>0</v>
      </c>
      <c r="AZO7" s="239">
        <f>Actual!M151</f>
        <v>0</v>
      </c>
      <c r="AZP7" s="239">
        <f>Actual!N151</f>
        <v>0</v>
      </c>
      <c r="AZQ7" s="239">
        <f>Actual!O151</f>
        <v>0</v>
      </c>
      <c r="AZR7" s="239">
        <f>Actual!P151</f>
        <v>0</v>
      </c>
      <c r="AZS7" s="239">
        <f>Actual!Q151</f>
        <v>0</v>
      </c>
      <c r="AZT7" s="239">
        <f>Actual!R151</f>
        <v>0</v>
      </c>
      <c r="AZU7" s="239">
        <f>Actual!S151</f>
        <v>0</v>
      </c>
      <c r="AZV7" s="239">
        <f>Actual!T151</f>
        <v>0</v>
      </c>
      <c r="AZW7" s="239">
        <f>Actual!U151</f>
        <v>0</v>
      </c>
      <c r="AZX7" s="239">
        <f>Actual!V151</f>
        <v>0</v>
      </c>
      <c r="AZY7" s="239">
        <f>Actual!W151</f>
        <v>0</v>
      </c>
      <c r="AZZ7" s="239">
        <f>Actual!X151</f>
        <v>0</v>
      </c>
      <c r="BAA7" s="239">
        <f>Actual!Y151</f>
        <v>0</v>
      </c>
      <c r="BAB7" s="239">
        <f>Actual!Z151</f>
        <v>0</v>
      </c>
      <c r="BAC7" s="239">
        <f>Actual!AA151</f>
        <v>0</v>
      </c>
      <c r="BAD7" s="239">
        <f>Actual!AB151</f>
        <v>0</v>
      </c>
      <c r="BAE7" s="239">
        <f>Actual!AC151</f>
        <v>0</v>
      </c>
      <c r="BAF7" s="239">
        <f>Actual!AD151</f>
        <v>0</v>
      </c>
      <c r="BAG7" s="239">
        <f>Actual!AE151</f>
        <v>0</v>
      </c>
      <c r="BAH7" s="239">
        <f>Actual!AF151</f>
        <v>0</v>
      </c>
      <c r="BAI7" s="239">
        <f>Actual!AG151</f>
        <v>0</v>
      </c>
      <c r="BAJ7" s="239">
        <f>Actual!AH151</f>
        <v>0</v>
      </c>
      <c r="BAK7" s="239">
        <f>Actual!AI151</f>
        <v>0</v>
      </c>
      <c r="BAL7" s="239">
        <f>Actual!AJ151</f>
        <v>0</v>
      </c>
      <c r="BAM7" s="235">
        <f>SUM(AZH7:BAL7)</f>
        <v>1312.8979999999999</v>
      </c>
    </row>
    <row r="8" spans="2:1392">
      <c r="B8" s="253" t="s">
        <v>90</v>
      </c>
      <c r="C8" s="234">
        <f>Actual!F158/1000</f>
        <v>156.86427269199999</v>
      </c>
      <c r="D8" s="234">
        <f>Actual!G158/1000</f>
        <v>156.86427269199999</v>
      </c>
      <c r="E8" s="234">
        <v>1</v>
      </c>
      <c r="F8" s="234">
        <f>Actual!I158/1000</f>
        <v>156.86427269199999</v>
      </c>
      <c r="G8" s="234">
        <f>Actual!J158/1000</f>
        <v>158.17717069199998</v>
      </c>
      <c r="H8" s="234">
        <f>Actual!K158/1000</f>
        <v>158.17717069199998</v>
      </c>
      <c r="I8" s="234">
        <f>Actual!L158/1000</f>
        <v>158.17717069199998</v>
      </c>
      <c r="J8" s="234">
        <f>Actual!M158/1000</f>
        <v>158.17717069199998</v>
      </c>
      <c r="K8" s="234">
        <f>Actual!N158/1000</f>
        <v>158.17717069199998</v>
      </c>
      <c r="L8" s="234">
        <f>Actual!O158/1000</f>
        <v>158.17717069199998</v>
      </c>
      <c r="M8" s="234">
        <f>Actual!P158/1000</f>
        <v>158.17717069199998</v>
      </c>
      <c r="N8" s="234">
        <f>Actual!Q158/1000</f>
        <v>158.17717069199998</v>
      </c>
      <c r="O8" s="234">
        <f>Actual!R158/1000</f>
        <v>158.17717069199998</v>
      </c>
      <c r="P8" s="234">
        <f>Actual!S158/1000</f>
        <v>158.17717069199998</v>
      </c>
      <c r="Q8" s="234">
        <f>Actual!T158/1000</f>
        <v>158.17717069199998</v>
      </c>
      <c r="R8" s="234">
        <f>Actual!U158/1000</f>
        <v>158.17717069199998</v>
      </c>
      <c r="S8" s="234">
        <f>Actual!V158/1000</f>
        <v>158.17717069199998</v>
      </c>
      <c r="T8" s="234">
        <f>Actual!W158/1000</f>
        <v>158.17717069199998</v>
      </c>
      <c r="U8" s="234">
        <f>Actual!X158/1000</f>
        <v>158.17717069199998</v>
      </c>
      <c r="V8" s="234">
        <f>Actual!Y158/1000</f>
        <v>158.17717069199998</v>
      </c>
      <c r="W8" s="234">
        <f>Actual!Z158/1000</f>
        <v>158.17717069199998</v>
      </c>
      <c r="X8" s="234">
        <f>Actual!AA158/1000</f>
        <v>158.17717069199998</v>
      </c>
      <c r="Y8" s="234">
        <f>Actual!AB158/1000</f>
        <v>158.17717069199998</v>
      </c>
      <c r="Z8" s="234">
        <f>Actual!AC158/1000</f>
        <v>158.17717069199998</v>
      </c>
      <c r="AA8" s="234">
        <f>Actual!AD158/1000</f>
        <v>158.17717069199998</v>
      </c>
      <c r="AB8" s="234">
        <f>Actual!AE158/1000</f>
        <v>158.17717069199998</v>
      </c>
      <c r="AC8" s="234">
        <f>Actual!AF158/1000</f>
        <v>158.17717069199998</v>
      </c>
      <c r="AD8" s="234">
        <f>Actual!AG158/1000</f>
        <v>158.17717069199998</v>
      </c>
      <c r="AE8" s="234">
        <f>Actual!AH158/1000</f>
        <v>158.17717069199998</v>
      </c>
      <c r="AF8" s="234">
        <f>Actual!AI158/1000</f>
        <v>158.17717069199998</v>
      </c>
      <c r="AG8" s="234">
        <f>Actual!AJ158/1000</f>
        <v>158.17717069199998</v>
      </c>
      <c r="AH8" s="235">
        <f>AG8</f>
        <v>158.17717069199998</v>
      </c>
      <c r="AI8" s="234">
        <v>6044.4080000000004</v>
      </c>
      <c r="AJ8" s="234">
        <v>6183.1080000000002</v>
      </c>
      <c r="AK8" s="234">
        <v>6280.0280000000002</v>
      </c>
      <c r="AL8" s="234">
        <v>6332.2080000000005</v>
      </c>
      <c r="AM8" s="234">
        <v>6525.3080000000009</v>
      </c>
      <c r="AN8" s="234">
        <v>6525.3080000000009</v>
      </c>
      <c r="AO8" s="234">
        <v>6707.1380000000008</v>
      </c>
      <c r="AP8" s="234">
        <v>6707.1380000000008</v>
      </c>
      <c r="AQ8" s="234">
        <v>6738.1780000000008</v>
      </c>
      <c r="AR8" s="234">
        <v>6829.7580000000007</v>
      </c>
      <c r="AS8" s="234">
        <v>7138.1680000000006</v>
      </c>
      <c r="AT8" s="234">
        <v>6443.0080000000007</v>
      </c>
      <c r="AU8" s="234">
        <v>2846.2680000000005</v>
      </c>
      <c r="AV8" s="234">
        <v>2846.2680000000005</v>
      </c>
      <c r="AW8" s="234">
        <v>2846.2680000000005</v>
      </c>
      <c r="AX8" s="234">
        <v>2846.2680000000005</v>
      </c>
      <c r="AY8" s="234">
        <v>2846.2680000000005</v>
      </c>
      <c r="AZ8" s="234">
        <v>2846.2680000000005</v>
      </c>
      <c r="BA8" s="234">
        <v>2981.4480000000003</v>
      </c>
      <c r="BB8" s="234">
        <v>3241.8580000000002</v>
      </c>
      <c r="BC8" s="234">
        <v>3842.7780000000002</v>
      </c>
      <c r="BD8" s="234">
        <v>3842.7780000000002</v>
      </c>
      <c r="BE8" s="234">
        <v>3842.7780000000002</v>
      </c>
      <c r="BF8" s="234">
        <v>4120.9780000000001</v>
      </c>
      <c r="BG8" s="234">
        <v>6225.7480000000005</v>
      </c>
      <c r="BH8" s="234">
        <v>6225.7480000000005</v>
      </c>
      <c r="BI8" s="234">
        <v>6225.7480000000005</v>
      </c>
      <c r="BJ8" s="234">
        <v>6225.7480000000005</v>
      </c>
      <c r="BK8" s="235">
        <f>BJ8</f>
        <v>6225.7480000000005</v>
      </c>
      <c r="BL8" s="234">
        <f>BI8+(BL7-BL6)-BL9</f>
        <v>7063.7980000000007</v>
      </c>
      <c r="BM8" s="234">
        <f t="shared" ref="BM8:CP8" si="4">BL8+BM10-BM9</f>
        <v>7380.8680000000004</v>
      </c>
      <c r="BN8" s="234">
        <f t="shared" si="4"/>
        <v>7639.6580000000004</v>
      </c>
      <c r="BO8" s="234">
        <f t="shared" si="4"/>
        <v>7639.6580000000004</v>
      </c>
      <c r="BP8" s="234">
        <f t="shared" si="4"/>
        <v>7639.6580000000004</v>
      </c>
      <c r="BQ8" s="234">
        <f t="shared" si="4"/>
        <v>7639.6580000000004</v>
      </c>
      <c r="BR8" s="234">
        <f t="shared" si="4"/>
        <v>7664.2980000000007</v>
      </c>
      <c r="BS8" s="234">
        <f t="shared" si="4"/>
        <v>7664.2980000000007</v>
      </c>
      <c r="BT8" s="234">
        <f t="shared" si="4"/>
        <v>7664.2980000000007</v>
      </c>
      <c r="BU8" s="234">
        <f t="shared" si="4"/>
        <v>7664.2980000000007</v>
      </c>
      <c r="BV8" s="234">
        <f t="shared" si="4"/>
        <v>7664.2980000000007</v>
      </c>
      <c r="BW8" s="234">
        <f t="shared" si="4"/>
        <v>7664.2980000000007</v>
      </c>
      <c r="BX8" s="234">
        <f t="shared" si="4"/>
        <v>7664.2980000000007</v>
      </c>
      <c r="BY8" s="234">
        <f t="shared" si="4"/>
        <v>8030.1180000000004</v>
      </c>
      <c r="BZ8" s="234">
        <f t="shared" si="4"/>
        <v>8030.1180000000004</v>
      </c>
      <c r="CA8" s="234">
        <f t="shared" si="4"/>
        <v>8030.1180000000004</v>
      </c>
      <c r="CB8" s="234">
        <f t="shared" si="4"/>
        <v>8030.1180000000004</v>
      </c>
      <c r="CC8" s="234">
        <f t="shared" si="4"/>
        <v>8270.8580000000002</v>
      </c>
      <c r="CD8" s="234">
        <f t="shared" si="4"/>
        <v>8270.8580000000002</v>
      </c>
      <c r="CE8" s="234">
        <f t="shared" si="4"/>
        <v>8357.7579999999998</v>
      </c>
      <c r="CF8" s="234">
        <f t="shared" si="4"/>
        <v>8357.7579999999998</v>
      </c>
      <c r="CG8" s="234">
        <f t="shared" si="4"/>
        <v>8357.7579999999998</v>
      </c>
      <c r="CH8" s="234">
        <f t="shared" si="4"/>
        <v>8357.7579999999998</v>
      </c>
      <c r="CI8" s="234">
        <f t="shared" si="4"/>
        <v>8357.7579999999998</v>
      </c>
      <c r="CJ8" s="234">
        <f t="shared" si="4"/>
        <v>8357.7579999999998</v>
      </c>
      <c r="CK8" s="234">
        <f t="shared" si="4"/>
        <v>8357.7579999999998</v>
      </c>
      <c r="CL8" s="234">
        <f t="shared" si="4"/>
        <v>8357.7579999999998</v>
      </c>
      <c r="CM8" s="234">
        <f t="shared" si="4"/>
        <v>8357.7579999999998</v>
      </c>
      <c r="CN8" s="234">
        <f t="shared" si="4"/>
        <v>8708.0879999999997</v>
      </c>
      <c r="CO8" s="234">
        <f t="shared" si="4"/>
        <v>8838.1679999999997</v>
      </c>
      <c r="CP8" s="234">
        <f t="shared" si="4"/>
        <v>8838.1679999999997</v>
      </c>
      <c r="CQ8" s="235"/>
      <c r="CR8" s="234">
        <v>3233.1320000000001</v>
      </c>
      <c r="CS8" s="234">
        <v>3233.1320000000001</v>
      </c>
      <c r="CT8" s="234">
        <v>3233.1320000000001</v>
      </c>
      <c r="CU8" s="234">
        <v>3233.1320000000001</v>
      </c>
      <c r="CV8" s="234">
        <v>3233.1320000000001</v>
      </c>
      <c r="CW8" s="234">
        <v>3233.1320000000001</v>
      </c>
      <c r="CX8" s="234">
        <v>3233.1320000000001</v>
      </c>
      <c r="CY8" s="234">
        <v>3233.1320000000001</v>
      </c>
      <c r="CZ8" s="234">
        <v>3233.1320000000001</v>
      </c>
      <c r="DA8" s="234">
        <v>3233.1320000000001</v>
      </c>
      <c r="DB8" s="234">
        <v>3233.1320000000001</v>
      </c>
      <c r="DC8" s="234">
        <v>3233.1320000000001</v>
      </c>
      <c r="DD8" s="234">
        <v>3233.1320000000001</v>
      </c>
      <c r="DE8" s="234">
        <v>3233.1320000000001</v>
      </c>
      <c r="DF8" s="234">
        <v>3233.1320000000001</v>
      </c>
      <c r="DG8" s="234">
        <v>3233.1320000000001</v>
      </c>
      <c r="DH8" s="234">
        <v>3233.1320000000001</v>
      </c>
      <c r="DI8" s="234">
        <v>3233.1320000000001</v>
      </c>
      <c r="DJ8" s="234">
        <v>3233.1320000000001</v>
      </c>
      <c r="DK8" s="234">
        <v>3233.1320000000001</v>
      </c>
      <c r="DL8" s="234">
        <v>3233.1320000000001</v>
      </c>
      <c r="DM8" s="234">
        <v>3233.1320000000001</v>
      </c>
      <c r="DN8" s="234">
        <v>3233.1320000000001</v>
      </c>
      <c r="DO8" s="234">
        <v>3233.1320000000001</v>
      </c>
      <c r="DP8" s="234">
        <v>3233.1320000000001</v>
      </c>
      <c r="DQ8" s="234">
        <v>3233.1320000000001</v>
      </c>
      <c r="DR8" s="234">
        <v>3233.1320000000001</v>
      </c>
      <c r="DS8" s="234">
        <v>3233.1320000000001</v>
      </c>
      <c r="DT8" s="234">
        <v>3233.1320000000001</v>
      </c>
      <c r="DU8" s="234">
        <v>3233.1320000000001</v>
      </c>
      <c r="DV8" s="234">
        <v>0</v>
      </c>
      <c r="DW8" s="235"/>
      <c r="DX8" s="234">
        <v>9073.3640000000014</v>
      </c>
      <c r="DY8" s="234">
        <v>9073.3640000000014</v>
      </c>
      <c r="DZ8" s="234">
        <v>9073.3640000000014</v>
      </c>
      <c r="EA8" s="234">
        <v>9073.3640000000014</v>
      </c>
      <c r="EB8" s="234">
        <v>9125.1740000000009</v>
      </c>
      <c r="EC8" s="234">
        <v>9125.1740000000009</v>
      </c>
      <c r="ED8" s="234">
        <v>9125.1740000000009</v>
      </c>
      <c r="EE8" s="234">
        <v>9125.1740000000009</v>
      </c>
      <c r="EF8" s="234">
        <v>9125.1740000000009</v>
      </c>
      <c r="EG8" s="234">
        <v>9241.0540000000001</v>
      </c>
      <c r="EH8" s="234">
        <v>9241.0540000000001</v>
      </c>
      <c r="EI8" s="234">
        <v>7985.9740000000002</v>
      </c>
      <c r="EJ8" s="234">
        <v>6995.8940000000002</v>
      </c>
      <c r="EK8" s="234">
        <v>6035.8240000000005</v>
      </c>
      <c r="EL8" s="234">
        <v>6219.8340000000007</v>
      </c>
      <c r="EM8" s="234">
        <v>5651.2540000000008</v>
      </c>
      <c r="EN8" s="234">
        <v>3823.6840000000011</v>
      </c>
      <c r="EO8" s="234">
        <v>3000.4640000000009</v>
      </c>
      <c r="EP8" s="234">
        <v>1890</v>
      </c>
      <c r="EQ8" s="234">
        <v>310.40000000000009</v>
      </c>
      <c r="ER8" s="234">
        <v>26.099999999999682</v>
      </c>
      <c r="ES8" s="234">
        <v>26.099999999999682</v>
      </c>
      <c r="ET8" s="234">
        <v>26.099999999999682</v>
      </c>
      <c r="EU8" s="234">
        <v>26.099999999999682</v>
      </c>
      <c r="EV8" s="234">
        <v>246.84999999999968</v>
      </c>
      <c r="EW8" s="234">
        <v>246.84999999999968</v>
      </c>
      <c r="EX8" s="234">
        <v>246.84999999999968</v>
      </c>
      <c r="EY8" s="234">
        <v>246.84999999999968</v>
      </c>
      <c r="EZ8" s="234">
        <v>246.84999999999968</v>
      </c>
      <c r="FA8" s="234">
        <v>1884.3799999999997</v>
      </c>
      <c r="FB8" s="234">
        <v>1884.3799999999997</v>
      </c>
      <c r="FC8" s="235"/>
      <c r="FD8" s="234">
        <v>2171.5529999999999</v>
      </c>
      <c r="FE8" s="234">
        <v>2171.5529999999999</v>
      </c>
      <c r="FF8" s="234">
        <v>2171.5529999999999</v>
      </c>
      <c r="FG8" s="234">
        <v>2171.5529999999999</v>
      </c>
      <c r="FH8" s="234">
        <v>2171.5529999999999</v>
      </c>
      <c r="FI8" s="234">
        <v>2171.5529999999999</v>
      </c>
      <c r="FJ8" s="234">
        <v>2171.5529999999999</v>
      </c>
      <c r="FK8" s="234">
        <v>2171.5529999999999</v>
      </c>
      <c r="FL8" s="234">
        <v>2171.5529999999999</v>
      </c>
      <c r="FM8" s="234">
        <v>2171.5529999999999</v>
      </c>
      <c r="FN8" s="234">
        <v>2171.5529999999999</v>
      </c>
      <c r="FO8" s="234">
        <v>2171.5529999999999</v>
      </c>
      <c r="FP8" s="234">
        <v>2171.5529999999999</v>
      </c>
      <c r="FQ8" s="234">
        <v>2171.5529999999999</v>
      </c>
      <c r="FR8" s="234">
        <v>2171.5529999999999</v>
      </c>
      <c r="FS8" s="234">
        <v>2171.5529999999999</v>
      </c>
      <c r="FT8" s="234">
        <v>2171.5529999999999</v>
      </c>
      <c r="FU8" s="234">
        <v>2171.5529999999999</v>
      </c>
      <c r="FV8" s="234">
        <v>2171.5529999999999</v>
      </c>
      <c r="FW8" s="234">
        <v>2171.5529999999999</v>
      </c>
      <c r="FX8" s="234">
        <v>2171.5529999999999</v>
      </c>
      <c r="FY8" s="234">
        <v>2171.5529999999999</v>
      </c>
      <c r="FZ8" s="234">
        <v>2171.5529999999999</v>
      </c>
      <c r="GA8" s="234">
        <v>2171.5529999999999</v>
      </c>
      <c r="GB8" s="234">
        <v>2171.5529999999999</v>
      </c>
      <c r="GC8" s="234">
        <v>2171.5529999999999</v>
      </c>
      <c r="GD8" s="234">
        <v>2409.5429999999997</v>
      </c>
      <c r="GE8" s="234">
        <v>2409.5429999999997</v>
      </c>
      <c r="GF8" s="234">
        <v>2409.5429999999997</v>
      </c>
      <c r="GG8" s="234">
        <v>2409.5429999999997</v>
      </c>
      <c r="GH8" s="234"/>
      <c r="GI8" s="235"/>
      <c r="GJ8" s="234">
        <v>2758.7629999999999</v>
      </c>
      <c r="GK8" s="234">
        <v>2758.7629999999999</v>
      </c>
      <c r="GL8" s="234">
        <v>2758.7629999999999</v>
      </c>
      <c r="GM8" s="234">
        <v>2758.7629999999999</v>
      </c>
      <c r="GN8" s="234">
        <v>2758.7629999999999</v>
      </c>
      <c r="GO8" s="234">
        <v>2932.9340000000002</v>
      </c>
      <c r="GP8" s="234">
        <v>2932.9340000000002</v>
      </c>
      <c r="GQ8" s="234">
        <v>2932.9340000000002</v>
      </c>
      <c r="GR8" s="234">
        <v>2932.9340000000002</v>
      </c>
      <c r="GS8" s="234">
        <v>2932.9340000000002</v>
      </c>
      <c r="GT8" s="234">
        <v>2932.9340000000002</v>
      </c>
      <c r="GU8" s="234">
        <v>2932.9340000000002</v>
      </c>
      <c r="GV8" s="234">
        <v>2932.9340000000002</v>
      </c>
      <c r="GW8" s="234">
        <v>2932.9340000000002</v>
      </c>
      <c r="GX8" s="234">
        <v>2932.9340000000002</v>
      </c>
      <c r="GY8" s="234">
        <v>2932.9340000000002</v>
      </c>
      <c r="GZ8" s="234">
        <v>2932.9340000000002</v>
      </c>
      <c r="HA8" s="234">
        <v>2932.9340000000002</v>
      </c>
      <c r="HB8" s="234">
        <v>2932.9340000000002</v>
      </c>
      <c r="HC8" s="234">
        <v>2932.9340000000002</v>
      </c>
      <c r="HD8" s="234">
        <v>2932.9340000000002</v>
      </c>
      <c r="HE8" s="234">
        <v>2932.9340000000002</v>
      </c>
      <c r="HF8" s="234">
        <v>2932.9340000000002</v>
      </c>
      <c r="HG8" s="234">
        <v>2932.9340000000002</v>
      </c>
      <c r="HH8" s="234">
        <v>2932.9340000000002</v>
      </c>
      <c r="HI8" s="234">
        <v>2932.9340000000002</v>
      </c>
      <c r="HJ8" s="234">
        <v>2932.9340000000002</v>
      </c>
      <c r="HK8" s="234">
        <v>2932.9340000000002</v>
      </c>
      <c r="HL8" s="234">
        <v>2932.9340000000002</v>
      </c>
      <c r="HM8" s="234">
        <v>2932.9340000000002</v>
      </c>
      <c r="HN8" s="234">
        <v>2932.9340000000002</v>
      </c>
      <c r="HO8" s="235"/>
      <c r="HP8" s="234">
        <v>3766.634</v>
      </c>
      <c r="HQ8" s="234">
        <v>3766.634</v>
      </c>
      <c r="HR8" s="234">
        <v>3830.5219999999999</v>
      </c>
      <c r="HS8" s="234">
        <v>3830.5219999999999</v>
      </c>
      <c r="HT8" s="234">
        <v>3830.5219999999999</v>
      </c>
      <c r="HU8" s="234">
        <v>3830.5219999999999</v>
      </c>
      <c r="HV8" s="234">
        <v>3830.5219999999999</v>
      </c>
      <c r="HW8" s="234">
        <v>3830.5219999999999</v>
      </c>
      <c r="HX8" s="234">
        <v>3830.5219999999999</v>
      </c>
      <c r="HY8" s="234">
        <v>3830.5219999999999</v>
      </c>
      <c r="HZ8" s="234">
        <v>3830.5219999999999</v>
      </c>
      <c r="IA8" s="234">
        <v>3830.5219999999999</v>
      </c>
      <c r="IB8" s="234">
        <v>3830.5219999999999</v>
      </c>
      <c r="IC8" s="234">
        <v>3830.5219999999999</v>
      </c>
      <c r="ID8" s="234">
        <v>3830.5219999999999</v>
      </c>
      <c r="IE8" s="234">
        <v>3830.5219999999999</v>
      </c>
      <c r="IF8" s="234">
        <v>3935.672</v>
      </c>
      <c r="IG8" s="234">
        <v>3935.672</v>
      </c>
      <c r="IH8" s="234">
        <v>3935.672</v>
      </c>
      <c r="II8" s="234">
        <v>3935.672</v>
      </c>
      <c r="IJ8" s="234">
        <v>3935.672</v>
      </c>
      <c r="IK8" s="234">
        <v>6042.1319999999996</v>
      </c>
      <c r="IL8" s="234">
        <v>6042.1319999999996</v>
      </c>
      <c r="IM8" s="234">
        <v>6042.1319999999996</v>
      </c>
      <c r="IN8" s="234">
        <v>6042.1319999999996</v>
      </c>
      <c r="IO8" s="234">
        <v>6042.1319999999996</v>
      </c>
      <c r="IP8" s="234">
        <v>6042.1319999999996</v>
      </c>
      <c r="IQ8" s="234">
        <v>6042.1319999999996</v>
      </c>
      <c r="IR8" s="234">
        <v>6042.1319999999996</v>
      </c>
      <c r="IS8" s="234">
        <v>6042.1319999999996</v>
      </c>
      <c r="IT8" s="234">
        <v>6042.1319999999996</v>
      </c>
      <c r="IU8" s="235"/>
      <c r="IV8" s="234">
        <v>6204</v>
      </c>
      <c r="IW8" s="234">
        <v>6204</v>
      </c>
      <c r="IX8" s="234">
        <v>6204</v>
      </c>
      <c r="IY8" s="234">
        <v>6204</v>
      </c>
      <c r="IZ8" s="234">
        <v>6204</v>
      </c>
      <c r="JA8" s="234">
        <v>6204</v>
      </c>
      <c r="JB8" s="234">
        <v>6032</v>
      </c>
      <c r="JC8" s="234">
        <v>6032</v>
      </c>
      <c r="JD8" s="234">
        <v>7274.84</v>
      </c>
      <c r="JE8" s="234">
        <v>8123.47</v>
      </c>
      <c r="JF8" s="234">
        <v>8123.47</v>
      </c>
      <c r="JG8" s="234">
        <v>8684.4600000000009</v>
      </c>
      <c r="JH8" s="234">
        <v>8684.4600000000009</v>
      </c>
      <c r="JI8" s="234">
        <v>9583.01</v>
      </c>
      <c r="JJ8" s="234">
        <v>9583.01</v>
      </c>
      <c r="JK8" s="234">
        <v>9583.01</v>
      </c>
      <c r="JL8" s="234">
        <v>9583.01</v>
      </c>
      <c r="JM8" s="234">
        <v>9583.01</v>
      </c>
      <c r="JN8" s="234">
        <v>9583.01</v>
      </c>
      <c r="JO8" s="234">
        <v>9583.01</v>
      </c>
      <c r="JP8" s="234">
        <v>9583.01</v>
      </c>
      <c r="JQ8" s="234">
        <v>9583.01</v>
      </c>
      <c r="JR8" s="234">
        <v>9583.01</v>
      </c>
      <c r="JS8" s="234">
        <v>9583.01</v>
      </c>
      <c r="JT8" s="234">
        <v>9583.01</v>
      </c>
      <c r="JU8" s="234">
        <v>10464.24</v>
      </c>
      <c r="JV8" s="234">
        <v>10464.24</v>
      </c>
      <c r="JW8" s="234">
        <v>10464.24</v>
      </c>
      <c r="JX8" s="234">
        <v>10464.24</v>
      </c>
      <c r="JY8" s="234">
        <v>10464.24</v>
      </c>
      <c r="JZ8" s="234">
        <v>0</v>
      </c>
      <c r="KA8" s="235"/>
      <c r="KB8" s="234">
        <v>10464.24</v>
      </c>
      <c r="KC8" s="234">
        <v>10464.24</v>
      </c>
      <c r="KD8" s="234">
        <v>10914.69</v>
      </c>
      <c r="KE8" s="234">
        <v>10914.69</v>
      </c>
      <c r="KF8" s="234">
        <v>11160.37</v>
      </c>
      <c r="KG8" s="234">
        <v>11160.37</v>
      </c>
      <c r="KH8" s="234">
        <v>11160.37</v>
      </c>
      <c r="KI8" s="234">
        <v>11160.37</v>
      </c>
      <c r="KJ8" s="234">
        <v>11160.37</v>
      </c>
      <c r="KK8" s="234">
        <v>11498.720000000001</v>
      </c>
      <c r="KL8" s="234">
        <v>11498.720000000001</v>
      </c>
      <c r="KM8" s="234">
        <v>11498.720000000001</v>
      </c>
      <c r="KN8" s="234">
        <v>11498.720000000001</v>
      </c>
      <c r="KO8" s="234">
        <v>11498.720000000001</v>
      </c>
      <c r="KP8" s="234">
        <v>11498.720000000001</v>
      </c>
      <c r="KQ8" s="234">
        <v>11703.61</v>
      </c>
      <c r="KR8" s="234">
        <v>12476.74</v>
      </c>
      <c r="KS8" s="234">
        <v>13388.03</v>
      </c>
      <c r="KT8" s="234">
        <v>13388.03</v>
      </c>
      <c r="KU8" s="234">
        <v>13388.03</v>
      </c>
      <c r="KV8" s="234">
        <v>13388.03</v>
      </c>
      <c r="KW8" s="234">
        <v>13388.03</v>
      </c>
      <c r="KX8" s="234">
        <v>13388.03</v>
      </c>
      <c r="KY8" s="234">
        <v>13388.03</v>
      </c>
      <c r="KZ8" s="234">
        <v>13388.03</v>
      </c>
      <c r="LA8" s="234">
        <v>13388.03</v>
      </c>
      <c r="LB8" s="234">
        <v>13388.03</v>
      </c>
      <c r="LC8" s="234">
        <v>13388.03</v>
      </c>
      <c r="LD8" s="234">
        <v>13388.03</v>
      </c>
      <c r="LE8" s="234">
        <v>13388.03</v>
      </c>
      <c r="LF8" s="234">
        <v>13388.03</v>
      </c>
      <c r="LG8" s="235"/>
      <c r="LH8" s="234">
        <v>14460.66</v>
      </c>
      <c r="LI8" s="234">
        <v>14460.66</v>
      </c>
      <c r="LJ8" s="234">
        <v>14460.66</v>
      </c>
      <c r="LK8" s="234">
        <v>14460.66</v>
      </c>
      <c r="LL8" s="234">
        <v>14460.66</v>
      </c>
      <c r="LM8" s="234">
        <v>14460.66</v>
      </c>
      <c r="LN8" s="234">
        <v>14460.66</v>
      </c>
      <c r="LO8" s="234">
        <v>14460.66</v>
      </c>
      <c r="LP8" s="234">
        <v>14541.44</v>
      </c>
      <c r="LQ8" s="234">
        <v>14541.44</v>
      </c>
      <c r="LR8" s="234">
        <v>14541.44</v>
      </c>
      <c r="LS8" s="234">
        <v>14541.44</v>
      </c>
      <c r="LT8" s="234">
        <v>14541.44</v>
      </c>
      <c r="LU8" s="234">
        <v>15172.310000000001</v>
      </c>
      <c r="LV8" s="234">
        <v>15172.310000000001</v>
      </c>
      <c r="LW8" s="234">
        <v>15172.310000000001</v>
      </c>
      <c r="LX8" s="234">
        <v>15172.310000000001</v>
      </c>
      <c r="LY8" s="234">
        <v>15172.310000000001</v>
      </c>
      <c r="LZ8" s="234">
        <v>15172.310000000001</v>
      </c>
      <c r="MA8" s="234">
        <v>15172.310000000001</v>
      </c>
      <c r="MB8" s="234">
        <v>16610.22</v>
      </c>
      <c r="MC8" s="234">
        <v>17736.68</v>
      </c>
      <c r="MD8" s="234">
        <v>17736.68</v>
      </c>
      <c r="ME8" s="234">
        <v>17736.68</v>
      </c>
      <c r="MF8" s="234">
        <v>17736.68</v>
      </c>
      <c r="MG8" s="234">
        <v>17858.460999999999</v>
      </c>
      <c r="MH8" s="234">
        <v>17858.460999999999</v>
      </c>
      <c r="MI8" s="234">
        <v>19131.030999999999</v>
      </c>
      <c r="MJ8" s="234">
        <v>19190.690999999999</v>
      </c>
      <c r="MK8" s="234">
        <v>19190.690999999999</v>
      </c>
      <c r="ML8" s="234"/>
      <c r="MM8" s="235"/>
      <c r="MN8" s="234">
        <v>18522.55</v>
      </c>
      <c r="MO8" s="234">
        <v>18522.55</v>
      </c>
      <c r="MP8" s="234">
        <v>18522.55</v>
      </c>
      <c r="MQ8" s="234">
        <v>18522.55</v>
      </c>
      <c r="MR8" s="234">
        <v>19463.71</v>
      </c>
      <c r="MS8" s="234">
        <v>19463.71</v>
      </c>
      <c r="MT8" s="234">
        <v>19463.71</v>
      </c>
      <c r="MU8" s="234">
        <v>19463.71</v>
      </c>
      <c r="MV8" s="234">
        <v>19706.21</v>
      </c>
      <c r="MW8" s="234">
        <v>20031.189999999999</v>
      </c>
      <c r="MX8" s="234">
        <v>20031.189999999999</v>
      </c>
      <c r="MY8" s="234">
        <v>20430.93</v>
      </c>
      <c r="MZ8" s="234">
        <v>23042.84</v>
      </c>
      <c r="NA8" s="234">
        <v>23042.84</v>
      </c>
      <c r="NB8" s="234">
        <v>23042.84</v>
      </c>
      <c r="NC8" s="234">
        <v>23042.84</v>
      </c>
      <c r="ND8" s="234">
        <v>23471.91</v>
      </c>
      <c r="NE8" s="234">
        <v>23719.16</v>
      </c>
      <c r="NF8" s="234">
        <v>23781.84</v>
      </c>
      <c r="NG8" s="234">
        <v>23781.84</v>
      </c>
      <c r="NH8" s="234">
        <v>23781.84</v>
      </c>
      <c r="NI8" s="234">
        <v>23781.84</v>
      </c>
      <c r="NJ8" s="234">
        <v>23781.84</v>
      </c>
      <c r="NK8" s="234">
        <v>23781.84</v>
      </c>
      <c r="NL8" s="234">
        <v>23781.84</v>
      </c>
      <c r="NM8" s="234">
        <v>23781.84</v>
      </c>
      <c r="NN8" s="234">
        <v>23781.84</v>
      </c>
      <c r="NO8" s="234">
        <v>23781.84</v>
      </c>
      <c r="NP8" s="234">
        <v>28279.260000000002</v>
      </c>
      <c r="NQ8" s="234">
        <v>30561.800000000003</v>
      </c>
      <c r="NR8" s="234">
        <v>30621.83</v>
      </c>
      <c r="NS8" s="235"/>
      <c r="NT8" s="234">
        <v>6224.2939999999999</v>
      </c>
      <c r="NU8" s="234">
        <v>6224.2939999999999</v>
      </c>
      <c r="NV8" s="234">
        <v>6224.2939999999999</v>
      </c>
      <c r="NW8" s="234">
        <v>6224.2939999999999</v>
      </c>
      <c r="NX8" s="234">
        <v>6224.2939999999999</v>
      </c>
      <c r="NY8" s="234">
        <v>6660.1440000000002</v>
      </c>
      <c r="NZ8" s="234">
        <v>6660.1440000000002</v>
      </c>
      <c r="OA8" s="234">
        <v>6660.1440000000002</v>
      </c>
      <c r="OB8" s="234">
        <v>5676.2340000000004</v>
      </c>
      <c r="OC8" s="234">
        <v>2555.5340000000006</v>
      </c>
      <c r="OD8" s="234">
        <v>2138.8340000000007</v>
      </c>
      <c r="OE8" s="234">
        <v>1037.4140000000007</v>
      </c>
      <c r="OF8" s="234">
        <v>1037.4140000000007</v>
      </c>
      <c r="OG8" s="234">
        <v>1165.5340000000006</v>
      </c>
      <c r="OH8" s="234">
        <v>1604.7240000000006</v>
      </c>
      <c r="OI8" s="234">
        <v>1930.0240000000006</v>
      </c>
      <c r="OJ8" s="234">
        <v>2260.2040000000006</v>
      </c>
      <c r="OK8" s="234">
        <v>2260.2040000000006</v>
      </c>
      <c r="OL8" s="234">
        <v>2260.2040000000006</v>
      </c>
      <c r="OM8" s="234">
        <v>2475.9040000000005</v>
      </c>
      <c r="ON8" s="234">
        <v>2631.9540000000006</v>
      </c>
      <c r="OO8" s="234">
        <v>3092.8740000000007</v>
      </c>
      <c r="OP8" s="234">
        <v>3125.7440000000006</v>
      </c>
      <c r="OQ8" s="234">
        <v>3613.1240000000007</v>
      </c>
      <c r="OR8" s="234">
        <v>4210.4040000000005</v>
      </c>
      <c r="OS8" s="234">
        <v>4210.4040000000005</v>
      </c>
      <c r="OT8" s="234">
        <v>4210.4040000000005</v>
      </c>
      <c r="OU8" s="234">
        <v>5032.5140000000001</v>
      </c>
      <c r="OV8" s="234">
        <v>5831.5839999999998</v>
      </c>
      <c r="OW8" s="234">
        <v>5866.9039999999995</v>
      </c>
      <c r="OX8" s="234">
        <v>5866.9039999999995</v>
      </c>
      <c r="OY8" s="235">
        <f>OX8</f>
        <v>5866.9039999999995</v>
      </c>
      <c r="OZ8" s="234">
        <v>8790.259</v>
      </c>
      <c r="PA8" s="234">
        <v>9736.9290000000001</v>
      </c>
      <c r="PB8" s="234">
        <v>10163.359</v>
      </c>
      <c r="PC8" s="234">
        <v>10163.359</v>
      </c>
      <c r="PD8" s="234">
        <v>10163.359</v>
      </c>
      <c r="PE8" s="234">
        <v>10163.359</v>
      </c>
      <c r="PF8" s="234">
        <v>10163.359</v>
      </c>
      <c r="PG8" s="234">
        <v>10595.979000000001</v>
      </c>
      <c r="PH8" s="234">
        <v>10595.979000000001</v>
      </c>
      <c r="PI8" s="234">
        <v>10863.379000000001</v>
      </c>
      <c r="PJ8" s="234">
        <v>10863.379000000001</v>
      </c>
      <c r="PK8" s="234">
        <v>10957.619000000001</v>
      </c>
      <c r="PL8" s="234">
        <v>10957.619000000001</v>
      </c>
      <c r="PM8" s="234">
        <v>9996.4189999999999</v>
      </c>
      <c r="PN8" s="234">
        <v>6602.3590000000004</v>
      </c>
      <c r="PO8" s="234">
        <v>6499.5690000000004</v>
      </c>
      <c r="PP8" s="234">
        <v>7903.6389999999992</v>
      </c>
      <c r="PQ8" s="234">
        <v>9674.1589999999997</v>
      </c>
      <c r="PR8" s="234">
        <v>9490.6189999999988</v>
      </c>
      <c r="PS8" s="234">
        <v>10334.088999999998</v>
      </c>
      <c r="PT8" s="234">
        <v>10334.088999999998</v>
      </c>
      <c r="PU8" s="234">
        <v>10334.088999999998</v>
      </c>
      <c r="PV8" s="234">
        <v>10334.088999999998</v>
      </c>
      <c r="PW8" s="234">
        <v>10334.088999999998</v>
      </c>
      <c r="PX8" s="234">
        <v>10334.088999999998</v>
      </c>
      <c r="PY8" s="234">
        <v>10334.088999999998</v>
      </c>
      <c r="PZ8" s="234">
        <v>11283.728999999998</v>
      </c>
      <c r="QA8" s="234">
        <v>11734.108999999997</v>
      </c>
      <c r="QB8" s="234">
        <v>11734.108999999997</v>
      </c>
      <c r="QC8" s="234">
        <v>11734.108999999997</v>
      </c>
      <c r="QD8" s="235">
        <f>QC8</f>
        <v>11734.108999999997</v>
      </c>
      <c r="QE8" s="234">
        <v>8759.32</v>
      </c>
      <c r="QF8" s="234">
        <v>8759.32</v>
      </c>
      <c r="QG8" s="234">
        <v>8759.32</v>
      </c>
      <c r="QH8" s="234">
        <v>8759.32</v>
      </c>
      <c r="QI8" s="234">
        <v>8759.32</v>
      </c>
      <c r="QJ8" s="234">
        <v>8759.32</v>
      </c>
      <c r="QK8" s="234">
        <v>8759.32</v>
      </c>
      <c r="QL8" s="234">
        <v>8759.32</v>
      </c>
      <c r="QM8" s="234">
        <v>8759.32</v>
      </c>
      <c r="QN8" s="234">
        <v>8759.32</v>
      </c>
      <c r="QO8" s="234">
        <v>8759.32</v>
      </c>
      <c r="QP8" s="234">
        <v>8759.32</v>
      </c>
      <c r="QQ8" s="234">
        <v>8759.32</v>
      </c>
      <c r="QR8" s="234">
        <v>8759.32</v>
      </c>
      <c r="QS8" s="234">
        <v>8759.32</v>
      </c>
      <c r="QT8" s="234">
        <v>8759.32</v>
      </c>
      <c r="QU8" s="234">
        <v>8759.32</v>
      </c>
      <c r="QV8" s="234">
        <v>7843.51</v>
      </c>
      <c r="QW8" s="234">
        <v>4592.4800000000005</v>
      </c>
      <c r="QX8" s="234">
        <v>901.10000000000036</v>
      </c>
      <c r="QY8" s="234">
        <v>1079.0100000000004</v>
      </c>
      <c r="QZ8" s="234">
        <v>1823.7600000000004</v>
      </c>
      <c r="RA8" s="234">
        <v>1823.7600000000004</v>
      </c>
      <c r="RB8" s="234">
        <v>2060.3300000000004</v>
      </c>
      <c r="RC8" s="234">
        <v>2834.5200000000004</v>
      </c>
      <c r="RD8" s="234">
        <v>3248.4900000000007</v>
      </c>
      <c r="RE8" s="234">
        <v>3851.8000000000006</v>
      </c>
      <c r="RF8" s="234">
        <v>4020.3000000000006</v>
      </c>
      <c r="RG8" s="234">
        <v>4715.130000000001</v>
      </c>
      <c r="RH8" s="234">
        <v>5063.9000000000015</v>
      </c>
      <c r="RI8" s="234">
        <v>5063.9000000000015</v>
      </c>
      <c r="RJ8" s="235">
        <v>5063.9000000000015</v>
      </c>
      <c r="RK8" s="234">
        <v>5096.817</v>
      </c>
      <c r="RL8" s="234">
        <v>5096.817</v>
      </c>
      <c r="RM8" s="234">
        <v>5579.5770000000002</v>
      </c>
      <c r="RN8" s="234">
        <v>5874.8770000000004</v>
      </c>
      <c r="RO8" s="234">
        <v>6579.737000000001</v>
      </c>
      <c r="RP8" s="234">
        <v>6579.737000000001</v>
      </c>
      <c r="RQ8" s="234">
        <v>7126.4370000000008</v>
      </c>
      <c r="RR8" s="234">
        <v>9425.8470000000016</v>
      </c>
      <c r="RS8" s="234">
        <v>10250.427000000001</v>
      </c>
      <c r="RT8" s="234">
        <v>10860.497000000001</v>
      </c>
      <c r="RU8" s="234">
        <v>10860.497000000001</v>
      </c>
      <c r="RV8" s="234">
        <v>6890.7470000000012</v>
      </c>
      <c r="RW8" s="234">
        <v>2837.8070000000012</v>
      </c>
      <c r="RX8" s="234">
        <v>767.51700000000119</v>
      </c>
      <c r="RY8" s="234">
        <v>3254.447000000001</v>
      </c>
      <c r="RZ8" s="234">
        <v>4178.777000000001</v>
      </c>
      <c r="SA8" s="234">
        <v>5393.0770000000011</v>
      </c>
      <c r="SB8" s="234">
        <v>6203.2870000000012</v>
      </c>
      <c r="SC8" s="234">
        <v>7741.9970000000012</v>
      </c>
      <c r="SD8" s="234">
        <v>7885.027000000001</v>
      </c>
      <c r="SE8" s="234">
        <v>8360.8470000000016</v>
      </c>
      <c r="SF8" s="234">
        <v>10958.947000000002</v>
      </c>
      <c r="SG8" s="234">
        <v>12135.197000000002</v>
      </c>
      <c r="SH8" s="234">
        <v>12276.397000000003</v>
      </c>
      <c r="SI8" s="234">
        <v>12902.787000000002</v>
      </c>
      <c r="SJ8" s="234">
        <v>13324.897000000003</v>
      </c>
      <c r="SK8" s="234">
        <v>13324.897000000003</v>
      </c>
      <c r="SL8" s="234">
        <v>13491.757000000003</v>
      </c>
      <c r="SM8" s="234">
        <v>13998.757000000003</v>
      </c>
      <c r="SN8" s="234">
        <v>14325.797000000004</v>
      </c>
      <c r="SO8" s="235">
        <f>SN8</f>
        <v>14325.797000000004</v>
      </c>
      <c r="SP8" s="234">
        <v>14516.146999999995</v>
      </c>
      <c r="SQ8" s="234">
        <v>15032.496999999996</v>
      </c>
      <c r="SR8" s="234">
        <v>15336.236999999996</v>
      </c>
      <c r="SS8" s="234">
        <v>15772.966999999995</v>
      </c>
      <c r="ST8" s="234">
        <v>16384.126999999997</v>
      </c>
      <c r="SU8" s="234">
        <v>18392.956999999999</v>
      </c>
      <c r="SV8" s="234">
        <v>18392.956999999999</v>
      </c>
      <c r="SW8" s="234">
        <v>18414.816999999999</v>
      </c>
      <c r="SX8" s="234">
        <v>19558.186999999998</v>
      </c>
      <c r="SY8" s="234">
        <v>19970.136999999999</v>
      </c>
      <c r="SZ8" s="234">
        <v>19970.136999999999</v>
      </c>
      <c r="TA8" s="234">
        <v>20185.066999999999</v>
      </c>
      <c r="TB8" s="234">
        <v>20247.517</v>
      </c>
      <c r="TC8" s="234">
        <v>16557.906999999999</v>
      </c>
      <c r="TD8" s="234">
        <v>15791.737000000001</v>
      </c>
      <c r="TE8" s="234">
        <v>14741.267000000002</v>
      </c>
      <c r="TF8" s="234">
        <v>10715.487000000001</v>
      </c>
      <c r="TG8" s="234">
        <v>6711.7270000000008</v>
      </c>
      <c r="TH8" s="234">
        <v>2963.0770000000002</v>
      </c>
      <c r="TI8" s="234">
        <v>3843.277</v>
      </c>
      <c r="TJ8" s="234">
        <v>1351.357</v>
      </c>
      <c r="TK8" s="234">
        <v>1351.357</v>
      </c>
      <c r="TL8" s="234">
        <v>1560.7570000000001</v>
      </c>
      <c r="TM8" s="234">
        <v>2415.2170000000001</v>
      </c>
      <c r="TN8" s="234">
        <v>2487.4070000000002</v>
      </c>
      <c r="TO8" s="234">
        <v>2944.0370000000003</v>
      </c>
      <c r="TP8" s="234">
        <v>5166.9170000000004</v>
      </c>
      <c r="TQ8" s="234">
        <v>5419.3770000000004</v>
      </c>
      <c r="TR8" s="234">
        <v>6679.9470000000001</v>
      </c>
      <c r="TS8" s="234">
        <v>7189.817</v>
      </c>
      <c r="TT8" s="234">
        <v>7470.3469999999998</v>
      </c>
      <c r="TU8" s="235">
        <v>7470.3469999999998</v>
      </c>
      <c r="TV8" s="234">
        <v>8705.7790000000005</v>
      </c>
      <c r="TW8" s="234">
        <v>10124.079</v>
      </c>
      <c r="TX8" s="234">
        <v>10411.599</v>
      </c>
      <c r="TY8" s="234">
        <v>10841.519</v>
      </c>
      <c r="TZ8" s="234">
        <v>11188.849</v>
      </c>
      <c r="UA8" s="234">
        <v>11535.919</v>
      </c>
      <c r="UB8" s="234">
        <v>12234.369000000001</v>
      </c>
      <c r="UC8" s="234">
        <v>13141.359</v>
      </c>
      <c r="UD8" s="234">
        <v>13478.379000000001</v>
      </c>
      <c r="UE8" s="234">
        <v>15153.679</v>
      </c>
      <c r="UF8" s="234">
        <v>15806.839</v>
      </c>
      <c r="UG8" s="234">
        <v>15806.839</v>
      </c>
      <c r="UH8" s="234">
        <v>15874.679</v>
      </c>
      <c r="UI8" s="234">
        <v>15874.679</v>
      </c>
      <c r="UJ8" s="234">
        <v>15926.179</v>
      </c>
      <c r="UK8" s="234">
        <v>16610.759000000002</v>
      </c>
      <c r="UL8" s="234">
        <v>16778.659000000003</v>
      </c>
      <c r="UM8" s="234">
        <v>16778.659000000003</v>
      </c>
      <c r="UN8" s="234">
        <v>16778.659000000003</v>
      </c>
      <c r="UO8" s="234">
        <v>16778.659000000003</v>
      </c>
      <c r="UP8" s="234">
        <v>16778.659000000003</v>
      </c>
      <c r="UQ8" s="234">
        <v>16778.659000000003</v>
      </c>
      <c r="UR8" s="234">
        <v>14732.659000000003</v>
      </c>
      <c r="US8" s="234">
        <v>14746.939000000004</v>
      </c>
      <c r="UT8" s="234">
        <v>11037.649000000003</v>
      </c>
      <c r="UU8" s="234">
        <v>7601.3890000000029</v>
      </c>
      <c r="UV8" s="234">
        <v>5787.9290000000028</v>
      </c>
      <c r="UW8" s="234">
        <v>1906.2090000000026</v>
      </c>
      <c r="UX8" s="234">
        <v>586.75900000000252</v>
      </c>
      <c r="UY8" s="234">
        <v>434.16900000000248</v>
      </c>
      <c r="UZ8" s="234">
        <v>1227.8090000000025</v>
      </c>
      <c r="VA8" s="235">
        <v>7470.3469999999998</v>
      </c>
      <c r="VB8" s="234">
        <v>1363.4160000000002</v>
      </c>
      <c r="VC8" s="234">
        <v>1970.9660000000001</v>
      </c>
      <c r="VD8" s="234">
        <v>2011.2160000000001</v>
      </c>
      <c r="VE8" s="234">
        <v>2011.2160000000001</v>
      </c>
      <c r="VF8" s="234">
        <v>2011.2160000000001</v>
      </c>
      <c r="VG8" s="234">
        <v>2140.3360000000002</v>
      </c>
      <c r="VH8" s="234">
        <v>3749.2359999999999</v>
      </c>
      <c r="VI8" s="234">
        <v>3806.2660000000001</v>
      </c>
      <c r="VJ8" s="234">
        <v>4115.9859999999999</v>
      </c>
      <c r="VK8" s="234">
        <v>4274.4759999999997</v>
      </c>
      <c r="VL8" s="234">
        <v>4274.4759999999997</v>
      </c>
      <c r="VM8" s="234">
        <v>4274.4759999999997</v>
      </c>
      <c r="VN8" s="234">
        <v>4152.0660000000007</v>
      </c>
      <c r="VO8" s="234">
        <v>5794.996000000001</v>
      </c>
      <c r="VP8" s="234">
        <v>5888.036000000001</v>
      </c>
      <c r="VQ8" s="234">
        <v>6517.5660000000007</v>
      </c>
      <c r="VR8" s="234">
        <v>6835.9760000000006</v>
      </c>
      <c r="VS8" s="234">
        <v>8440.8160000000007</v>
      </c>
      <c r="VT8" s="234">
        <v>9844.8760000000002</v>
      </c>
      <c r="VU8" s="234">
        <v>10520.046</v>
      </c>
      <c r="VV8" s="234">
        <v>8972.5259999999998</v>
      </c>
      <c r="VW8" s="234">
        <v>10004.065999999999</v>
      </c>
      <c r="VX8" s="234">
        <v>10027.936</v>
      </c>
      <c r="VY8" s="234">
        <v>10027.936</v>
      </c>
      <c r="VZ8" s="234">
        <v>8361.155999999999</v>
      </c>
      <c r="WA8" s="234">
        <v>6289.0959999999995</v>
      </c>
      <c r="WB8" s="234">
        <v>6619.3059999999996</v>
      </c>
      <c r="WC8" s="234">
        <v>7142.0259999999998</v>
      </c>
      <c r="WD8" s="234">
        <v>6045.5259999999998</v>
      </c>
      <c r="WE8" s="234">
        <v>3708.616</v>
      </c>
      <c r="WF8" s="235">
        <v>7470.3469999999998</v>
      </c>
      <c r="WG8" s="234">
        <v>1375.318000000002</v>
      </c>
      <c r="WH8" s="234">
        <v>65.898000000001957</v>
      </c>
      <c r="WI8" s="234">
        <v>65.898000000001957</v>
      </c>
      <c r="WJ8" s="234">
        <v>65.898000000001957</v>
      </c>
      <c r="WK8" s="234">
        <v>980.40800000000195</v>
      </c>
      <c r="WL8" s="234">
        <v>980.40800000000195</v>
      </c>
      <c r="WM8" s="234">
        <v>1106.9480000000019</v>
      </c>
      <c r="WN8" s="234">
        <v>1133.9980000000019</v>
      </c>
      <c r="WO8" s="234">
        <v>1133.9980000000019</v>
      </c>
      <c r="WP8" s="234">
        <v>1133.9980000000019</v>
      </c>
      <c r="WQ8" s="234">
        <v>1133.9980000000019</v>
      </c>
      <c r="WR8" s="234">
        <v>1821.638000000002</v>
      </c>
      <c r="WS8" s="234">
        <v>1821.638000000002</v>
      </c>
      <c r="WT8" s="234">
        <v>1821.638000000002</v>
      </c>
      <c r="WU8" s="234">
        <v>1821.638000000002</v>
      </c>
      <c r="WV8" s="234">
        <v>1821.638000000002</v>
      </c>
      <c r="WW8" s="234">
        <v>1821.638000000002</v>
      </c>
      <c r="WX8" s="234">
        <v>1821.638000000002</v>
      </c>
      <c r="WY8" s="234">
        <v>3320.4780000000019</v>
      </c>
      <c r="WZ8" s="234">
        <v>3320.4780000000019</v>
      </c>
      <c r="XA8" s="234">
        <v>3320.4780000000019</v>
      </c>
      <c r="XB8" s="234">
        <v>3320.4780000000019</v>
      </c>
      <c r="XC8" s="234">
        <v>3394.2180000000017</v>
      </c>
      <c r="XD8" s="234">
        <v>4044.8280000000018</v>
      </c>
      <c r="XE8" s="234">
        <v>4490.318000000002</v>
      </c>
      <c r="XF8" s="234">
        <v>5236.1780000000017</v>
      </c>
      <c r="XG8" s="234">
        <v>5516.7780000000012</v>
      </c>
      <c r="XH8" s="234">
        <v>4725.8380000000016</v>
      </c>
      <c r="XI8" s="234">
        <v>3815.5180000000018</v>
      </c>
      <c r="XJ8" s="234">
        <v>2897.0480000000016</v>
      </c>
      <c r="XK8" s="234">
        <v>2007.5580000000016</v>
      </c>
      <c r="XL8" s="235">
        <v>2007.5580000000016</v>
      </c>
      <c r="XM8" s="234">
        <v>1164.73</v>
      </c>
      <c r="XN8" s="234">
        <v>329.25</v>
      </c>
      <c r="XO8" s="234">
        <v>0</v>
      </c>
      <c r="XP8" s="234">
        <v>0</v>
      </c>
      <c r="XQ8" s="234">
        <v>0</v>
      </c>
      <c r="XR8" s="234">
        <v>0</v>
      </c>
      <c r="XS8" s="234">
        <v>0</v>
      </c>
      <c r="XT8" s="234">
        <v>3154.8699999999994</v>
      </c>
      <c r="XU8" s="234">
        <v>4565.4199999999992</v>
      </c>
      <c r="XV8" s="234">
        <v>7944.0699999999988</v>
      </c>
      <c r="XW8" s="234">
        <v>9389.1299999999992</v>
      </c>
      <c r="XX8" s="234">
        <v>10041.259999999998</v>
      </c>
      <c r="XY8" s="234">
        <v>11492.259999999998</v>
      </c>
      <c r="XZ8" s="234">
        <v>12706.449999999999</v>
      </c>
      <c r="YA8" s="234">
        <v>16406.919999999998</v>
      </c>
      <c r="YB8" s="234">
        <v>18953.089999999997</v>
      </c>
      <c r="YC8" s="234">
        <v>21978.979999999996</v>
      </c>
      <c r="YD8" s="234">
        <v>26059.589999999997</v>
      </c>
      <c r="YE8" s="234">
        <v>28020.359999999997</v>
      </c>
      <c r="YF8" s="234">
        <v>26682.659999999996</v>
      </c>
      <c r="YG8" s="234">
        <v>25999.809999999994</v>
      </c>
      <c r="YH8" s="234">
        <v>24730.879999999994</v>
      </c>
      <c r="YI8" s="234">
        <v>23194.679999999993</v>
      </c>
      <c r="YJ8" s="234">
        <v>20057.729999999992</v>
      </c>
      <c r="YK8" s="234">
        <v>15340.639999999992</v>
      </c>
      <c r="YL8" s="234">
        <v>11280.539999999994</v>
      </c>
      <c r="YM8" s="234">
        <v>7014.2399999999934</v>
      </c>
      <c r="YN8" s="234">
        <v>4404.3699999999935</v>
      </c>
      <c r="YO8" s="234">
        <v>606.62999999999374</v>
      </c>
      <c r="YP8" s="234">
        <v>606.62999999999374</v>
      </c>
      <c r="YQ8" s="234">
        <v>606.62999999999374</v>
      </c>
      <c r="YR8" s="235">
        <v>606.62999999999374</v>
      </c>
      <c r="YS8" s="234">
        <f>Actual!F158</f>
        <v>156864.272692</v>
      </c>
      <c r="YT8" s="234">
        <f>Actual!G158</f>
        <v>156864.272692</v>
      </c>
      <c r="YU8" s="234">
        <f>Actual!H158</f>
        <v>156864.272692</v>
      </c>
      <c r="YV8" s="234">
        <f>Actual!I158</f>
        <v>156864.272692</v>
      </c>
      <c r="YW8" s="234">
        <f>Actual!J158</f>
        <v>158177.17069199999</v>
      </c>
      <c r="YX8" s="234">
        <f>Actual!K158</f>
        <v>158177.17069199999</v>
      </c>
      <c r="YY8" s="234">
        <f>Actual!L158</f>
        <v>158177.17069199999</v>
      </c>
      <c r="YZ8" s="234">
        <f>Actual!M158</f>
        <v>158177.17069199999</v>
      </c>
      <c r="ZA8" s="234">
        <f>Actual!N158</f>
        <v>158177.17069199999</v>
      </c>
      <c r="ZB8" s="234">
        <f>Actual!O158</f>
        <v>158177.17069199999</v>
      </c>
      <c r="ZC8" s="234">
        <f>Actual!P158</f>
        <v>158177.17069199999</v>
      </c>
      <c r="ZD8" s="234">
        <f>Actual!Q158</f>
        <v>158177.17069199999</v>
      </c>
      <c r="ZE8" s="234">
        <f>Actual!R158</f>
        <v>158177.17069199999</v>
      </c>
      <c r="ZF8" s="234">
        <f>Actual!S158</f>
        <v>158177.17069199999</v>
      </c>
      <c r="ZG8" s="234">
        <f>Actual!T158</f>
        <v>158177.17069199999</v>
      </c>
      <c r="ZH8" s="234">
        <f>Actual!U158</f>
        <v>158177.17069199999</v>
      </c>
      <c r="ZI8" s="234">
        <f>Actual!V158</f>
        <v>158177.17069199999</v>
      </c>
      <c r="ZJ8" s="234">
        <f>Actual!W158</f>
        <v>158177.17069199999</v>
      </c>
      <c r="ZK8" s="234">
        <f>Actual!X158</f>
        <v>158177.17069199999</v>
      </c>
      <c r="ZL8" s="234">
        <f>Actual!Y158</f>
        <v>158177.17069199999</v>
      </c>
      <c r="ZM8" s="234">
        <f>Actual!Z158</f>
        <v>158177.17069199999</v>
      </c>
      <c r="ZN8" s="234">
        <f>Actual!AA158</f>
        <v>158177.17069199999</v>
      </c>
      <c r="ZO8" s="234">
        <f>Actual!AB158</f>
        <v>158177.17069199999</v>
      </c>
      <c r="ZP8" s="234">
        <f>Actual!AC158</f>
        <v>158177.17069199999</v>
      </c>
      <c r="ZQ8" s="234">
        <f>Actual!AD158</f>
        <v>158177.17069199999</v>
      </c>
      <c r="ZR8" s="234">
        <f>Actual!AE158</f>
        <v>158177.17069199999</v>
      </c>
      <c r="ZS8" s="234">
        <f>Actual!AF158</f>
        <v>158177.17069199999</v>
      </c>
      <c r="ZT8" s="234">
        <f>Actual!AG158</f>
        <v>158177.17069199999</v>
      </c>
      <c r="ZU8" s="234">
        <f>Actual!AH158</f>
        <v>158177.17069199999</v>
      </c>
      <c r="ZV8" s="234" t="e">
        <f>ZU8+ZV10-ZV9</f>
        <v>#REF!</v>
      </c>
      <c r="ZW8" s="234" t="e">
        <f>ZV8+ZW10-ZW9</f>
        <v>#REF!</v>
      </c>
      <c r="ZX8" s="235" t="e">
        <f>ZW8</f>
        <v>#REF!</v>
      </c>
      <c r="ZY8" s="234">
        <v>13509.139000000003</v>
      </c>
      <c r="ZZ8" s="234">
        <v>13852.989000000003</v>
      </c>
      <c r="AAA8" s="234">
        <v>14150.279000000004</v>
      </c>
      <c r="AAB8" s="234">
        <v>14372.589000000004</v>
      </c>
      <c r="AAC8" s="234">
        <v>15452.179000000004</v>
      </c>
      <c r="AAD8" s="234">
        <v>16032.329000000003</v>
      </c>
      <c r="AAE8" s="234">
        <v>16032.329000000003</v>
      </c>
      <c r="AAF8" s="234">
        <v>17484.499000000003</v>
      </c>
      <c r="AAG8" s="234">
        <v>17484.499000000003</v>
      </c>
      <c r="AAH8" s="234">
        <v>17533.599000000002</v>
      </c>
      <c r="AAI8" s="234">
        <v>18130.149000000001</v>
      </c>
      <c r="AAJ8" s="234">
        <v>18352.199000000001</v>
      </c>
      <c r="AAK8" s="234">
        <v>18518.559000000001</v>
      </c>
      <c r="AAL8" s="234">
        <v>19118.639000000003</v>
      </c>
      <c r="AAM8" s="234">
        <v>19231.079000000002</v>
      </c>
      <c r="AAN8" s="234">
        <v>19521.119000000002</v>
      </c>
      <c r="AAO8" s="234">
        <v>20087.269000000004</v>
      </c>
      <c r="AAP8" s="234">
        <v>20311.639000000003</v>
      </c>
      <c r="AAQ8" s="234">
        <v>21146.719000000005</v>
      </c>
      <c r="AAR8" s="234">
        <v>21321.079000000005</v>
      </c>
      <c r="AAS8" s="234">
        <v>21473.959000000006</v>
      </c>
      <c r="AAT8" s="234">
        <v>21929.339000000007</v>
      </c>
      <c r="AAU8" s="234">
        <v>22658.959000000006</v>
      </c>
      <c r="AAV8" s="234">
        <v>23191.719000000005</v>
      </c>
      <c r="AAW8" s="234">
        <v>23515.939000000006</v>
      </c>
      <c r="AAX8" s="234">
        <v>23515.939000000006</v>
      </c>
      <c r="AAY8" s="234">
        <v>24067.029000000006</v>
      </c>
      <c r="AAZ8" s="234">
        <v>24690.149000000005</v>
      </c>
      <c r="ABA8" s="235">
        <f>AAZ8</f>
        <v>24690.149000000005</v>
      </c>
      <c r="ABB8" s="234">
        <v>26714.418999999998</v>
      </c>
      <c r="ABC8" s="234">
        <v>27581.438999999998</v>
      </c>
      <c r="ABD8" s="234">
        <v>27781.708999999999</v>
      </c>
      <c r="ABE8" s="234">
        <v>28389.368999999999</v>
      </c>
      <c r="ABF8" s="234">
        <v>28650.038999999997</v>
      </c>
      <c r="ABG8" s="234">
        <v>29414.758999999998</v>
      </c>
      <c r="ABH8" s="234">
        <v>29414.758999999998</v>
      </c>
      <c r="ABI8" s="234">
        <v>31750.508999999998</v>
      </c>
      <c r="ABJ8" s="234">
        <v>31882.268999999997</v>
      </c>
      <c r="ABK8" s="234">
        <v>32388.488999999998</v>
      </c>
      <c r="ABL8" s="234">
        <v>32442.858999999997</v>
      </c>
      <c r="ABM8" s="234">
        <v>32442.858999999997</v>
      </c>
      <c r="ABN8" s="234">
        <v>32442.858999999997</v>
      </c>
      <c r="ABO8" s="234">
        <v>32442.858999999997</v>
      </c>
      <c r="ABP8" s="234">
        <v>33988.238999999994</v>
      </c>
      <c r="ABQ8" s="234">
        <v>33988.238999999994</v>
      </c>
      <c r="ABR8" s="234">
        <v>33988.238999999994</v>
      </c>
      <c r="ABS8" s="234">
        <v>34783.088999999993</v>
      </c>
      <c r="ABT8" s="234">
        <v>34783.088999999993</v>
      </c>
      <c r="ABU8" s="234">
        <v>34783.088999999993</v>
      </c>
      <c r="ABV8" s="234">
        <v>34783.088999999993</v>
      </c>
      <c r="ABW8" s="234">
        <v>34783.088999999993</v>
      </c>
      <c r="ABX8" s="234">
        <v>40486.938999999991</v>
      </c>
      <c r="ABY8" s="234">
        <v>40486.938999999991</v>
      </c>
      <c r="ABZ8" s="234">
        <v>40847.758999999991</v>
      </c>
      <c r="ACA8" s="234">
        <v>40847.758999999991</v>
      </c>
      <c r="ACB8" s="234">
        <v>40847.758999999991</v>
      </c>
      <c r="ACC8" s="234">
        <v>40847.758999999991</v>
      </c>
      <c r="ACD8" s="234">
        <v>42668.158999999992</v>
      </c>
      <c r="ACE8" s="234">
        <v>42668.158999999992</v>
      </c>
      <c r="ACF8" s="234">
        <v>42668.158999999992</v>
      </c>
      <c r="ACG8" s="235">
        <v>42668.158999999992</v>
      </c>
      <c r="ACH8" s="234">
        <v>42668.158999999992</v>
      </c>
      <c r="ACI8" s="234">
        <v>43060.098999999995</v>
      </c>
      <c r="ACJ8" s="234">
        <v>43060.098999999995</v>
      </c>
      <c r="ACK8" s="234">
        <v>43060.098999999995</v>
      </c>
      <c r="ACL8" s="234">
        <v>43060.098999999995</v>
      </c>
      <c r="ACM8" s="234">
        <v>43060.098999999995</v>
      </c>
      <c r="ACN8" s="234">
        <v>43060.098999999995</v>
      </c>
      <c r="ACO8" s="234">
        <v>43060.098999999995</v>
      </c>
      <c r="ACP8" s="234">
        <v>43060.098999999995</v>
      </c>
      <c r="ACQ8" s="234">
        <v>43060.098999999995</v>
      </c>
      <c r="ACR8" s="234">
        <v>43060.098999999995</v>
      </c>
      <c r="ACS8" s="234">
        <v>43060.098999999995</v>
      </c>
      <c r="ACT8" s="234">
        <v>43060.098999999995</v>
      </c>
      <c r="ACU8" s="234">
        <v>43060.098999999995</v>
      </c>
      <c r="ACV8" s="234">
        <v>43060.098999999995</v>
      </c>
      <c r="ACW8" s="234">
        <v>43060.098999999995</v>
      </c>
      <c r="ACX8" s="234">
        <v>43060.098999999995</v>
      </c>
      <c r="ACY8" s="234">
        <v>43060.098999999995</v>
      </c>
      <c r="ACZ8" s="234">
        <v>43060.098999999995</v>
      </c>
      <c r="ADA8" s="234">
        <v>43060.098999999995</v>
      </c>
      <c r="ADB8" s="234">
        <v>43060.098999999995</v>
      </c>
      <c r="ADC8" s="234">
        <v>43060.098999999995</v>
      </c>
      <c r="ADD8" s="234">
        <v>43060.098999999995</v>
      </c>
      <c r="ADE8" s="234">
        <v>43060.098999999995</v>
      </c>
      <c r="ADF8" s="234">
        <v>43060.098999999995</v>
      </c>
      <c r="ADG8" s="234">
        <v>44740.698999999993</v>
      </c>
      <c r="ADH8" s="234">
        <v>44740.698999999993</v>
      </c>
      <c r="ADI8" s="234">
        <v>44740.698999999993</v>
      </c>
      <c r="ADJ8" s="234">
        <v>44740.698999999993</v>
      </c>
      <c r="ADK8" s="234">
        <v>44740.698999999993</v>
      </c>
      <c r="ADL8" s="234"/>
      <c r="ADM8" s="235">
        <v>44740.698999999993</v>
      </c>
      <c r="ADN8" s="234">
        <v>44760.542999999998</v>
      </c>
      <c r="ADO8" s="234">
        <v>44760.542999999998</v>
      </c>
      <c r="ADP8" s="234">
        <v>44760.542999999998</v>
      </c>
      <c r="ADQ8" s="234">
        <v>44760.542999999998</v>
      </c>
      <c r="ADR8" s="234">
        <v>44760.542999999998</v>
      </c>
      <c r="ADS8" s="234">
        <v>44760.542999999998</v>
      </c>
      <c r="ADT8" s="234">
        <v>44864.172999999995</v>
      </c>
      <c r="ADU8" s="234">
        <v>44864.172999999995</v>
      </c>
      <c r="ADV8" s="234">
        <v>44864.172999999995</v>
      </c>
      <c r="ADW8" s="234">
        <v>45513.182999999997</v>
      </c>
      <c r="ADX8" s="234">
        <v>45513.182999999997</v>
      </c>
      <c r="ADY8" s="234">
        <v>45513.182999999997</v>
      </c>
      <c r="ADZ8" s="234">
        <v>45513.182999999997</v>
      </c>
      <c r="AEA8" s="234">
        <v>45752.803</v>
      </c>
      <c r="AEB8" s="234">
        <v>45752.803</v>
      </c>
      <c r="AEC8" s="234">
        <v>45752.803</v>
      </c>
      <c r="AED8" s="234">
        <v>46231.48</v>
      </c>
      <c r="AEE8" s="234">
        <v>46339.530000000006</v>
      </c>
      <c r="AEF8" s="234">
        <v>46339.530000000006</v>
      </c>
      <c r="AEG8" s="234">
        <v>46339.530000000006</v>
      </c>
      <c r="AEH8" s="234">
        <v>46339.530000000006</v>
      </c>
      <c r="AEI8" s="234">
        <v>46339.530000000006</v>
      </c>
      <c r="AEJ8" s="234">
        <v>46339.530000000006</v>
      </c>
      <c r="AEK8" s="234">
        <v>46339.530000000006</v>
      </c>
      <c r="AEL8" s="234">
        <v>46339.530000000006</v>
      </c>
      <c r="AEM8" s="234">
        <v>46339.530000000006</v>
      </c>
      <c r="AEN8" s="234">
        <v>46339.530000000006</v>
      </c>
      <c r="AEO8" s="234">
        <v>46339.530000000006</v>
      </c>
      <c r="AEP8" s="234">
        <v>46339.530000000006</v>
      </c>
      <c r="AEQ8" s="234">
        <v>46339.530000000006</v>
      </c>
      <c r="AER8" s="234">
        <v>48215.760000000009</v>
      </c>
      <c r="AES8" s="235">
        <v>44740.698999999993</v>
      </c>
      <c r="AET8" s="234">
        <v>50151.580999999998</v>
      </c>
      <c r="AEU8" s="234">
        <v>50151.580999999998</v>
      </c>
      <c r="AEV8" s="234">
        <v>50151.580999999998</v>
      </c>
      <c r="AEW8" s="234">
        <v>50151.580999999998</v>
      </c>
      <c r="AEX8" s="234">
        <v>50151.580999999998</v>
      </c>
      <c r="AEY8" s="234">
        <v>50151.580999999998</v>
      </c>
      <c r="AEZ8" s="234">
        <v>51455.991000000002</v>
      </c>
      <c r="AFA8" s="234">
        <v>51455.991000000002</v>
      </c>
      <c r="AFB8" s="234">
        <v>51455.991000000002</v>
      </c>
      <c r="AFC8" s="234">
        <v>51455.991000000002</v>
      </c>
      <c r="AFD8" s="234">
        <v>51455.991000000002</v>
      </c>
      <c r="AFE8" s="234">
        <v>51455.991000000002</v>
      </c>
      <c r="AFF8" s="234">
        <v>51455.991000000002</v>
      </c>
      <c r="AFG8" s="234">
        <v>52276.731</v>
      </c>
      <c r="AFH8" s="234">
        <v>52276.731</v>
      </c>
      <c r="AFI8" s="234">
        <v>52276.731</v>
      </c>
      <c r="AFJ8" s="234">
        <v>52276.731</v>
      </c>
      <c r="AFK8" s="234">
        <v>52276.731</v>
      </c>
      <c r="AFL8" s="234">
        <v>52276.731</v>
      </c>
      <c r="AFM8" s="234">
        <v>52276.731</v>
      </c>
      <c r="AFN8" s="234">
        <v>52276.731</v>
      </c>
      <c r="AFO8" s="234">
        <v>52276.731</v>
      </c>
      <c r="AFP8" s="234">
        <v>52276.731</v>
      </c>
      <c r="AFQ8" s="234">
        <v>52276.731</v>
      </c>
      <c r="AFR8" s="234">
        <v>52276.731</v>
      </c>
      <c r="AFS8" s="234">
        <v>52276.731</v>
      </c>
      <c r="AFT8" s="234">
        <v>52276.731</v>
      </c>
      <c r="AFU8" s="234">
        <v>52276.731</v>
      </c>
      <c r="AFV8" s="234">
        <v>52276.731</v>
      </c>
      <c r="AFW8" s="234">
        <v>52276.731</v>
      </c>
      <c r="AFX8" s="235">
        <v>52276.731</v>
      </c>
      <c r="AFY8" s="234">
        <v>49963.222000000002</v>
      </c>
      <c r="AFZ8" s="234">
        <v>49963.222000000002</v>
      </c>
      <c r="AGA8" s="234">
        <v>49963.222000000002</v>
      </c>
      <c r="AGB8" s="234">
        <v>49963.222000000002</v>
      </c>
      <c r="AGC8" s="234">
        <v>49963.222000000002</v>
      </c>
      <c r="AGD8" s="234">
        <v>49963.222000000002</v>
      </c>
      <c r="AGE8" s="234">
        <v>49963.222000000002</v>
      </c>
      <c r="AGF8" s="234">
        <v>49963.222000000002</v>
      </c>
      <c r="AGG8" s="234">
        <v>49963.222000000002</v>
      </c>
      <c r="AGH8" s="234">
        <v>49963.222000000002</v>
      </c>
      <c r="AGI8" s="234">
        <v>49963.222000000002</v>
      </c>
      <c r="AGJ8" s="234">
        <v>50789.152000000002</v>
      </c>
      <c r="AGK8" s="234">
        <v>50789.152000000002</v>
      </c>
      <c r="AGL8" s="234">
        <v>50789.152000000002</v>
      </c>
      <c r="AGM8" s="234">
        <v>50789.152000000002</v>
      </c>
      <c r="AGN8" s="234">
        <v>50789.152000000002</v>
      </c>
      <c r="AGO8" s="234">
        <v>50789.152000000002</v>
      </c>
      <c r="AGP8" s="234">
        <v>50789.152000000002</v>
      </c>
      <c r="AGQ8" s="234">
        <v>51830.322</v>
      </c>
      <c r="AGR8" s="234">
        <v>51830.322</v>
      </c>
      <c r="AGS8" s="234">
        <v>51830.322</v>
      </c>
      <c r="AGT8" s="234">
        <v>51830.322</v>
      </c>
      <c r="AGU8" s="234">
        <v>51830.322</v>
      </c>
      <c r="AGV8" s="234">
        <v>51830.322</v>
      </c>
      <c r="AGW8" s="234">
        <v>51978.872000000003</v>
      </c>
      <c r="AGX8" s="234">
        <v>51978.872000000003</v>
      </c>
      <c r="AGY8" s="234">
        <v>51978.872000000003</v>
      </c>
      <c r="AGZ8" s="234">
        <v>51978.872000000003</v>
      </c>
      <c r="AHA8" s="234">
        <v>51978.872000000003</v>
      </c>
      <c r="AHB8" s="234">
        <v>51978.872000000003</v>
      </c>
      <c r="AHC8" s="234">
        <v>52206.512000000002</v>
      </c>
      <c r="AHD8" s="235">
        <v>52206.512000000002</v>
      </c>
      <c r="AHE8" s="234">
        <v>51998.86</v>
      </c>
      <c r="AHF8" s="234">
        <v>53222.770000000004</v>
      </c>
      <c r="AHG8" s="234">
        <v>53222.770000000004</v>
      </c>
      <c r="AHH8" s="234">
        <v>53222.770000000004</v>
      </c>
      <c r="AHI8" s="234">
        <v>53561.01</v>
      </c>
      <c r="AHJ8" s="234">
        <v>53561.01</v>
      </c>
      <c r="AHK8" s="234">
        <v>53561.01</v>
      </c>
      <c r="AHL8" s="234">
        <v>53561.01</v>
      </c>
      <c r="AHM8" s="234">
        <v>53727.770000000004</v>
      </c>
      <c r="AHN8" s="234">
        <v>53727.770000000004</v>
      </c>
      <c r="AHO8" s="234">
        <v>53971.33</v>
      </c>
      <c r="AHP8" s="234">
        <v>53971.33</v>
      </c>
      <c r="AHQ8" s="234">
        <v>53971.33</v>
      </c>
      <c r="AHR8" s="234">
        <v>54210.68</v>
      </c>
      <c r="AHS8" s="234">
        <v>54210.68</v>
      </c>
      <c r="AHT8" s="234">
        <v>54210.68</v>
      </c>
      <c r="AHU8" s="234">
        <v>54210.68</v>
      </c>
      <c r="AHV8" s="234">
        <v>51404.41</v>
      </c>
      <c r="AHW8" s="234">
        <v>49597.350000000006</v>
      </c>
      <c r="AHX8" s="234">
        <v>47200.260000000009</v>
      </c>
      <c r="AHY8" s="234">
        <v>44718.170000000013</v>
      </c>
      <c r="AHZ8" s="234">
        <v>43657.530000000013</v>
      </c>
      <c r="AIA8" s="234">
        <v>45493.750000000015</v>
      </c>
      <c r="AIB8" s="234">
        <v>44045.570000000014</v>
      </c>
      <c r="AIC8" s="234">
        <v>40749.110000000015</v>
      </c>
      <c r="AID8" s="234">
        <v>37777.510000000017</v>
      </c>
      <c r="AIE8" s="234">
        <v>34150.190000000017</v>
      </c>
      <c r="AIF8" s="234">
        <v>30560.510000000017</v>
      </c>
      <c r="AIG8" s="234">
        <v>30289.160000000018</v>
      </c>
      <c r="AIH8" s="234">
        <v>30289.160000000018</v>
      </c>
      <c r="AII8" s="234">
        <v>28264.390000000018</v>
      </c>
      <c r="AIJ8" s="235">
        <v>28264.390000000018</v>
      </c>
      <c r="AIK8" s="239">
        <v>24055.15</v>
      </c>
      <c r="AIL8" s="239">
        <v>21594.510000000002</v>
      </c>
      <c r="AIM8" s="239">
        <v>21594.510000000002</v>
      </c>
      <c r="AIN8" s="239">
        <v>21594.510000000002</v>
      </c>
      <c r="AIO8" s="239">
        <v>21594.510000000002</v>
      </c>
      <c r="AIP8" s="239">
        <v>20488.330000000002</v>
      </c>
      <c r="AIQ8" s="239">
        <v>19673.600000000002</v>
      </c>
      <c r="AIR8" s="239">
        <v>17738.97</v>
      </c>
      <c r="AIS8" s="239">
        <v>16392.09</v>
      </c>
      <c r="AIT8" s="239">
        <v>15425.61</v>
      </c>
      <c r="AIU8" s="239">
        <v>12533.230000000001</v>
      </c>
      <c r="AIV8" s="239">
        <v>11082.410000000002</v>
      </c>
      <c r="AIW8" s="239">
        <v>10354.040000000001</v>
      </c>
      <c r="AIX8" s="239">
        <v>8549.5300000000007</v>
      </c>
      <c r="AIY8" s="239">
        <v>7257.380000000001</v>
      </c>
      <c r="AIZ8" s="239">
        <v>5926.9100000000008</v>
      </c>
      <c r="AJA8" s="239">
        <v>4829.6200000000008</v>
      </c>
      <c r="AJB8" s="239">
        <v>2738.0900000000011</v>
      </c>
      <c r="AJC8" s="239">
        <v>720.9300000000012</v>
      </c>
      <c r="AJD8" s="239">
        <v>0</v>
      </c>
      <c r="AJE8" s="239">
        <v>0</v>
      </c>
      <c r="AJF8" s="239">
        <v>0</v>
      </c>
      <c r="AJG8" s="239">
        <v>0</v>
      </c>
      <c r="AJH8" s="239">
        <v>0</v>
      </c>
      <c r="AJI8" s="239">
        <v>0</v>
      </c>
      <c r="AJJ8" s="239">
        <v>0</v>
      </c>
      <c r="AJK8" s="239">
        <v>1469.7299999999998</v>
      </c>
      <c r="AJL8" s="239">
        <v>1501.3799999999999</v>
      </c>
      <c r="AJM8" s="239">
        <v>1501.3799999999999</v>
      </c>
      <c r="AJN8" s="239">
        <v>1501.3799999999999</v>
      </c>
      <c r="AJO8" s="235">
        <v>1501.3799999999999</v>
      </c>
      <c r="AJP8" s="239">
        <v>2537.9340000000002</v>
      </c>
      <c r="AJQ8" s="239">
        <v>2537.9340000000002</v>
      </c>
      <c r="AJR8" s="239">
        <v>2569.1640000000002</v>
      </c>
      <c r="AJS8" s="239">
        <v>3607.6040000000003</v>
      </c>
      <c r="AJT8" s="239">
        <v>3607.6040000000003</v>
      </c>
      <c r="AJU8" s="239">
        <v>3607.6040000000003</v>
      </c>
      <c r="AJV8" s="239">
        <v>3607.6040000000003</v>
      </c>
      <c r="AJW8" s="239">
        <v>3607.6040000000003</v>
      </c>
      <c r="AJX8" s="239">
        <v>3607.6040000000003</v>
      </c>
      <c r="AJY8" s="239">
        <v>3607.6040000000003</v>
      </c>
      <c r="AJZ8" s="239">
        <v>4573.0640000000003</v>
      </c>
      <c r="AKA8" s="239">
        <v>4573.0640000000003</v>
      </c>
      <c r="AKB8" s="239">
        <v>4573.0640000000003</v>
      </c>
      <c r="AKC8" s="239">
        <v>4573.0640000000003</v>
      </c>
      <c r="AKD8" s="239">
        <v>4573.0640000000003</v>
      </c>
      <c r="AKE8" s="239">
        <v>4573.0640000000003</v>
      </c>
      <c r="AKF8" s="239">
        <v>4573.0640000000003</v>
      </c>
      <c r="AKG8" s="239">
        <v>6064.5339999999997</v>
      </c>
      <c r="AKH8" s="239">
        <v>6064.5339999999997</v>
      </c>
      <c r="AKI8" s="239">
        <v>6064.5339999999997</v>
      </c>
      <c r="AKJ8" s="239">
        <v>6064.5339999999997</v>
      </c>
      <c r="AKK8" s="239">
        <v>6064.5339999999997</v>
      </c>
      <c r="AKL8" s="239">
        <v>6064.5339999999997</v>
      </c>
      <c r="AKM8" s="239">
        <v>6064.5339999999997</v>
      </c>
      <c r="AKN8" s="239">
        <v>6243.134</v>
      </c>
      <c r="AKO8" s="239">
        <v>6243.134</v>
      </c>
      <c r="AKP8" s="239">
        <v>5310.3140000000003</v>
      </c>
      <c r="AKQ8" s="239">
        <v>5052.6840000000002</v>
      </c>
      <c r="AKR8" s="239">
        <v>3697.5839999999998</v>
      </c>
      <c r="AKS8" s="239">
        <v>3396.9739999999997</v>
      </c>
      <c r="AKT8" s="239">
        <v>2467.7039999999997</v>
      </c>
      <c r="AKU8" s="235">
        <v>2467.7039999999997</v>
      </c>
      <c r="AKV8" s="239">
        <v>2023.2820000000002</v>
      </c>
      <c r="AKW8" s="239">
        <v>989.67200000000003</v>
      </c>
      <c r="AKX8" s="239">
        <v>989.67200000000003</v>
      </c>
      <c r="AKY8" s="239">
        <v>989.67200000000003</v>
      </c>
      <c r="AKZ8" s="239">
        <v>989.67200000000003</v>
      </c>
      <c r="ALA8" s="239">
        <v>989.67200000000003</v>
      </c>
      <c r="ALB8" s="239">
        <v>989.67200000000003</v>
      </c>
      <c r="ALC8" s="239">
        <v>2808.1020000000003</v>
      </c>
      <c r="ALD8" s="239">
        <v>2808.1020000000003</v>
      </c>
      <c r="ALE8" s="239">
        <v>2808.1020000000003</v>
      </c>
      <c r="ALF8" s="239">
        <v>2808.1020000000003</v>
      </c>
      <c r="ALG8" s="239">
        <v>2808.1020000000003</v>
      </c>
      <c r="ALH8" s="239">
        <v>2808.1020000000003</v>
      </c>
      <c r="ALI8" s="239">
        <v>2808.1020000000003</v>
      </c>
      <c r="ALJ8" s="239">
        <v>3972.5720000000001</v>
      </c>
      <c r="ALK8" s="239">
        <v>3972.5720000000001</v>
      </c>
      <c r="ALL8" s="239">
        <v>3972.5720000000001</v>
      </c>
      <c r="ALM8" s="239">
        <v>3972.5720000000001</v>
      </c>
      <c r="ALN8" s="239">
        <v>3972.5720000000001</v>
      </c>
      <c r="ALO8" s="239">
        <v>3972.5720000000001</v>
      </c>
      <c r="ALP8" s="239">
        <v>4973.8519999999999</v>
      </c>
      <c r="ALQ8" s="239">
        <v>7022.6119999999992</v>
      </c>
      <c r="ALR8" s="239">
        <v>8028.2319999999991</v>
      </c>
      <c r="ALS8" s="239">
        <v>8056.4619999999986</v>
      </c>
      <c r="ALT8" s="239">
        <v>8056.4619999999986</v>
      </c>
      <c r="ALU8" s="239">
        <v>8056.4619999999986</v>
      </c>
      <c r="ALV8" s="239">
        <v>8056.4619999999986</v>
      </c>
      <c r="ALW8" s="239">
        <v>8056.4619999999986</v>
      </c>
      <c r="ALX8" s="239">
        <v>8768.4419999999991</v>
      </c>
      <c r="ALY8" s="239">
        <v>8768.4419999999991</v>
      </c>
      <c r="ALZ8" s="235">
        <v>8768.4419999999991</v>
      </c>
      <c r="AMA8" s="239">
        <f>Actual!F158</f>
        <v>156864.272692</v>
      </c>
      <c r="AMB8" s="239">
        <f>Actual!G158</f>
        <v>156864.272692</v>
      </c>
      <c r="AMC8" s="239">
        <f>Actual!H158</f>
        <v>156864.272692</v>
      </c>
      <c r="AMD8" s="239">
        <f>Actual!I158</f>
        <v>156864.272692</v>
      </c>
      <c r="AME8" s="239">
        <f>Actual!J158</f>
        <v>158177.17069199999</v>
      </c>
      <c r="AMF8" s="239">
        <f>Actual!K158</f>
        <v>158177.17069199999</v>
      </c>
      <c r="AMG8" s="239">
        <f>Actual!L158</f>
        <v>158177.17069199999</v>
      </c>
      <c r="AMH8" s="239">
        <f>Actual!M158</f>
        <v>158177.17069199999</v>
      </c>
      <c r="AMI8" s="239">
        <f>Actual!N158</f>
        <v>158177.17069199999</v>
      </c>
      <c r="AMJ8" s="239" t="e">
        <f t="shared" ref="AMJ8:ANE8" si="5">AMI8+AMJ10-AMJ9</f>
        <v>#REF!</v>
      </c>
      <c r="AMK8" s="239" t="e">
        <f t="shared" si="5"/>
        <v>#REF!</v>
      </c>
      <c r="AML8" s="239" t="e">
        <f t="shared" si="5"/>
        <v>#REF!</v>
      </c>
      <c r="AMM8" s="239" t="e">
        <f t="shared" si="5"/>
        <v>#REF!</v>
      </c>
      <c r="AMN8" s="239" t="e">
        <f t="shared" si="5"/>
        <v>#REF!</v>
      </c>
      <c r="AMO8" s="239" t="e">
        <f t="shared" si="5"/>
        <v>#REF!</v>
      </c>
      <c r="AMP8" s="239" t="e">
        <f t="shared" si="5"/>
        <v>#REF!</v>
      </c>
      <c r="AMQ8" s="239" t="e">
        <f t="shared" si="5"/>
        <v>#REF!</v>
      </c>
      <c r="AMR8" s="239" t="e">
        <f t="shared" si="5"/>
        <v>#REF!</v>
      </c>
      <c r="AMS8" s="239" t="e">
        <f t="shared" si="5"/>
        <v>#REF!</v>
      </c>
      <c r="AMT8" s="239" t="e">
        <f t="shared" si="5"/>
        <v>#REF!</v>
      </c>
      <c r="AMU8" s="239" t="e">
        <f t="shared" si="5"/>
        <v>#REF!</v>
      </c>
      <c r="AMV8" s="239" t="e">
        <f t="shared" si="5"/>
        <v>#REF!</v>
      </c>
      <c r="AMW8" s="239" t="e">
        <f t="shared" si="5"/>
        <v>#REF!</v>
      </c>
      <c r="AMX8" s="239" t="e">
        <f t="shared" si="5"/>
        <v>#REF!</v>
      </c>
      <c r="AMY8" s="239" t="e">
        <f t="shared" si="5"/>
        <v>#REF!</v>
      </c>
      <c r="AMZ8" s="239" t="e">
        <f t="shared" si="5"/>
        <v>#REF!</v>
      </c>
      <c r="ANA8" s="239" t="e">
        <f t="shared" si="5"/>
        <v>#REF!</v>
      </c>
      <c r="ANB8" s="239" t="e">
        <f t="shared" si="5"/>
        <v>#REF!</v>
      </c>
      <c r="ANC8" s="239" t="e">
        <f t="shared" si="5"/>
        <v>#REF!</v>
      </c>
      <c r="AND8" s="239" t="e">
        <f t="shared" si="5"/>
        <v>#REF!</v>
      </c>
      <c r="ANE8" s="239" t="e">
        <f t="shared" si="5"/>
        <v>#REF!</v>
      </c>
      <c r="ANF8" s="235" t="e">
        <f>ANE8</f>
        <v>#REF!</v>
      </c>
      <c r="ANG8" s="234">
        <v>11943.561</v>
      </c>
      <c r="ANH8" s="234">
        <v>11944.561</v>
      </c>
      <c r="ANI8" s="234">
        <v>11945.561</v>
      </c>
      <c r="ANJ8" s="234">
        <v>11946.561</v>
      </c>
      <c r="ANK8" s="234">
        <v>11947.561</v>
      </c>
      <c r="ANL8" s="234">
        <v>11948.561</v>
      </c>
      <c r="ANM8" s="234">
        <v>11949.561</v>
      </c>
      <c r="ANN8" s="234">
        <v>11950.561</v>
      </c>
      <c r="ANO8" s="234">
        <v>11951.561</v>
      </c>
      <c r="ANP8" s="234">
        <v>11952.561</v>
      </c>
      <c r="ANQ8" s="234">
        <v>11953.561</v>
      </c>
      <c r="ANR8" s="234">
        <v>11954.561</v>
      </c>
      <c r="ANS8" s="234">
        <v>11955.561</v>
      </c>
      <c r="ANT8" s="234">
        <v>11956.561</v>
      </c>
      <c r="ANU8" s="234">
        <v>11957.561</v>
      </c>
      <c r="ANV8" s="234">
        <v>11958.561</v>
      </c>
      <c r="ANW8" s="234">
        <v>11959.561</v>
      </c>
      <c r="ANX8" s="234">
        <v>11960.561</v>
      </c>
      <c r="ANY8" s="234">
        <v>11961.561</v>
      </c>
      <c r="ANZ8" s="234">
        <v>11962.561</v>
      </c>
      <c r="AOA8" s="234">
        <v>11963.561</v>
      </c>
      <c r="AOB8" s="234">
        <v>11964.561</v>
      </c>
      <c r="AOC8" s="234">
        <v>11965.561</v>
      </c>
      <c r="AOD8" s="234">
        <v>11966.561</v>
      </c>
      <c r="AOE8" s="234">
        <v>11967.561</v>
      </c>
      <c r="AOF8" s="234">
        <v>11968.561</v>
      </c>
      <c r="AOG8" s="234">
        <v>11969.561</v>
      </c>
      <c r="AOH8" s="234">
        <v>11970.561</v>
      </c>
      <c r="AOI8" s="235">
        <v>11970.561</v>
      </c>
      <c r="AOJ8" s="234">
        <v>9049.6810000000005</v>
      </c>
      <c r="AOK8" s="234">
        <v>9049.6810000000005</v>
      </c>
      <c r="AOL8" s="234">
        <v>9049.6810000000005</v>
      </c>
      <c r="AOM8" s="234">
        <v>9049.6810000000005</v>
      </c>
      <c r="AON8" s="234">
        <v>9049.6810000000005</v>
      </c>
      <c r="AOO8" s="234">
        <v>9049.6810000000005</v>
      </c>
      <c r="AOP8" s="234">
        <v>9717.0010000000002</v>
      </c>
      <c r="AOQ8" s="234">
        <v>9717.0010000000002</v>
      </c>
      <c r="AOR8" s="234">
        <v>9717.0010000000002</v>
      </c>
      <c r="AOS8" s="234">
        <v>9723.1810000000005</v>
      </c>
      <c r="AOT8" s="234">
        <v>9723.1810000000005</v>
      </c>
      <c r="AOU8" s="234">
        <v>9723.1810000000005</v>
      </c>
      <c r="AOV8" s="234">
        <v>9723.1810000000005</v>
      </c>
      <c r="AOW8" s="234">
        <v>9750.6310000000012</v>
      </c>
      <c r="AOX8" s="234">
        <v>9750.6310000000012</v>
      </c>
      <c r="AOY8" s="234">
        <v>9750.6310000000012</v>
      </c>
      <c r="AOZ8" s="234">
        <v>9750.6310000000012</v>
      </c>
      <c r="APA8" s="234">
        <v>9750.6310000000012</v>
      </c>
      <c r="APB8" s="234">
        <v>9750.6310000000012</v>
      </c>
      <c r="APC8" s="234">
        <v>9750.6310000000012</v>
      </c>
      <c r="APD8" s="234">
        <v>10340.321000000002</v>
      </c>
      <c r="APE8" s="234">
        <v>10340.321000000002</v>
      </c>
      <c r="APF8" s="234">
        <v>10340.321000000002</v>
      </c>
      <c r="APG8" s="234">
        <v>10340.321000000002</v>
      </c>
      <c r="APH8" s="234">
        <v>10340.321000000002</v>
      </c>
      <c r="API8" s="234">
        <v>10340.321000000002</v>
      </c>
      <c r="APJ8" s="234">
        <v>10340.321000000002</v>
      </c>
      <c r="APK8" s="234">
        <v>10340.321000000002</v>
      </c>
      <c r="APL8" s="234">
        <v>10340.321000000002</v>
      </c>
      <c r="APM8" s="234">
        <v>10340.321000000002</v>
      </c>
      <c r="APN8" s="234">
        <v>10340.321000000002</v>
      </c>
      <c r="APO8" s="235">
        <v>10340.321000000002</v>
      </c>
      <c r="APP8" s="234">
        <v>10303.807000000001</v>
      </c>
      <c r="APQ8" s="234">
        <v>10303.807000000001</v>
      </c>
      <c r="APR8" s="234">
        <v>9556.3870000000006</v>
      </c>
      <c r="APS8" s="234">
        <v>7401.4770000000008</v>
      </c>
      <c r="APT8" s="234">
        <v>7363.2870000000012</v>
      </c>
      <c r="APU8" s="234">
        <v>6430.6470000000008</v>
      </c>
      <c r="APV8" s="234">
        <v>5408.7270000000008</v>
      </c>
      <c r="APW8" s="234">
        <v>3983.7670000000007</v>
      </c>
      <c r="APX8" s="234">
        <v>1374.157000000002</v>
      </c>
      <c r="APY8" s="234">
        <v>375.34</v>
      </c>
      <c r="APZ8" s="234">
        <v>0</v>
      </c>
      <c r="AQA8" s="234">
        <v>0</v>
      </c>
      <c r="AQB8" s="234">
        <v>0</v>
      </c>
      <c r="AQC8" s="234">
        <v>0</v>
      </c>
      <c r="AQD8" s="234">
        <f t="shared" ref="AQD8:AQS8" si="6">AQC8+AQD10-AQD9</f>
        <v>0</v>
      </c>
      <c r="AQE8" s="234">
        <f t="shared" si="6"/>
        <v>0</v>
      </c>
      <c r="AQF8" s="234">
        <f t="shared" si="6"/>
        <v>0</v>
      </c>
      <c r="AQG8" s="234">
        <f t="shared" si="6"/>
        <v>594.66000000000008</v>
      </c>
      <c r="AQH8" s="234">
        <f t="shared" si="6"/>
        <v>594.66000000000008</v>
      </c>
      <c r="AQI8" s="234">
        <f t="shared" si="6"/>
        <v>594.66000000000008</v>
      </c>
      <c r="AQJ8" s="234">
        <f t="shared" si="6"/>
        <v>594.66000000000008</v>
      </c>
      <c r="AQK8" s="234">
        <f t="shared" si="6"/>
        <v>594.66000000000008</v>
      </c>
      <c r="AQL8" s="234">
        <f t="shared" si="6"/>
        <v>594.66000000000008</v>
      </c>
      <c r="AQM8" s="234">
        <f t="shared" si="6"/>
        <v>594.66000000000008</v>
      </c>
      <c r="AQN8" s="234">
        <f t="shared" si="6"/>
        <v>594.66000000000008</v>
      </c>
      <c r="AQO8" s="234">
        <f t="shared" si="6"/>
        <v>1627.98</v>
      </c>
      <c r="AQP8" s="234">
        <f t="shared" si="6"/>
        <v>2430.25</v>
      </c>
      <c r="AQQ8" s="234">
        <f t="shared" si="6"/>
        <v>2827.96</v>
      </c>
      <c r="AQR8" s="234">
        <f t="shared" si="6"/>
        <v>3405.6400000000003</v>
      </c>
      <c r="AQS8" s="234">
        <f t="shared" si="6"/>
        <v>4435.8700000000008</v>
      </c>
      <c r="AQT8" s="235">
        <f>AQS8</f>
        <v>4435.8700000000008</v>
      </c>
      <c r="AQU8" s="234">
        <v>5570.1170000000129</v>
      </c>
      <c r="AQV8" s="234">
        <v>7324.0570000000134</v>
      </c>
      <c r="AQW8" s="234">
        <v>8959.0970000000125</v>
      </c>
      <c r="AQX8" s="234">
        <v>10191.707</v>
      </c>
      <c r="AQY8" s="234">
        <v>10191.707</v>
      </c>
      <c r="AQZ8" s="234">
        <v>10191.707</v>
      </c>
      <c r="ARA8" s="234">
        <v>10191.707</v>
      </c>
      <c r="ARB8" s="234">
        <v>10191.707</v>
      </c>
      <c r="ARC8" s="234">
        <v>10191.707</v>
      </c>
      <c r="ARD8" s="234">
        <v>10191.707</v>
      </c>
      <c r="ARE8" s="234">
        <v>10191.707</v>
      </c>
      <c r="ARF8" s="234">
        <v>10191.707</v>
      </c>
      <c r="ARG8" s="234">
        <v>10191.707</v>
      </c>
      <c r="ARH8" s="234">
        <v>10191.707</v>
      </c>
      <c r="ARI8" s="234">
        <v>10191.707</v>
      </c>
      <c r="ARJ8" s="234">
        <v>10191.707</v>
      </c>
      <c r="ARK8" s="234">
        <v>10191.707</v>
      </c>
      <c r="ARL8" s="234">
        <v>10191.707</v>
      </c>
      <c r="ARM8" s="234">
        <v>11007.267</v>
      </c>
      <c r="ARN8" s="234">
        <v>12038.207</v>
      </c>
      <c r="ARO8" s="234">
        <v>12038.207</v>
      </c>
      <c r="ARP8" s="234">
        <v>12063.717000000001</v>
      </c>
      <c r="ARQ8" s="234">
        <v>12683.317000000001</v>
      </c>
      <c r="ARR8" s="234">
        <v>12683.317000000001</v>
      </c>
      <c r="ARS8" s="234">
        <v>12683.317000000001</v>
      </c>
      <c r="ART8" s="234">
        <v>13256.067000000001</v>
      </c>
      <c r="ARU8" s="234">
        <v>13256.067000000001</v>
      </c>
      <c r="ARV8" s="234">
        <v>13256.067000000001</v>
      </c>
      <c r="ARW8" s="234">
        <v>13256.067000000001</v>
      </c>
      <c r="ARX8" s="234">
        <v>13256.067000000001</v>
      </c>
      <c r="ARY8" s="234">
        <v>13256.067000000001</v>
      </c>
      <c r="ARZ8" s="235">
        <f>ARY8</f>
        <v>13256.067000000001</v>
      </c>
      <c r="ASA8" s="234">
        <v>13081.830000000002</v>
      </c>
      <c r="ASB8" s="234">
        <v>13081.830000000002</v>
      </c>
      <c r="ASC8" s="234">
        <v>13081.830000000002</v>
      </c>
      <c r="ASD8" s="234">
        <v>13081.830000000002</v>
      </c>
      <c r="ASE8" s="234">
        <v>13197.780000000002</v>
      </c>
      <c r="ASF8" s="234">
        <v>13946.610000000002</v>
      </c>
      <c r="ASG8" s="234">
        <v>13946.610000000002</v>
      </c>
      <c r="ASH8" s="234">
        <v>13946.610000000002</v>
      </c>
      <c r="ASI8" s="234">
        <v>13946.610000000002</v>
      </c>
      <c r="ASJ8" s="234">
        <v>13946.610000000002</v>
      </c>
      <c r="ASK8" s="234">
        <v>13946.610000000002</v>
      </c>
      <c r="ASL8" s="234">
        <v>13946.610000000002</v>
      </c>
      <c r="ASM8" s="234">
        <v>14304.300000000003</v>
      </c>
      <c r="ASN8" s="234">
        <v>14304.300000000003</v>
      </c>
      <c r="ASO8" s="234">
        <v>14363.130000000003</v>
      </c>
      <c r="ASP8" s="234">
        <v>14363.130000000003</v>
      </c>
      <c r="ASQ8" s="234">
        <v>14363.130000000003</v>
      </c>
      <c r="ASR8" s="234">
        <v>14363.130000000003</v>
      </c>
      <c r="ASS8" s="234">
        <v>14363.130000000003</v>
      </c>
      <c r="AST8" s="234">
        <v>14812.240000000003</v>
      </c>
      <c r="ASU8" s="234">
        <v>14960.860000000004</v>
      </c>
      <c r="ASV8" s="234">
        <v>14960.860000000004</v>
      </c>
      <c r="ASW8" s="234">
        <v>14960.860000000004</v>
      </c>
      <c r="ASX8" s="234">
        <v>14960.860000000004</v>
      </c>
      <c r="ASY8" s="234">
        <v>14960.860000000004</v>
      </c>
      <c r="ASZ8" s="234">
        <v>14960.860000000004</v>
      </c>
      <c r="ATA8" s="234">
        <v>17015.370000000003</v>
      </c>
      <c r="ATB8" s="234">
        <v>18222.030000000002</v>
      </c>
      <c r="ATC8" s="234">
        <v>18447.870000000003</v>
      </c>
      <c r="ATD8" s="234">
        <v>19576.320000000003</v>
      </c>
      <c r="ATE8" s="235">
        <v>19576.320000000003</v>
      </c>
      <c r="ATF8" s="234">
        <v>21108.43699999998</v>
      </c>
      <c r="ATG8" s="234">
        <v>22066.426999999981</v>
      </c>
      <c r="ATH8" s="234">
        <v>22522.396215686254</v>
      </c>
      <c r="ATI8" s="234">
        <v>24002.436215686255</v>
      </c>
      <c r="ATJ8" s="234">
        <v>25419.356215686257</v>
      </c>
      <c r="ATK8" s="234">
        <v>25708.896215686258</v>
      </c>
      <c r="ATL8" s="234">
        <v>25738.286215686257</v>
      </c>
      <c r="ATM8" s="234">
        <v>26584.016215686257</v>
      </c>
      <c r="ATN8" s="234">
        <v>27973.536215686257</v>
      </c>
      <c r="ATO8" s="234">
        <v>27973.536215686257</v>
      </c>
      <c r="ATP8" s="234">
        <v>27973.536215686257</v>
      </c>
      <c r="ATQ8" s="234">
        <v>27973.536215686257</v>
      </c>
      <c r="ATR8" s="234">
        <v>27973.536215686257</v>
      </c>
      <c r="ATS8" s="234">
        <v>27973.536215686257</v>
      </c>
      <c r="ATT8" s="234">
        <v>27973.536215686257</v>
      </c>
      <c r="ATU8" s="234">
        <v>27973.536215686257</v>
      </c>
      <c r="ATV8" s="234">
        <v>28385.866215686256</v>
      </c>
      <c r="ATW8" s="234">
        <v>29456.266215686257</v>
      </c>
      <c r="ATX8" s="234">
        <v>29456.266215686257</v>
      </c>
      <c r="ATY8" s="234">
        <v>29456.266215686257</v>
      </c>
      <c r="ATZ8" s="234">
        <v>29456.266215686257</v>
      </c>
      <c r="AUA8" s="234">
        <v>27693.206215686256</v>
      </c>
      <c r="AUB8" s="234">
        <v>25019.516215686257</v>
      </c>
      <c r="AUC8" s="234">
        <v>21888.946215686257</v>
      </c>
      <c r="AUD8" s="234">
        <v>18947.956215686256</v>
      </c>
      <c r="AUE8" s="234">
        <v>15615.126215686254</v>
      </c>
      <c r="AUF8" s="234">
        <v>16991.206215686252</v>
      </c>
      <c r="AUG8" s="234">
        <v>18424.846215686252</v>
      </c>
      <c r="AUH8" s="234">
        <v>21818.746215686253</v>
      </c>
      <c r="AUI8" s="234">
        <v>24291.976215686253</v>
      </c>
      <c r="AUJ8" s="234">
        <v>26468.806215686254</v>
      </c>
      <c r="AUK8" s="235">
        <v>26468.806215686254</v>
      </c>
      <c r="AUL8" s="239">
        <v>5583.0862156862377</v>
      </c>
      <c r="AUM8" s="239">
        <v>8163.1362156862378</v>
      </c>
      <c r="AUN8" s="239">
        <v>10576.756215686237</v>
      </c>
      <c r="AUO8" s="239">
        <v>12322.596215686237</v>
      </c>
      <c r="AUP8" s="239">
        <v>14166.956215686238</v>
      </c>
      <c r="AUQ8" s="239">
        <v>16393.446215686239</v>
      </c>
      <c r="AUR8" s="239">
        <v>18599.66621568624</v>
      </c>
      <c r="AUS8" s="239">
        <v>20921.82621568624</v>
      </c>
      <c r="AUT8" s="239">
        <v>21585.91621568624</v>
      </c>
      <c r="AUU8" s="239">
        <v>19471.186215686241</v>
      </c>
      <c r="AUV8" s="239">
        <v>17719.526215686241</v>
      </c>
      <c r="AUW8" s="239">
        <v>14537.896215686242</v>
      </c>
      <c r="AUX8" s="239">
        <v>11630.926215686242</v>
      </c>
      <c r="AUY8" s="239">
        <v>8212.8462156862406</v>
      </c>
      <c r="AUZ8" s="239">
        <v>8806.6362156862397</v>
      </c>
      <c r="AVA8" s="239">
        <v>6178.4362156862389</v>
      </c>
      <c r="AVB8" s="239">
        <v>4975.8162156862381</v>
      </c>
      <c r="AVC8" s="239">
        <v>2407.7962156862377</v>
      </c>
      <c r="AVD8" s="239">
        <v>-1021.2437843137614</v>
      </c>
      <c r="AVE8" s="239">
        <v>-4367.6837843137619</v>
      </c>
      <c r="AVF8" s="239">
        <v>-7544.7137843137616</v>
      </c>
      <c r="AVG8" s="239">
        <v>-10752.51378431376</v>
      </c>
      <c r="AVH8" s="239">
        <v>-13981.03378431376</v>
      </c>
      <c r="AVI8" s="239">
        <v>-16599.19378431376</v>
      </c>
      <c r="AVJ8" s="239">
        <v>-18751.94378431376</v>
      </c>
      <c r="AVK8" s="239">
        <v>-21153.143784313761</v>
      </c>
      <c r="AVL8" s="239">
        <v>-21153.143784313761</v>
      </c>
      <c r="AVM8" s="239">
        <v>-21153.143784313761</v>
      </c>
      <c r="AVN8" s="239">
        <v>-19537.683784313762</v>
      </c>
      <c r="AVO8" s="239">
        <v>-19388.293784313762</v>
      </c>
      <c r="AVP8" s="239">
        <v>-19388.293784313762</v>
      </c>
      <c r="AVQ8" s="235">
        <f>AVP8</f>
        <v>-19388.293784313762</v>
      </c>
      <c r="AVR8" s="239">
        <v>3773.703215686226</v>
      </c>
      <c r="AVS8" s="239">
        <v>3773.703215686226</v>
      </c>
      <c r="AVT8" s="239">
        <v>3773.703215686226</v>
      </c>
      <c r="AVU8" s="239">
        <v>3773.703215686226</v>
      </c>
      <c r="AVV8" s="239">
        <v>5293.0832156862261</v>
      </c>
      <c r="AVW8" s="239">
        <v>5293.0832156862261</v>
      </c>
      <c r="AVX8" s="239">
        <v>5353.4132156862261</v>
      </c>
      <c r="AVY8" s="239">
        <v>5353.4132156862261</v>
      </c>
      <c r="AVZ8" s="239">
        <v>5353.4132156862261</v>
      </c>
      <c r="AWA8" s="239">
        <v>5353.4132156862261</v>
      </c>
      <c r="AWB8" s="239">
        <v>5353.4132156862261</v>
      </c>
      <c r="AWC8" s="239">
        <v>6507.6032156862257</v>
      </c>
      <c r="AWD8" s="239">
        <v>6507.6032156862257</v>
      </c>
      <c r="AWE8" s="239">
        <v>6507.6032156862257</v>
      </c>
      <c r="AWF8" s="239">
        <v>6507.6032156862257</v>
      </c>
      <c r="AWG8" s="239">
        <v>6507.6032156862257</v>
      </c>
      <c r="AWH8" s="239">
        <v>6507.6032156862257</v>
      </c>
      <c r="AWI8" s="239">
        <v>6507.6032156862257</v>
      </c>
      <c r="AWJ8" s="239">
        <v>7316.2632156862255</v>
      </c>
      <c r="AWK8" s="239">
        <v>7316.2632156862255</v>
      </c>
      <c r="AWL8" s="239">
        <v>7316.2632156862255</v>
      </c>
      <c r="AWM8" s="239">
        <v>7316.2632156862255</v>
      </c>
      <c r="AWN8" s="239">
        <v>7316.2632156862255</v>
      </c>
      <c r="AWO8" s="239">
        <v>7316.2632156862255</v>
      </c>
      <c r="AWP8" s="239">
        <v>7316.2632156862255</v>
      </c>
      <c r="AWQ8" s="239">
        <v>10057.603215686226</v>
      </c>
      <c r="AWR8" s="239">
        <v>11888.603215686226</v>
      </c>
      <c r="AWS8" s="239">
        <v>13705.883215686226</v>
      </c>
      <c r="AWT8" s="239">
        <v>15670.393215686227</v>
      </c>
      <c r="AWU8" s="239">
        <v>16582.043215686226</v>
      </c>
      <c r="AWV8" s="235">
        <v>16582.043215686226</v>
      </c>
      <c r="AWW8" s="239">
        <v>17586.463</v>
      </c>
      <c r="AWX8" s="239">
        <v>18569.663</v>
      </c>
      <c r="AWY8" s="239">
        <v>21037.893</v>
      </c>
      <c r="AWZ8" s="239">
        <v>24411.983</v>
      </c>
      <c r="AXA8" s="239">
        <v>27151.553</v>
      </c>
      <c r="AXB8" s="239">
        <v>29374.143</v>
      </c>
      <c r="AXC8" s="239">
        <v>31908.332999999999</v>
      </c>
      <c r="AXD8" s="239">
        <v>33880.652999999998</v>
      </c>
      <c r="AXE8" s="239">
        <v>34047.453000000001</v>
      </c>
      <c r="AXF8" s="239">
        <v>34047.453000000001</v>
      </c>
      <c r="AXG8" s="239">
        <v>34047.453000000001</v>
      </c>
      <c r="AXH8" s="239">
        <v>34047.453000000001</v>
      </c>
      <c r="AXI8" s="239">
        <v>34047.453000000001</v>
      </c>
      <c r="AXJ8" s="239">
        <v>34047.453000000001</v>
      </c>
      <c r="AXK8" s="239">
        <v>34047.453000000001</v>
      </c>
      <c r="AXL8" s="239">
        <v>34107.762999999999</v>
      </c>
      <c r="AXM8" s="239">
        <v>34135.703000000001</v>
      </c>
      <c r="AXN8" s="239">
        <v>34135.703000000001</v>
      </c>
      <c r="AXO8" s="239">
        <v>32728.223000000002</v>
      </c>
      <c r="AXP8" s="239">
        <v>27680.113000000001</v>
      </c>
      <c r="AXQ8" s="239">
        <v>22465.343000000001</v>
      </c>
      <c r="AXR8" s="239">
        <v>17468.553</v>
      </c>
      <c r="AXS8" s="239">
        <v>14749.852999999999</v>
      </c>
      <c r="AXT8" s="239">
        <v>14082.192999999999</v>
      </c>
      <c r="AXU8" s="239">
        <v>8970.0229999999974</v>
      </c>
      <c r="AXV8" s="239">
        <v>4239.1129999999985</v>
      </c>
      <c r="AXW8" s="239">
        <v>1845.7329999999984</v>
      </c>
      <c r="AXX8" s="239">
        <v>1845.7329999999984</v>
      </c>
      <c r="AXY8" s="239">
        <v>1845.7329999999984</v>
      </c>
      <c r="AXZ8" s="239">
        <v>1845.7329999999984</v>
      </c>
      <c r="AYA8" s="239">
        <v>2088.9429999999984</v>
      </c>
      <c r="AYB8" s="235">
        <v>2088.9429999999984</v>
      </c>
      <c r="AYC8" s="239">
        <v>3171.3519999999999</v>
      </c>
      <c r="AYD8" s="239">
        <v>4417.3419999999996</v>
      </c>
      <c r="AYE8" s="239">
        <v>6273.6719999999996</v>
      </c>
      <c r="AYF8" s="239">
        <v>7079.5319999999992</v>
      </c>
      <c r="AYG8" s="239">
        <v>10443.281999999999</v>
      </c>
      <c r="AYH8" s="239">
        <v>13480.552</v>
      </c>
      <c r="AYI8" s="239">
        <v>17184.011999999999</v>
      </c>
      <c r="AYJ8" s="239">
        <v>19864.271999999997</v>
      </c>
      <c r="AYK8" s="239">
        <v>22870.962</v>
      </c>
      <c r="AYL8" s="239">
        <v>25013.581999999999</v>
      </c>
      <c r="AYM8" s="239">
        <v>28332.021999999997</v>
      </c>
      <c r="AYN8" s="239">
        <v>30335.321999999996</v>
      </c>
      <c r="AYO8" s="239">
        <v>32050.151999999995</v>
      </c>
      <c r="AYP8" s="239">
        <v>32938.971999999994</v>
      </c>
      <c r="AYQ8" s="239">
        <v>32938.971999999994</v>
      </c>
      <c r="AYR8" s="239">
        <v>32938.971999999994</v>
      </c>
      <c r="AYS8" s="239">
        <v>32938.971999999994</v>
      </c>
      <c r="AYT8" s="239">
        <v>32938.971999999994</v>
      </c>
      <c r="AYU8" s="239">
        <v>32938.971999999994</v>
      </c>
      <c r="AYV8" s="239">
        <v>32938.971999999994</v>
      </c>
      <c r="AYW8" s="239">
        <v>32938.971999999994</v>
      </c>
      <c r="AYX8" s="239">
        <v>32938.971999999994</v>
      </c>
      <c r="AYY8" s="239">
        <v>31148.971999999994</v>
      </c>
      <c r="AYZ8" s="239">
        <v>29088.201999999994</v>
      </c>
      <c r="AZA8" s="239">
        <v>25761.951999999994</v>
      </c>
      <c r="AZB8" s="239">
        <v>23710.061999999994</v>
      </c>
      <c r="AZC8" s="239">
        <v>20634.701999999994</v>
      </c>
      <c r="AZD8" s="239">
        <v>19501.591999999993</v>
      </c>
      <c r="AZE8" s="239">
        <v>17088.771999999994</v>
      </c>
      <c r="AZF8" s="239">
        <v>17088.771999999994</v>
      </c>
      <c r="AZG8" s="235">
        <v>17088.771999999994</v>
      </c>
      <c r="AZH8" s="239">
        <f>Actual!F158</f>
        <v>156864.272692</v>
      </c>
      <c r="AZI8" s="239">
        <f>Actual!G158</f>
        <v>156864.272692</v>
      </c>
      <c r="AZJ8" s="239">
        <f>Actual!H158</f>
        <v>156864.272692</v>
      </c>
      <c r="AZK8" s="239">
        <f>Actual!I158</f>
        <v>156864.272692</v>
      </c>
      <c r="AZL8" s="239">
        <f>Actual!J158</f>
        <v>158177.17069199999</v>
      </c>
      <c r="AZM8" s="239">
        <f>Actual!K158</f>
        <v>158177.17069199999</v>
      </c>
      <c r="AZN8" s="239">
        <f>Actual!L158</f>
        <v>158177.17069199999</v>
      </c>
      <c r="AZO8" s="239">
        <f>Actual!M158</f>
        <v>158177.17069199999</v>
      </c>
      <c r="AZP8" s="239">
        <f>Actual!N158</f>
        <v>158177.17069199999</v>
      </c>
      <c r="AZQ8" s="239">
        <f>Actual!O158</f>
        <v>158177.17069199999</v>
      </c>
      <c r="AZR8" s="239">
        <f>Actual!P158</f>
        <v>158177.17069199999</v>
      </c>
      <c r="AZS8" s="239">
        <f>Actual!Q158</f>
        <v>158177.17069199999</v>
      </c>
      <c r="AZT8" s="239">
        <f>Actual!R158</f>
        <v>158177.17069199999</v>
      </c>
      <c r="AZU8" s="239">
        <f>Actual!S158</f>
        <v>158177.17069199999</v>
      </c>
      <c r="AZV8" s="239">
        <f>Actual!T158</f>
        <v>158177.17069199999</v>
      </c>
      <c r="AZW8" s="239" t="e">
        <f t="shared" ref="AZW8:BAL8" si="7">AZV8+AZW10-AZW9</f>
        <v>#REF!</v>
      </c>
      <c r="AZX8" s="239" t="e">
        <f t="shared" si="7"/>
        <v>#REF!</v>
      </c>
      <c r="AZY8" s="239" t="e">
        <f t="shared" si="7"/>
        <v>#REF!</v>
      </c>
      <c r="AZZ8" s="239" t="e">
        <f t="shared" si="7"/>
        <v>#REF!</v>
      </c>
      <c r="BAA8" s="239" t="e">
        <f t="shared" si="7"/>
        <v>#REF!</v>
      </c>
      <c r="BAB8" s="239" t="e">
        <f t="shared" si="7"/>
        <v>#REF!</v>
      </c>
      <c r="BAC8" s="239" t="e">
        <f t="shared" si="7"/>
        <v>#REF!</v>
      </c>
      <c r="BAD8" s="239" t="e">
        <f t="shared" si="7"/>
        <v>#REF!</v>
      </c>
      <c r="BAE8" s="239" t="e">
        <f>BAD8+BAE10-BAE9</f>
        <v>#REF!</v>
      </c>
      <c r="BAF8" s="239" t="e">
        <f>BAE8+BAF10-BAF9</f>
        <v>#REF!</v>
      </c>
      <c r="BAG8" s="239" t="e">
        <f t="shared" si="7"/>
        <v>#REF!</v>
      </c>
      <c r="BAH8" s="239" t="e">
        <f t="shared" si="7"/>
        <v>#REF!</v>
      </c>
      <c r="BAI8" s="239" t="e">
        <f t="shared" si="7"/>
        <v>#REF!</v>
      </c>
      <c r="BAJ8" s="239" t="e">
        <f t="shared" si="7"/>
        <v>#REF!</v>
      </c>
      <c r="BAK8" s="239" t="e">
        <f t="shared" si="7"/>
        <v>#REF!</v>
      </c>
      <c r="BAL8" s="239" t="e">
        <f t="shared" si="7"/>
        <v>#REF!</v>
      </c>
      <c r="BAM8" s="235" t="e">
        <f>BAL8</f>
        <v>#REF!</v>
      </c>
    </row>
    <row r="9" spans="2:1392">
      <c r="B9" s="524" t="s">
        <v>358</v>
      </c>
      <c r="C9" s="525">
        <f>(Actual!F161+Actual!F169)/1000</f>
        <v>0</v>
      </c>
      <c r="D9" s="525">
        <f>(Actual!G161+Actual!G169)/1000</f>
        <v>0</v>
      </c>
      <c r="E9" s="525">
        <f>(Actual!H161+Actual!H169)/1000</f>
        <v>0</v>
      </c>
      <c r="F9" s="525">
        <f>(Actual!I161+Actual!I169)/1000</f>
        <v>0</v>
      </c>
      <c r="G9" s="525">
        <f>(Actual!J161+Actual!J169)/1000</f>
        <v>0</v>
      </c>
      <c r="H9" s="525">
        <f>(Actual!K161+Actual!K169)/1000</f>
        <v>0</v>
      </c>
      <c r="I9" s="525">
        <f>(Actual!L161+Actual!L169)/1000</f>
        <v>0</v>
      </c>
      <c r="J9" s="525">
        <f>(Actual!M161+Actual!M169)/1000</f>
        <v>0</v>
      </c>
      <c r="K9" s="525">
        <f>(Actual!N161+Actual!N169)/1000</f>
        <v>0</v>
      </c>
      <c r="L9" s="525">
        <f>(Actual!O161+Actual!O169)/1000</f>
        <v>0</v>
      </c>
      <c r="M9" s="525">
        <f>(Actual!P161+Actual!P169)/1000</f>
        <v>0</v>
      </c>
      <c r="N9" s="525">
        <f>(Actual!Q161+Actual!Q169)/1000</f>
        <v>0</v>
      </c>
      <c r="O9" s="525">
        <f>(Actual!R161+Actual!R169)/1000</f>
        <v>0</v>
      </c>
      <c r="P9" s="525">
        <f>(Actual!S161+Actual!S169)/1000</f>
        <v>0</v>
      </c>
      <c r="Q9" s="525">
        <f>(Actual!T161+Actual!T169)/1000</f>
        <v>0</v>
      </c>
      <c r="R9" s="525">
        <f>(Actual!U161+Actual!U169)/1000</f>
        <v>0</v>
      </c>
      <c r="S9" s="525">
        <f>(Actual!V161+Actual!V169)/1000</f>
        <v>0</v>
      </c>
      <c r="T9" s="525">
        <f>(Actual!W161+Actual!W169)/1000</f>
        <v>0</v>
      </c>
      <c r="U9" s="525">
        <f>(Actual!X161+Actual!X169)/1000</f>
        <v>0</v>
      </c>
      <c r="V9" s="525">
        <f>(Actual!Y161+Actual!Y169)/1000</f>
        <v>0</v>
      </c>
      <c r="W9" s="525">
        <f>(Actual!Z161+Actual!Z169)/1000</f>
        <v>0</v>
      </c>
      <c r="X9" s="525">
        <f>(Actual!AA161+Actual!AA169)/1000</f>
        <v>0</v>
      </c>
      <c r="Y9" s="525">
        <f>(Actual!AB161+Actual!AB169)/1000</f>
        <v>0</v>
      </c>
      <c r="Z9" s="525">
        <f>(Actual!AC161+Actual!AC169)/1000</f>
        <v>0</v>
      </c>
      <c r="AA9" s="525">
        <f>(Actual!AD161+Actual!AD169)/1000</f>
        <v>0</v>
      </c>
      <c r="AB9" s="525">
        <f>(Actual!AE161+Actual!AE169)/1000</f>
        <v>0</v>
      </c>
      <c r="AC9" s="525">
        <f>(Actual!AF161+Actual!AF169)/1000</f>
        <v>0</v>
      </c>
      <c r="AD9" s="525">
        <f>(Actual!AG161+Actual!AG169)/1000</f>
        <v>0</v>
      </c>
      <c r="AE9" s="525">
        <f>(Actual!AH161+Actual!AH169)/1000</f>
        <v>0</v>
      </c>
      <c r="AF9" s="525">
        <f>(Actual!AI161+Actual!AI169)/1000</f>
        <v>0</v>
      </c>
      <c r="AG9" s="525">
        <f>(Actual!AJ161+Actual!AJ169)/1000</f>
        <v>0</v>
      </c>
      <c r="AH9" s="235">
        <f>SUM(C9:AG9)</f>
        <v>0</v>
      </c>
      <c r="AI9" s="234">
        <v>0</v>
      </c>
      <c r="AJ9" s="234">
        <v>0</v>
      </c>
      <c r="AK9" s="234">
        <v>0</v>
      </c>
      <c r="AL9" s="234">
        <v>0</v>
      </c>
      <c r="AM9" s="234">
        <v>0</v>
      </c>
      <c r="AN9" s="234">
        <v>0</v>
      </c>
      <c r="AO9" s="234">
        <v>0</v>
      </c>
      <c r="AP9" s="234">
        <v>0</v>
      </c>
      <c r="AQ9" s="234">
        <v>0</v>
      </c>
      <c r="AR9" s="234">
        <v>0</v>
      </c>
      <c r="AS9" s="234">
        <v>0</v>
      </c>
      <c r="AT9" s="234">
        <v>695.16</v>
      </c>
      <c r="AU9" s="234">
        <v>3653.73</v>
      </c>
      <c r="AV9" s="234">
        <v>0</v>
      </c>
      <c r="AW9" s="234">
        <v>0</v>
      </c>
      <c r="AX9" s="234">
        <v>0</v>
      </c>
      <c r="AY9" s="234">
        <v>0</v>
      </c>
      <c r="AZ9" s="234">
        <v>0</v>
      </c>
      <c r="BA9" s="234">
        <v>0</v>
      </c>
      <c r="BB9" s="234">
        <v>0</v>
      </c>
      <c r="BC9" s="234">
        <v>0</v>
      </c>
      <c r="BD9" s="234">
        <v>0</v>
      </c>
      <c r="BE9" s="234">
        <v>0</v>
      </c>
      <c r="BF9" s="234">
        <v>0</v>
      </c>
      <c r="BG9" s="234">
        <v>0</v>
      </c>
      <c r="BH9" s="234">
        <v>0</v>
      </c>
      <c r="BI9" s="234">
        <v>0</v>
      </c>
      <c r="BJ9" s="234">
        <v>0</v>
      </c>
      <c r="BK9" s="235">
        <f t="shared" ref="BK9:BK16" si="8">SUM(AI9:BJ9)</f>
        <v>4348.8900000000003</v>
      </c>
      <c r="BL9" s="234">
        <v>0</v>
      </c>
      <c r="BM9" s="234">
        <v>0</v>
      </c>
      <c r="BN9" s="234">
        <v>0</v>
      </c>
      <c r="BO9" s="234">
        <v>0</v>
      </c>
      <c r="BP9" s="234">
        <v>0</v>
      </c>
      <c r="BQ9" s="234">
        <v>0</v>
      </c>
      <c r="BR9" s="234">
        <v>0</v>
      </c>
      <c r="BS9" s="234">
        <v>0</v>
      </c>
      <c r="BT9" s="234">
        <v>0</v>
      </c>
      <c r="BU9" s="234">
        <v>0</v>
      </c>
      <c r="BV9" s="234">
        <v>0</v>
      </c>
      <c r="BW9" s="234">
        <v>0</v>
      </c>
      <c r="BX9" s="234">
        <v>0</v>
      </c>
      <c r="BY9" s="234">
        <v>0</v>
      </c>
      <c r="BZ9" s="234">
        <v>0</v>
      </c>
      <c r="CA9" s="234">
        <v>0</v>
      </c>
      <c r="CB9" s="234">
        <v>0</v>
      </c>
      <c r="CC9" s="234">
        <v>0</v>
      </c>
      <c r="CD9" s="234">
        <v>0</v>
      </c>
      <c r="CE9" s="234">
        <v>0</v>
      </c>
      <c r="CF9" s="234">
        <v>0</v>
      </c>
      <c r="CG9" s="234">
        <v>0</v>
      </c>
      <c r="CH9" s="234">
        <v>0</v>
      </c>
      <c r="CI9" s="234">
        <v>0</v>
      </c>
      <c r="CJ9" s="234">
        <v>0</v>
      </c>
      <c r="CK9" s="234">
        <v>0</v>
      </c>
      <c r="CL9" s="234">
        <v>0</v>
      </c>
      <c r="CM9" s="234">
        <v>0</v>
      </c>
      <c r="CN9" s="234">
        <v>0</v>
      </c>
      <c r="CO9" s="234">
        <v>0</v>
      </c>
      <c r="CP9" s="234">
        <v>0</v>
      </c>
      <c r="CQ9" s="235">
        <f>SUM(BL9:CM9)</f>
        <v>0</v>
      </c>
      <c r="CR9" s="234">
        <v>0</v>
      </c>
      <c r="CS9" s="234">
        <v>0</v>
      </c>
      <c r="CT9" s="234"/>
      <c r="CU9" s="234">
        <v>0</v>
      </c>
      <c r="CV9" s="234">
        <v>0</v>
      </c>
      <c r="CW9" s="234">
        <v>0</v>
      </c>
      <c r="CX9" s="234">
        <v>0</v>
      </c>
      <c r="CY9" s="234">
        <v>0</v>
      </c>
      <c r="CZ9" s="234">
        <v>0</v>
      </c>
      <c r="DA9" s="234">
        <v>0</v>
      </c>
      <c r="DB9" s="234">
        <v>0</v>
      </c>
      <c r="DC9" s="234">
        <v>0</v>
      </c>
      <c r="DD9" s="234">
        <v>0</v>
      </c>
      <c r="DE9" s="234">
        <v>0</v>
      </c>
      <c r="DF9" s="234">
        <v>0</v>
      </c>
      <c r="DG9" s="234">
        <v>0</v>
      </c>
      <c r="DH9" s="234">
        <v>0</v>
      </c>
      <c r="DI9" s="234">
        <v>0</v>
      </c>
      <c r="DJ9" s="234">
        <v>0</v>
      </c>
      <c r="DK9" s="234">
        <v>0</v>
      </c>
      <c r="DL9" s="234">
        <v>0</v>
      </c>
      <c r="DM9" s="234">
        <v>0</v>
      </c>
      <c r="DN9" s="234">
        <v>0</v>
      </c>
      <c r="DO9" s="234">
        <v>0</v>
      </c>
      <c r="DP9" s="234">
        <v>0</v>
      </c>
      <c r="DQ9" s="234">
        <v>0</v>
      </c>
      <c r="DR9" s="234">
        <v>0</v>
      </c>
      <c r="DS9" s="234">
        <v>0</v>
      </c>
      <c r="DT9" s="234">
        <v>0</v>
      </c>
      <c r="DU9" s="234">
        <v>0</v>
      </c>
      <c r="DV9" s="234">
        <v>0</v>
      </c>
      <c r="DW9" s="235">
        <f>SUM(CR9:DS9)</f>
        <v>0</v>
      </c>
      <c r="DX9" s="234">
        <v>0</v>
      </c>
      <c r="DY9" s="234">
        <v>0</v>
      </c>
      <c r="DZ9" s="234"/>
      <c r="EA9" s="234">
        <v>0</v>
      </c>
      <c r="EB9" s="234">
        <v>0</v>
      </c>
      <c r="EC9" s="234">
        <v>0</v>
      </c>
      <c r="ED9" s="234">
        <v>0</v>
      </c>
      <c r="EE9" s="234">
        <v>0</v>
      </c>
      <c r="EF9" s="234">
        <v>0</v>
      </c>
      <c r="EG9" s="234">
        <v>0</v>
      </c>
      <c r="EH9" s="234">
        <v>0</v>
      </c>
      <c r="EI9" s="234">
        <v>0</v>
      </c>
      <c r="EJ9" s="234">
        <v>0</v>
      </c>
      <c r="EK9" s="234">
        <v>0</v>
      </c>
      <c r="EL9" s="234">
        <v>0</v>
      </c>
      <c r="EM9" s="234">
        <v>0</v>
      </c>
      <c r="EN9" s="234">
        <v>0</v>
      </c>
      <c r="EO9" s="234">
        <v>0</v>
      </c>
      <c r="EP9" s="234">
        <v>0</v>
      </c>
      <c r="EQ9" s="234">
        <v>0</v>
      </c>
      <c r="ER9" s="234">
        <v>0</v>
      </c>
      <c r="ES9" s="234">
        <v>0</v>
      </c>
      <c r="ET9" s="234">
        <v>0</v>
      </c>
      <c r="EU9" s="234">
        <v>0</v>
      </c>
      <c r="EV9" s="234">
        <v>0</v>
      </c>
      <c r="EW9" s="234">
        <v>0</v>
      </c>
      <c r="EX9" s="234">
        <v>0</v>
      </c>
      <c r="EY9" s="234">
        <v>0</v>
      </c>
      <c r="EZ9" s="234">
        <v>0</v>
      </c>
      <c r="FA9" s="234">
        <v>0</v>
      </c>
      <c r="FB9" s="234">
        <v>0</v>
      </c>
      <c r="FC9" s="235">
        <f>SUM(DX9:EY9)</f>
        <v>0</v>
      </c>
      <c r="FD9" s="234">
        <v>0</v>
      </c>
      <c r="FE9" s="234">
        <v>0</v>
      </c>
      <c r="FF9" s="234">
        <v>0</v>
      </c>
      <c r="FG9" s="234">
        <v>0</v>
      </c>
      <c r="FH9" s="234">
        <v>0</v>
      </c>
      <c r="FI9" s="234">
        <v>0</v>
      </c>
      <c r="FJ9" s="234">
        <v>0</v>
      </c>
      <c r="FK9" s="234">
        <v>0</v>
      </c>
      <c r="FL9" s="234">
        <v>0</v>
      </c>
      <c r="FM9" s="234">
        <v>0</v>
      </c>
      <c r="FN9" s="234">
        <v>0</v>
      </c>
      <c r="FO9" s="234">
        <v>0</v>
      </c>
      <c r="FP9" s="234">
        <v>0</v>
      </c>
      <c r="FQ9" s="234">
        <v>0</v>
      </c>
      <c r="FR9" s="234">
        <v>0</v>
      </c>
      <c r="FS9" s="234">
        <v>0</v>
      </c>
      <c r="FT9" s="234">
        <v>0</v>
      </c>
      <c r="FU9" s="234">
        <v>0</v>
      </c>
      <c r="FV9" s="234">
        <v>0</v>
      </c>
      <c r="FW9" s="234">
        <v>0</v>
      </c>
      <c r="FX9" s="234">
        <v>0</v>
      </c>
      <c r="FY9" s="234">
        <v>0</v>
      </c>
      <c r="FZ9" s="234">
        <v>0</v>
      </c>
      <c r="GA9" s="234">
        <v>0</v>
      </c>
      <c r="GB9" s="234">
        <v>0</v>
      </c>
      <c r="GC9" s="234">
        <v>0</v>
      </c>
      <c r="GD9" s="234">
        <v>0</v>
      </c>
      <c r="GE9" s="234">
        <v>0</v>
      </c>
      <c r="GF9" s="234">
        <v>0</v>
      </c>
      <c r="GG9" s="234">
        <v>0</v>
      </c>
      <c r="GH9" s="234"/>
      <c r="GI9" s="235">
        <f>SUM(FD9:GE9)</f>
        <v>0</v>
      </c>
      <c r="GJ9" s="234">
        <v>0</v>
      </c>
      <c r="GK9" s="234">
        <v>0</v>
      </c>
      <c r="GL9" s="234"/>
      <c r="GM9" s="234">
        <v>0</v>
      </c>
      <c r="GN9" s="234">
        <v>0</v>
      </c>
      <c r="GO9" s="234">
        <v>0</v>
      </c>
      <c r="GP9" s="234">
        <v>0</v>
      </c>
      <c r="GQ9" s="234">
        <v>0</v>
      </c>
      <c r="GR9" s="234">
        <v>0</v>
      </c>
      <c r="GS9" s="234">
        <v>0</v>
      </c>
      <c r="GT9" s="234">
        <v>0</v>
      </c>
      <c r="GU9" s="234">
        <v>0</v>
      </c>
      <c r="GV9" s="234">
        <v>0</v>
      </c>
      <c r="GW9" s="234">
        <v>0</v>
      </c>
      <c r="GX9" s="234">
        <v>0</v>
      </c>
      <c r="GY9" s="234">
        <v>0</v>
      </c>
      <c r="GZ9" s="234">
        <v>0</v>
      </c>
      <c r="HA9" s="234">
        <v>0</v>
      </c>
      <c r="HB9" s="234">
        <v>0</v>
      </c>
      <c r="HC9" s="234">
        <v>0</v>
      </c>
      <c r="HD9" s="234">
        <v>0</v>
      </c>
      <c r="HE9" s="234">
        <v>0</v>
      </c>
      <c r="HF9" s="234">
        <v>0</v>
      </c>
      <c r="HG9" s="234">
        <v>0</v>
      </c>
      <c r="HH9" s="234">
        <v>0</v>
      </c>
      <c r="HI9" s="234">
        <v>0</v>
      </c>
      <c r="HJ9" s="234">
        <v>0</v>
      </c>
      <c r="HK9" s="234">
        <v>0</v>
      </c>
      <c r="HL9" s="234">
        <v>0</v>
      </c>
      <c r="HM9" s="234">
        <v>0</v>
      </c>
      <c r="HN9" s="234"/>
      <c r="HO9" s="235">
        <f>SUM(GJ9:HK9)</f>
        <v>0</v>
      </c>
      <c r="HP9" s="234">
        <v>0</v>
      </c>
      <c r="HQ9" s="234">
        <v>0</v>
      </c>
      <c r="HR9" s="234">
        <v>0</v>
      </c>
      <c r="HS9" s="234">
        <v>0</v>
      </c>
      <c r="HT9" s="234">
        <v>0</v>
      </c>
      <c r="HU9" s="234">
        <v>0</v>
      </c>
      <c r="HV9" s="234">
        <v>0</v>
      </c>
      <c r="HW9" s="234">
        <v>0</v>
      </c>
      <c r="HX9" s="234">
        <v>0</v>
      </c>
      <c r="HY9" s="234">
        <v>0</v>
      </c>
      <c r="HZ9" s="234">
        <v>0</v>
      </c>
      <c r="IA9" s="234">
        <v>0</v>
      </c>
      <c r="IB9" s="234">
        <v>0</v>
      </c>
      <c r="IC9" s="234">
        <v>0</v>
      </c>
      <c r="ID9" s="234">
        <v>0</v>
      </c>
      <c r="IE9" s="234">
        <v>0</v>
      </c>
      <c r="IF9" s="234">
        <v>0</v>
      </c>
      <c r="IG9" s="234">
        <v>0</v>
      </c>
      <c r="IH9" s="234">
        <v>0</v>
      </c>
      <c r="II9" s="234">
        <v>0</v>
      </c>
      <c r="IJ9" s="234">
        <v>0</v>
      </c>
      <c r="IK9" s="234">
        <v>0</v>
      </c>
      <c r="IL9" s="234">
        <v>0</v>
      </c>
      <c r="IM9" s="234">
        <v>0</v>
      </c>
      <c r="IN9" s="234">
        <v>0</v>
      </c>
      <c r="IO9" s="234">
        <v>0</v>
      </c>
      <c r="IP9" s="234">
        <v>0</v>
      </c>
      <c r="IQ9" s="234">
        <v>0</v>
      </c>
      <c r="IR9" s="234">
        <v>0</v>
      </c>
      <c r="IS9" s="234">
        <v>0</v>
      </c>
      <c r="IT9" s="234">
        <v>0</v>
      </c>
      <c r="IU9" s="235">
        <f>SUM(HP9:IQ9)</f>
        <v>0</v>
      </c>
      <c r="IV9" s="234">
        <v>0</v>
      </c>
      <c r="IW9" s="234">
        <v>0</v>
      </c>
      <c r="IX9" s="234">
        <v>0</v>
      </c>
      <c r="IY9" s="234">
        <v>0</v>
      </c>
      <c r="IZ9" s="234">
        <v>0</v>
      </c>
      <c r="JA9" s="234">
        <v>0</v>
      </c>
      <c r="JB9" s="234">
        <v>0</v>
      </c>
      <c r="JC9" s="234">
        <v>0</v>
      </c>
      <c r="JD9" s="234">
        <v>0</v>
      </c>
      <c r="JE9" s="234">
        <v>0</v>
      </c>
      <c r="JF9" s="234">
        <v>0</v>
      </c>
      <c r="JG9" s="234">
        <v>0</v>
      </c>
      <c r="JH9" s="234">
        <v>0</v>
      </c>
      <c r="JI9" s="234">
        <v>0</v>
      </c>
      <c r="JJ9" s="234">
        <v>0</v>
      </c>
      <c r="JK9" s="234">
        <v>0</v>
      </c>
      <c r="JL9" s="234">
        <v>0</v>
      </c>
      <c r="JM9" s="234">
        <v>0</v>
      </c>
      <c r="JN9" s="234">
        <v>0</v>
      </c>
      <c r="JO9" s="234">
        <v>0</v>
      </c>
      <c r="JP9" s="234">
        <v>0</v>
      </c>
      <c r="JQ9" s="234">
        <v>0</v>
      </c>
      <c r="JR9" s="234">
        <v>0</v>
      </c>
      <c r="JS9" s="234">
        <v>0</v>
      </c>
      <c r="JT9" s="234">
        <v>0</v>
      </c>
      <c r="JU9" s="234">
        <v>0</v>
      </c>
      <c r="JV9" s="234">
        <v>0</v>
      </c>
      <c r="JW9" s="234">
        <v>0</v>
      </c>
      <c r="JX9" s="234">
        <v>0</v>
      </c>
      <c r="JY9" s="234">
        <v>0</v>
      </c>
      <c r="JZ9" s="234"/>
      <c r="KA9" s="235">
        <f>SUM(IV9:JW9)</f>
        <v>0</v>
      </c>
      <c r="KB9" s="234">
        <v>0</v>
      </c>
      <c r="KC9" s="234">
        <v>0</v>
      </c>
      <c r="KD9" s="234">
        <v>0</v>
      </c>
      <c r="KE9" s="234">
        <v>0</v>
      </c>
      <c r="KF9" s="234">
        <v>0</v>
      </c>
      <c r="KG9" s="234">
        <v>0</v>
      </c>
      <c r="KH9" s="234">
        <v>0</v>
      </c>
      <c r="KI9" s="234">
        <v>0</v>
      </c>
      <c r="KJ9" s="234">
        <v>0</v>
      </c>
      <c r="KK9" s="234">
        <v>0</v>
      </c>
      <c r="KL9" s="234">
        <v>0</v>
      </c>
      <c r="KM9" s="234">
        <v>0</v>
      </c>
      <c r="KN9" s="234">
        <v>0</v>
      </c>
      <c r="KO9" s="234">
        <v>0</v>
      </c>
      <c r="KP9" s="234">
        <v>0</v>
      </c>
      <c r="KQ9" s="234">
        <v>0</v>
      </c>
      <c r="KR9" s="234">
        <v>0</v>
      </c>
      <c r="KS9" s="234">
        <v>0</v>
      </c>
      <c r="KT9" s="234">
        <v>0</v>
      </c>
      <c r="KU9" s="234">
        <v>0</v>
      </c>
      <c r="KV9" s="234">
        <v>0</v>
      </c>
      <c r="KW9" s="234">
        <v>0</v>
      </c>
      <c r="KX9" s="234">
        <v>0</v>
      </c>
      <c r="KY9" s="234">
        <v>0</v>
      </c>
      <c r="KZ9" s="234">
        <v>0</v>
      </c>
      <c r="LA9" s="234">
        <v>0</v>
      </c>
      <c r="LB9" s="234">
        <v>0</v>
      </c>
      <c r="LC9" s="234">
        <v>0</v>
      </c>
      <c r="LD9" s="234">
        <v>0</v>
      </c>
      <c r="LE9" s="234">
        <v>0</v>
      </c>
      <c r="LF9" s="234"/>
      <c r="LG9" s="235">
        <f>SUM(KB9:LC9)</f>
        <v>0</v>
      </c>
      <c r="LH9" s="234">
        <v>0</v>
      </c>
      <c r="LI9" s="234">
        <v>0</v>
      </c>
      <c r="LJ9" s="234">
        <v>0</v>
      </c>
      <c r="LK9" s="234">
        <v>0</v>
      </c>
      <c r="LL9" s="234">
        <v>0</v>
      </c>
      <c r="LM9" s="234">
        <v>0</v>
      </c>
      <c r="LN9" s="234">
        <v>0</v>
      </c>
      <c r="LO9" s="234">
        <v>0</v>
      </c>
      <c r="LP9" s="234">
        <v>0</v>
      </c>
      <c r="LQ9" s="234">
        <v>0</v>
      </c>
      <c r="LR9" s="234">
        <v>0</v>
      </c>
      <c r="LS9" s="234">
        <v>0</v>
      </c>
      <c r="LT9" s="234">
        <v>0</v>
      </c>
      <c r="LU9" s="234">
        <v>0</v>
      </c>
      <c r="LV9" s="234">
        <v>0</v>
      </c>
      <c r="LW9" s="234">
        <v>0</v>
      </c>
      <c r="LX9" s="234">
        <v>0</v>
      </c>
      <c r="LY9" s="234">
        <v>0</v>
      </c>
      <c r="LZ9" s="234">
        <v>0</v>
      </c>
      <c r="MA9" s="234">
        <v>0</v>
      </c>
      <c r="MB9" s="234">
        <v>0</v>
      </c>
      <c r="MC9" s="234">
        <v>0</v>
      </c>
      <c r="MD9" s="234">
        <v>0</v>
      </c>
      <c r="ME9" s="234">
        <v>0</v>
      </c>
      <c r="MF9" s="234">
        <v>0</v>
      </c>
      <c r="MG9" s="234">
        <v>0</v>
      </c>
      <c r="MH9" s="234">
        <v>0</v>
      </c>
      <c r="MI9" s="234">
        <v>0</v>
      </c>
      <c r="MJ9" s="234">
        <v>0</v>
      </c>
      <c r="MK9" s="234">
        <v>0</v>
      </c>
      <c r="ML9" s="234"/>
      <c r="MM9" s="235">
        <f>SUM(LH9:MI9)</f>
        <v>0</v>
      </c>
      <c r="MN9" s="234">
        <v>0</v>
      </c>
      <c r="MO9" s="234">
        <v>0</v>
      </c>
      <c r="MP9" s="234">
        <v>0</v>
      </c>
      <c r="MQ9" s="234">
        <v>0</v>
      </c>
      <c r="MR9" s="234">
        <v>0</v>
      </c>
      <c r="MS9" s="234">
        <v>0</v>
      </c>
      <c r="MT9" s="234">
        <v>0</v>
      </c>
      <c r="MU9" s="234">
        <v>0</v>
      </c>
      <c r="MV9" s="234">
        <v>0</v>
      </c>
      <c r="MW9" s="234">
        <v>0</v>
      </c>
      <c r="MX9" s="234">
        <v>0</v>
      </c>
      <c r="MY9" s="234">
        <v>0</v>
      </c>
      <c r="MZ9" s="234">
        <v>0</v>
      </c>
      <c r="NA9" s="234">
        <v>0</v>
      </c>
      <c r="NB9" s="234">
        <v>0</v>
      </c>
      <c r="NC9" s="234">
        <v>0</v>
      </c>
      <c r="ND9" s="234">
        <v>0</v>
      </c>
      <c r="NE9" s="234">
        <v>0</v>
      </c>
      <c r="NF9" s="234">
        <v>0</v>
      </c>
      <c r="NG9" s="234">
        <v>0</v>
      </c>
      <c r="NH9" s="234">
        <v>0</v>
      </c>
      <c r="NI9" s="234">
        <v>0</v>
      </c>
      <c r="NJ9" s="234">
        <v>0</v>
      </c>
      <c r="NK9" s="234">
        <v>0</v>
      </c>
      <c r="NL9" s="234">
        <v>0</v>
      </c>
      <c r="NM9" s="234">
        <v>0</v>
      </c>
      <c r="NN9" s="234">
        <v>0</v>
      </c>
      <c r="NO9" s="234">
        <v>0</v>
      </c>
      <c r="NP9" s="234">
        <v>0</v>
      </c>
      <c r="NQ9" s="234">
        <v>0</v>
      </c>
      <c r="NR9" s="234"/>
      <c r="NS9" s="235">
        <f>SUM(MN9:NO9)</f>
        <v>0</v>
      </c>
      <c r="NT9" s="234">
        <v>0</v>
      </c>
      <c r="NU9" s="234">
        <v>0</v>
      </c>
      <c r="NV9" s="234">
        <v>0</v>
      </c>
      <c r="NW9" s="234">
        <v>0</v>
      </c>
      <c r="NX9" s="234">
        <v>0</v>
      </c>
      <c r="NY9" s="234">
        <v>0</v>
      </c>
      <c r="NZ9" s="234">
        <v>0</v>
      </c>
      <c r="OA9" s="234">
        <v>0</v>
      </c>
      <c r="OB9" s="234">
        <v>983.91</v>
      </c>
      <c r="OC9" s="234">
        <v>3120.7</v>
      </c>
      <c r="OD9" s="234">
        <v>752.79</v>
      </c>
      <c r="OE9" s="234">
        <v>1101.42</v>
      </c>
      <c r="OF9" s="234">
        <v>0</v>
      </c>
      <c r="OG9" s="234">
        <v>0</v>
      </c>
      <c r="OH9" s="234">
        <v>0</v>
      </c>
      <c r="OI9" s="234">
        <v>0</v>
      </c>
      <c r="OJ9" s="234">
        <v>0</v>
      </c>
      <c r="OK9" s="234">
        <v>0</v>
      </c>
      <c r="OL9" s="234">
        <v>0</v>
      </c>
      <c r="OM9" s="234">
        <v>0</v>
      </c>
      <c r="ON9" s="234">
        <v>0</v>
      </c>
      <c r="OO9" s="234">
        <v>0</v>
      </c>
      <c r="OP9" s="234">
        <v>0</v>
      </c>
      <c r="OQ9" s="234">
        <v>0</v>
      </c>
      <c r="OR9" s="234">
        <v>0</v>
      </c>
      <c r="OS9" s="234">
        <v>0</v>
      </c>
      <c r="OT9" s="234">
        <v>0</v>
      </c>
      <c r="OU9" s="234">
        <v>0</v>
      </c>
      <c r="OV9" s="234">
        <v>0</v>
      </c>
      <c r="OW9" s="234">
        <v>0</v>
      </c>
      <c r="OX9" s="234">
        <v>0</v>
      </c>
      <c r="OY9" s="235">
        <f t="shared" ref="OY9:OY22" si="9">SUM(NT9:OX9)</f>
        <v>5958.82</v>
      </c>
      <c r="OZ9" s="234">
        <v>0</v>
      </c>
      <c r="PA9" s="234">
        <v>0</v>
      </c>
      <c r="PB9" s="234">
        <v>0</v>
      </c>
      <c r="PC9" s="234">
        <v>0</v>
      </c>
      <c r="PD9" s="234">
        <v>0</v>
      </c>
      <c r="PE9" s="234">
        <v>0</v>
      </c>
      <c r="PF9" s="234">
        <v>0</v>
      </c>
      <c r="PG9" s="234">
        <v>0</v>
      </c>
      <c r="PH9" s="234">
        <v>0</v>
      </c>
      <c r="PI9" s="234">
        <v>0</v>
      </c>
      <c r="PJ9" s="234">
        <v>0</v>
      </c>
      <c r="PK9" s="234">
        <v>0</v>
      </c>
      <c r="PL9" s="234">
        <v>0</v>
      </c>
      <c r="PM9" s="234">
        <v>961.2</v>
      </c>
      <c r="PN9" s="234">
        <v>3394.0599999999995</v>
      </c>
      <c r="PO9" s="234">
        <v>392.09000000000003</v>
      </c>
      <c r="PP9" s="234">
        <v>306.68</v>
      </c>
      <c r="PQ9" s="234">
        <v>0</v>
      </c>
      <c r="PR9" s="234">
        <v>1719.37</v>
      </c>
      <c r="PS9" s="234">
        <v>0</v>
      </c>
      <c r="PT9" s="234">
        <v>0</v>
      </c>
      <c r="PU9" s="234">
        <v>0</v>
      </c>
      <c r="PV9" s="234">
        <v>0</v>
      </c>
      <c r="PW9" s="234">
        <v>0</v>
      </c>
      <c r="PX9" s="234">
        <v>0</v>
      </c>
      <c r="PY9" s="234">
        <v>0</v>
      </c>
      <c r="PZ9" s="234">
        <v>0</v>
      </c>
      <c r="QA9" s="234">
        <v>0</v>
      </c>
      <c r="QB9" s="234">
        <v>0</v>
      </c>
      <c r="QC9" s="234">
        <v>0</v>
      </c>
      <c r="QD9" s="235">
        <f t="shared" ref="QD9:QD22" si="10">SUM(OZ9:QC9)</f>
        <v>6773.4</v>
      </c>
      <c r="QE9" s="234">
        <v>0</v>
      </c>
      <c r="QF9" s="234">
        <v>0</v>
      </c>
      <c r="QG9" s="234">
        <v>0</v>
      </c>
      <c r="QH9" s="234">
        <v>0</v>
      </c>
      <c r="QI9" s="234">
        <v>0</v>
      </c>
      <c r="QJ9" s="234">
        <v>0</v>
      </c>
      <c r="QK9" s="234">
        <v>0</v>
      </c>
      <c r="QL9" s="234">
        <v>0</v>
      </c>
      <c r="QM9" s="234">
        <v>0</v>
      </c>
      <c r="QN9" s="234">
        <v>0</v>
      </c>
      <c r="QO9" s="234">
        <v>0</v>
      </c>
      <c r="QP9" s="234">
        <v>0</v>
      </c>
      <c r="QQ9" s="234">
        <v>0</v>
      </c>
      <c r="QR9" s="234">
        <v>0</v>
      </c>
      <c r="QS9" s="234">
        <v>0</v>
      </c>
      <c r="QT9" s="234">
        <v>0</v>
      </c>
      <c r="QU9" s="234">
        <v>0</v>
      </c>
      <c r="QV9" s="234">
        <v>915.81</v>
      </c>
      <c r="QW9" s="234">
        <v>3251.0299999999997</v>
      </c>
      <c r="QX9" s="234">
        <v>3691.38</v>
      </c>
      <c r="QY9" s="234">
        <v>0</v>
      </c>
      <c r="QZ9" s="234">
        <v>0</v>
      </c>
      <c r="RA9" s="234">
        <v>0</v>
      </c>
      <c r="RB9" s="234">
        <v>0</v>
      </c>
      <c r="RC9" s="234">
        <v>0</v>
      </c>
      <c r="RD9" s="234">
        <v>0</v>
      </c>
      <c r="RE9" s="234">
        <v>0</v>
      </c>
      <c r="RF9" s="234">
        <v>0</v>
      </c>
      <c r="RG9" s="234">
        <v>0</v>
      </c>
      <c r="RH9" s="234">
        <v>0</v>
      </c>
      <c r="RI9" s="234">
        <v>0</v>
      </c>
      <c r="RJ9" s="235">
        <v>7858.22</v>
      </c>
      <c r="RK9" s="234">
        <v>0</v>
      </c>
      <c r="RL9" s="234">
        <v>0</v>
      </c>
      <c r="RM9" s="234">
        <v>0</v>
      </c>
      <c r="RN9" s="234">
        <v>0</v>
      </c>
      <c r="RO9" s="234">
        <v>0</v>
      </c>
      <c r="RP9" s="234">
        <v>0</v>
      </c>
      <c r="RQ9" s="234">
        <v>0</v>
      </c>
      <c r="RR9" s="234">
        <v>0</v>
      </c>
      <c r="RS9" s="234">
        <v>0</v>
      </c>
      <c r="RT9" s="234">
        <v>0</v>
      </c>
      <c r="RU9" s="234">
        <v>0</v>
      </c>
      <c r="RV9" s="234">
        <v>3969.75</v>
      </c>
      <c r="RW9" s="234">
        <v>4052.94</v>
      </c>
      <c r="RX9" s="234">
        <v>2125.6799999999998</v>
      </c>
      <c r="RY9" s="234">
        <v>0</v>
      </c>
      <c r="RZ9" s="234">
        <v>0</v>
      </c>
      <c r="SA9" s="234">
        <v>0</v>
      </c>
      <c r="SB9" s="234">
        <v>0</v>
      </c>
      <c r="SC9" s="234">
        <v>0</v>
      </c>
      <c r="SD9" s="234">
        <v>0</v>
      </c>
      <c r="SE9" s="234">
        <v>0</v>
      </c>
      <c r="SF9" s="234">
        <v>0</v>
      </c>
      <c r="SG9" s="234">
        <v>0</v>
      </c>
      <c r="SH9" s="234">
        <v>0</v>
      </c>
      <c r="SI9" s="234">
        <v>0</v>
      </c>
      <c r="SJ9" s="234">
        <v>0</v>
      </c>
      <c r="SK9" s="234">
        <v>0</v>
      </c>
      <c r="SL9" s="234">
        <v>0</v>
      </c>
      <c r="SM9" s="234">
        <v>0</v>
      </c>
      <c r="SN9" s="234">
        <v>0</v>
      </c>
      <c r="SO9" s="235">
        <v>0</v>
      </c>
      <c r="SP9" s="234">
        <v>0</v>
      </c>
      <c r="SQ9" s="234">
        <v>0</v>
      </c>
      <c r="SR9" s="234">
        <v>0</v>
      </c>
      <c r="SS9" s="234">
        <v>0</v>
      </c>
      <c r="ST9" s="234">
        <v>0</v>
      </c>
      <c r="SU9" s="234">
        <v>0</v>
      </c>
      <c r="SV9" s="234">
        <v>0</v>
      </c>
      <c r="SW9" s="234">
        <v>0</v>
      </c>
      <c r="SX9" s="234">
        <v>0</v>
      </c>
      <c r="SY9" s="234">
        <v>0</v>
      </c>
      <c r="SZ9" s="234">
        <v>0</v>
      </c>
      <c r="TA9" s="234">
        <v>0</v>
      </c>
      <c r="TB9" s="234">
        <v>0</v>
      </c>
      <c r="TC9" s="234">
        <v>3689.61</v>
      </c>
      <c r="TD9" s="234">
        <v>2077.98</v>
      </c>
      <c r="TE9" s="234">
        <v>2064.7599999999998</v>
      </c>
      <c r="TF9" s="234">
        <v>4025.78</v>
      </c>
      <c r="TG9" s="234">
        <v>4250.9400000000005</v>
      </c>
      <c r="TH9" s="234">
        <v>4219.93</v>
      </c>
      <c r="TI9" s="234">
        <v>0</v>
      </c>
      <c r="TJ9" s="234">
        <v>2521.0700000000002</v>
      </c>
      <c r="TK9" s="234">
        <v>0</v>
      </c>
      <c r="TL9" s="234">
        <v>0</v>
      </c>
      <c r="TM9" s="234">
        <v>0</v>
      </c>
      <c r="TN9" s="234">
        <v>0</v>
      </c>
      <c r="TO9" s="234">
        <v>0</v>
      </c>
      <c r="TP9" s="234">
        <v>0</v>
      </c>
      <c r="TQ9" s="234">
        <v>0</v>
      </c>
      <c r="TR9" s="234">
        <v>0</v>
      </c>
      <c r="TS9" s="234">
        <v>0</v>
      </c>
      <c r="TT9" s="234">
        <v>0</v>
      </c>
      <c r="TU9" s="235">
        <v>22850.07</v>
      </c>
      <c r="TV9" s="234">
        <v>0</v>
      </c>
      <c r="TW9" s="234">
        <v>0</v>
      </c>
      <c r="TX9" s="234">
        <v>0</v>
      </c>
      <c r="TY9" s="234">
        <v>0</v>
      </c>
      <c r="TZ9" s="234">
        <v>0</v>
      </c>
      <c r="UA9" s="234">
        <v>0</v>
      </c>
      <c r="UB9" s="234">
        <v>0</v>
      </c>
      <c r="UC9" s="234">
        <v>0</v>
      </c>
      <c r="UD9" s="234">
        <v>0</v>
      </c>
      <c r="UE9" s="234">
        <v>0</v>
      </c>
      <c r="UF9" s="234">
        <v>0</v>
      </c>
      <c r="UG9" s="234">
        <v>0</v>
      </c>
      <c r="UH9" s="234">
        <v>0</v>
      </c>
      <c r="UI9" s="234">
        <v>0</v>
      </c>
      <c r="UJ9" s="234">
        <v>0</v>
      </c>
      <c r="UK9" s="234">
        <v>0</v>
      </c>
      <c r="UL9" s="234">
        <v>0</v>
      </c>
      <c r="UM9" s="234">
        <v>0</v>
      </c>
      <c r="UN9" s="234">
        <v>0</v>
      </c>
      <c r="UO9" s="234">
        <v>0</v>
      </c>
      <c r="UP9" s="234">
        <v>0</v>
      </c>
      <c r="UQ9" s="234">
        <v>0</v>
      </c>
      <c r="UR9" s="234">
        <v>2046</v>
      </c>
      <c r="US9" s="234">
        <v>1042.33</v>
      </c>
      <c r="UT9" s="234">
        <v>3762.68</v>
      </c>
      <c r="UU9" s="234">
        <v>3436.26</v>
      </c>
      <c r="UV9" s="234">
        <v>2045.04</v>
      </c>
      <c r="UW9" s="234">
        <v>3881.7200000000003</v>
      </c>
      <c r="UX9" s="234">
        <v>1871.43</v>
      </c>
      <c r="UY9" s="234">
        <v>624.66999999999996</v>
      </c>
      <c r="UZ9" s="234">
        <v>0</v>
      </c>
      <c r="VA9" s="235">
        <v>22850.07</v>
      </c>
      <c r="VB9" s="234">
        <v>0</v>
      </c>
      <c r="VC9" s="234">
        <v>0</v>
      </c>
      <c r="VD9" s="234">
        <v>0</v>
      </c>
      <c r="VE9" s="234">
        <v>0</v>
      </c>
      <c r="VF9" s="234">
        <v>0</v>
      </c>
      <c r="VG9" s="234">
        <v>0</v>
      </c>
      <c r="VH9" s="234">
        <v>0</v>
      </c>
      <c r="VI9" s="234">
        <v>0</v>
      </c>
      <c r="VJ9" s="234">
        <v>0</v>
      </c>
      <c r="VK9" s="234">
        <v>0</v>
      </c>
      <c r="VL9" s="234">
        <v>0</v>
      </c>
      <c r="VM9" s="234">
        <v>0</v>
      </c>
      <c r="VN9" s="234">
        <v>1270.1799999999998</v>
      </c>
      <c r="VO9" s="234">
        <v>0</v>
      </c>
      <c r="VP9" s="234">
        <v>404.31</v>
      </c>
      <c r="VQ9" s="234">
        <v>0</v>
      </c>
      <c r="VR9" s="234">
        <v>0</v>
      </c>
      <c r="VS9" s="234">
        <v>0</v>
      </c>
      <c r="VT9" s="234">
        <v>0</v>
      </c>
      <c r="VU9" s="234">
        <v>0</v>
      </c>
      <c r="VV9" s="234">
        <v>1693.41</v>
      </c>
      <c r="VW9" s="234">
        <v>28.1</v>
      </c>
      <c r="VX9" s="234">
        <v>0</v>
      </c>
      <c r="VY9" s="234">
        <v>0</v>
      </c>
      <c r="VZ9" s="234">
        <v>1877.63</v>
      </c>
      <c r="WA9" s="234">
        <v>2072.06</v>
      </c>
      <c r="WB9" s="234">
        <v>0</v>
      </c>
      <c r="WC9" s="234">
        <v>0</v>
      </c>
      <c r="WD9" s="234">
        <v>1344.42</v>
      </c>
      <c r="WE9" s="234">
        <v>2336.91</v>
      </c>
      <c r="WF9" s="235">
        <v>22850.07</v>
      </c>
      <c r="WG9" s="234">
        <v>2339.77</v>
      </c>
      <c r="WH9" s="234">
        <v>1309.42</v>
      </c>
      <c r="WI9" s="234">
        <v>0</v>
      </c>
      <c r="WJ9" s="234">
        <v>0</v>
      </c>
      <c r="WK9" s="234">
        <v>0</v>
      </c>
      <c r="WL9" s="234">
        <v>0</v>
      </c>
      <c r="WM9" s="234">
        <v>0</v>
      </c>
      <c r="WN9" s="234">
        <v>0</v>
      </c>
      <c r="WO9" s="234">
        <v>0</v>
      </c>
      <c r="WP9" s="234">
        <v>0</v>
      </c>
      <c r="WQ9" s="234">
        <v>0</v>
      </c>
      <c r="WR9" s="234">
        <v>0</v>
      </c>
      <c r="WS9" s="234">
        <v>0</v>
      </c>
      <c r="WT9" s="234">
        <v>0</v>
      </c>
      <c r="WU9" s="234">
        <v>0</v>
      </c>
      <c r="WV9" s="234">
        <v>0</v>
      </c>
      <c r="WW9" s="234">
        <v>0</v>
      </c>
      <c r="WX9" s="234">
        <v>0</v>
      </c>
      <c r="WY9" s="234">
        <v>0</v>
      </c>
      <c r="WZ9" s="234">
        <v>0</v>
      </c>
      <c r="XA9" s="234">
        <v>0</v>
      </c>
      <c r="XB9" s="234">
        <v>0</v>
      </c>
      <c r="XC9" s="234">
        <v>0</v>
      </c>
      <c r="XD9" s="234">
        <v>0</v>
      </c>
      <c r="XE9" s="234">
        <v>0</v>
      </c>
      <c r="XF9" s="234">
        <v>0</v>
      </c>
      <c r="XG9" s="234">
        <v>416.43</v>
      </c>
      <c r="XH9" s="234">
        <v>790.94</v>
      </c>
      <c r="XI9" s="234">
        <v>910.31999999999994</v>
      </c>
      <c r="XJ9" s="234">
        <v>918.47</v>
      </c>
      <c r="XK9" s="234">
        <v>889.49</v>
      </c>
      <c r="XL9" s="235">
        <v>7574.8399999999992</v>
      </c>
      <c r="XM9" s="234">
        <v>1574.9099999999999</v>
      </c>
      <c r="XN9" s="234">
        <v>859.04</v>
      </c>
      <c r="XO9" s="234">
        <v>329.25</v>
      </c>
      <c r="XP9" s="234">
        <v>0</v>
      </c>
      <c r="XQ9" s="234">
        <v>0</v>
      </c>
      <c r="XR9" s="234">
        <v>0</v>
      </c>
      <c r="XS9" s="234">
        <v>0</v>
      </c>
      <c r="XT9" s="234">
        <v>0</v>
      </c>
      <c r="XU9" s="234">
        <v>0</v>
      </c>
      <c r="XV9" s="234">
        <v>0</v>
      </c>
      <c r="XW9" s="234">
        <v>0</v>
      </c>
      <c r="XX9" s="234">
        <v>0</v>
      </c>
      <c r="XY9" s="234">
        <v>0</v>
      </c>
      <c r="XZ9" s="234">
        <v>0</v>
      </c>
      <c r="YA9" s="234">
        <v>0</v>
      </c>
      <c r="YB9" s="234">
        <v>0</v>
      </c>
      <c r="YC9" s="234">
        <v>0</v>
      </c>
      <c r="YD9" s="234">
        <v>0</v>
      </c>
      <c r="YE9" s="234">
        <v>0</v>
      </c>
      <c r="YF9" s="234">
        <v>1337.7</v>
      </c>
      <c r="YG9" s="234">
        <v>708.99</v>
      </c>
      <c r="YH9" s="234">
        <v>1268.9299999999998</v>
      </c>
      <c r="YI9" s="234">
        <v>1536.2</v>
      </c>
      <c r="YJ9" s="234">
        <v>3419.06</v>
      </c>
      <c r="YK9" s="234">
        <v>4717.09</v>
      </c>
      <c r="YL9" s="234">
        <v>4630.28</v>
      </c>
      <c r="YM9" s="234">
        <v>4266.3</v>
      </c>
      <c r="YN9" s="234">
        <v>2850.54</v>
      </c>
      <c r="YO9" s="234">
        <v>3797.74</v>
      </c>
      <c r="YP9" s="234">
        <v>0</v>
      </c>
      <c r="YQ9" s="234">
        <v>0</v>
      </c>
      <c r="YR9" s="235">
        <v>31296.03</v>
      </c>
      <c r="YS9" s="234" t="e">
        <f>Actual!#REF!</f>
        <v>#REF!</v>
      </c>
      <c r="YT9" s="234" t="e">
        <f>Actual!#REF!</f>
        <v>#REF!</v>
      </c>
      <c r="YU9" s="234" t="e">
        <f>Actual!#REF!</f>
        <v>#REF!</v>
      </c>
      <c r="YV9" s="234" t="e">
        <f>Actual!#REF!</f>
        <v>#REF!</v>
      </c>
      <c r="YW9" s="234" t="e">
        <f>Actual!#REF!</f>
        <v>#REF!</v>
      </c>
      <c r="YX9" s="234" t="e">
        <f>Actual!#REF!</f>
        <v>#REF!</v>
      </c>
      <c r="YY9" s="234" t="e">
        <f>Actual!#REF!</f>
        <v>#REF!</v>
      </c>
      <c r="YZ9" s="234" t="e">
        <f>Actual!#REF!</f>
        <v>#REF!</v>
      </c>
      <c r="ZA9" s="234" t="e">
        <f>Actual!#REF!</f>
        <v>#REF!</v>
      </c>
      <c r="ZB9" s="234" t="e">
        <f>Actual!#REF!</f>
        <v>#REF!</v>
      </c>
      <c r="ZC9" s="234" t="e">
        <f>Actual!#REF!</f>
        <v>#REF!</v>
      </c>
      <c r="ZD9" s="234" t="e">
        <f>Actual!#REF!</f>
        <v>#REF!</v>
      </c>
      <c r="ZE9" s="234" t="e">
        <f>Actual!#REF!</f>
        <v>#REF!</v>
      </c>
      <c r="ZF9" s="234" t="e">
        <f>Actual!#REF!</f>
        <v>#REF!</v>
      </c>
      <c r="ZG9" s="234" t="e">
        <f>Actual!#REF!</f>
        <v>#REF!</v>
      </c>
      <c r="ZH9" s="234" t="e">
        <f>Actual!#REF!</f>
        <v>#REF!</v>
      </c>
      <c r="ZI9" s="234" t="e">
        <f>Actual!#REF!</f>
        <v>#REF!</v>
      </c>
      <c r="ZJ9" s="234" t="e">
        <f>Actual!#REF!</f>
        <v>#REF!</v>
      </c>
      <c r="ZK9" s="234" t="e">
        <f>Actual!#REF!</f>
        <v>#REF!</v>
      </c>
      <c r="ZL9" s="234" t="e">
        <f>Actual!#REF!</f>
        <v>#REF!</v>
      </c>
      <c r="ZM9" s="234" t="e">
        <f>Actual!#REF!</f>
        <v>#REF!</v>
      </c>
      <c r="ZN9" s="234" t="e">
        <f>Actual!#REF!</f>
        <v>#REF!</v>
      </c>
      <c r="ZO9" s="234" t="e">
        <f>Actual!#REF!</f>
        <v>#REF!</v>
      </c>
      <c r="ZP9" s="234" t="e">
        <f>Actual!#REF!</f>
        <v>#REF!</v>
      </c>
      <c r="ZQ9" s="234" t="e">
        <f>Actual!#REF!</f>
        <v>#REF!</v>
      </c>
      <c r="ZR9" s="234" t="e">
        <f>Actual!#REF!</f>
        <v>#REF!</v>
      </c>
      <c r="ZS9" s="234" t="e">
        <f>Actual!#REF!</f>
        <v>#REF!</v>
      </c>
      <c r="ZT9" s="234" t="e">
        <f>Actual!#REF!</f>
        <v>#REF!</v>
      </c>
      <c r="ZU9" s="234" t="e">
        <f>Actual!#REF!</f>
        <v>#REF!</v>
      </c>
      <c r="ZV9" s="234" t="e">
        <f>Actual!#REF!</f>
        <v>#REF!</v>
      </c>
      <c r="ZW9" s="234" t="e">
        <f>Actual!#REF!</f>
        <v>#REF!</v>
      </c>
      <c r="ZX9" s="235" t="e">
        <f>SUM(YS9:ZW9)</f>
        <v>#REF!</v>
      </c>
      <c r="ZY9" s="234">
        <v>0</v>
      </c>
      <c r="ZZ9" s="234">
        <v>0</v>
      </c>
      <c r="AAA9" s="234">
        <v>0</v>
      </c>
      <c r="AAB9" s="234">
        <v>0</v>
      </c>
      <c r="AAC9" s="234">
        <v>0</v>
      </c>
      <c r="AAD9" s="234">
        <v>0</v>
      </c>
      <c r="AAE9" s="234">
        <v>0</v>
      </c>
      <c r="AAF9" s="234">
        <v>0</v>
      </c>
      <c r="AAG9" s="234">
        <v>0</v>
      </c>
      <c r="AAH9" s="234">
        <v>0</v>
      </c>
      <c r="AAI9" s="234">
        <v>0</v>
      </c>
      <c r="AAJ9" s="234">
        <v>0</v>
      </c>
      <c r="AAK9" s="234">
        <v>0</v>
      </c>
      <c r="AAL9" s="234">
        <v>0</v>
      </c>
      <c r="AAM9" s="234">
        <v>0</v>
      </c>
      <c r="AAN9" s="234">
        <v>0</v>
      </c>
      <c r="AAO9" s="234">
        <v>0</v>
      </c>
      <c r="AAP9" s="234">
        <v>0</v>
      </c>
      <c r="AAQ9" s="234">
        <v>0</v>
      </c>
      <c r="AAR9" s="234">
        <v>0</v>
      </c>
      <c r="AAS9" s="234">
        <v>0</v>
      </c>
      <c r="AAT9" s="234">
        <v>0</v>
      </c>
      <c r="AAU9" s="234">
        <v>0</v>
      </c>
      <c r="AAV9" s="234">
        <v>0</v>
      </c>
      <c r="AAW9" s="234">
        <v>0</v>
      </c>
      <c r="AAX9" s="234">
        <v>0</v>
      </c>
      <c r="AAY9" s="234">
        <v>0</v>
      </c>
      <c r="AAZ9" s="234">
        <v>0</v>
      </c>
      <c r="ABA9" s="235">
        <f t="shared" ref="ABA9:ABA20" si="11">SUM(ZY9:AAZ9)</f>
        <v>0</v>
      </c>
      <c r="ABB9" s="234">
        <v>0</v>
      </c>
      <c r="ABC9" s="234">
        <v>0</v>
      </c>
      <c r="ABD9" s="234">
        <v>0</v>
      </c>
      <c r="ABE9" s="234">
        <v>0</v>
      </c>
      <c r="ABF9" s="234">
        <v>0</v>
      </c>
      <c r="ABG9" s="234">
        <v>0</v>
      </c>
      <c r="ABH9" s="234">
        <v>0</v>
      </c>
      <c r="ABI9" s="234">
        <v>0</v>
      </c>
      <c r="ABJ9" s="234">
        <v>0</v>
      </c>
      <c r="ABK9" s="234">
        <v>0</v>
      </c>
      <c r="ABL9" s="234">
        <v>0</v>
      </c>
      <c r="ABM9" s="234">
        <v>0</v>
      </c>
      <c r="ABN9" s="234">
        <v>0</v>
      </c>
      <c r="ABO9" s="234">
        <v>0</v>
      </c>
      <c r="ABP9" s="234">
        <v>0</v>
      </c>
      <c r="ABQ9" s="234">
        <v>0</v>
      </c>
      <c r="ABR9" s="234">
        <v>0</v>
      </c>
      <c r="ABS9" s="234">
        <v>0</v>
      </c>
      <c r="ABT9" s="234">
        <v>0</v>
      </c>
      <c r="ABU9" s="234">
        <v>0</v>
      </c>
      <c r="ABV9" s="234">
        <v>0</v>
      </c>
      <c r="ABW9" s="234">
        <v>0</v>
      </c>
      <c r="ABX9" s="234">
        <v>0</v>
      </c>
      <c r="ABY9" s="234">
        <v>0</v>
      </c>
      <c r="ABZ9" s="234">
        <v>0</v>
      </c>
      <c r="ACA9" s="234">
        <v>0</v>
      </c>
      <c r="ACB9" s="234">
        <v>0</v>
      </c>
      <c r="ACC9" s="234">
        <v>0</v>
      </c>
      <c r="ACD9" s="234">
        <v>0</v>
      </c>
      <c r="ACE9" s="234">
        <v>0</v>
      </c>
      <c r="ACF9" s="234">
        <v>0</v>
      </c>
      <c r="ACG9" s="235">
        <v>0</v>
      </c>
      <c r="ACH9" s="234">
        <v>0</v>
      </c>
      <c r="ACI9" s="234">
        <v>0</v>
      </c>
      <c r="ACJ9" s="234">
        <v>0</v>
      </c>
      <c r="ACK9" s="234">
        <v>0</v>
      </c>
      <c r="ACL9" s="234">
        <v>0</v>
      </c>
      <c r="ACM9" s="234">
        <v>0</v>
      </c>
      <c r="ACN9" s="234">
        <v>0</v>
      </c>
      <c r="ACO9" s="234">
        <v>0</v>
      </c>
      <c r="ACP9" s="234">
        <v>0</v>
      </c>
      <c r="ACQ9" s="234">
        <v>0</v>
      </c>
      <c r="ACR9" s="234">
        <v>0</v>
      </c>
      <c r="ACS9" s="234">
        <v>0</v>
      </c>
      <c r="ACT9" s="234">
        <v>0</v>
      </c>
      <c r="ACU9" s="234">
        <v>0</v>
      </c>
      <c r="ACV9" s="234">
        <v>0</v>
      </c>
      <c r="ACW9" s="234">
        <v>0</v>
      </c>
      <c r="ACX9" s="234">
        <v>0</v>
      </c>
      <c r="ACY9" s="234">
        <v>0</v>
      </c>
      <c r="ACZ9" s="234">
        <v>0</v>
      </c>
      <c r="ADA9" s="234">
        <v>0</v>
      </c>
      <c r="ADB9" s="234">
        <v>0</v>
      </c>
      <c r="ADC9" s="234">
        <v>0</v>
      </c>
      <c r="ADD9" s="234">
        <v>0</v>
      </c>
      <c r="ADE9" s="234">
        <v>0</v>
      </c>
      <c r="ADF9" s="234">
        <v>0</v>
      </c>
      <c r="ADG9" s="234">
        <v>0</v>
      </c>
      <c r="ADH9" s="234">
        <v>0</v>
      </c>
      <c r="ADI9" s="234">
        <v>0</v>
      </c>
      <c r="ADJ9" s="234">
        <v>0</v>
      </c>
      <c r="ADK9" s="234">
        <v>0</v>
      </c>
      <c r="ADL9" s="234">
        <v>0</v>
      </c>
      <c r="ADM9" s="235">
        <v>0</v>
      </c>
      <c r="ADN9" s="234">
        <v>0</v>
      </c>
      <c r="ADO9" s="234">
        <v>0</v>
      </c>
      <c r="ADP9" s="234">
        <v>0</v>
      </c>
      <c r="ADQ9" s="234">
        <v>0</v>
      </c>
      <c r="ADR9" s="234">
        <v>0</v>
      </c>
      <c r="ADS9" s="234">
        <v>0</v>
      </c>
      <c r="ADT9" s="234">
        <v>0</v>
      </c>
      <c r="ADU9" s="234">
        <v>0</v>
      </c>
      <c r="ADV9" s="234">
        <v>0</v>
      </c>
      <c r="ADW9" s="234">
        <v>0</v>
      </c>
      <c r="ADX9" s="234">
        <v>0</v>
      </c>
      <c r="ADY9" s="234">
        <v>0</v>
      </c>
      <c r="ADZ9" s="234">
        <v>0</v>
      </c>
      <c r="AEA9" s="234">
        <v>0</v>
      </c>
      <c r="AEB9" s="234">
        <v>0</v>
      </c>
      <c r="AEC9" s="234">
        <v>0</v>
      </c>
      <c r="AED9" s="234">
        <v>0</v>
      </c>
      <c r="AEE9" s="234">
        <v>0</v>
      </c>
      <c r="AEF9" s="234">
        <v>0</v>
      </c>
      <c r="AEG9" s="234">
        <v>0</v>
      </c>
      <c r="AEH9" s="234">
        <v>0</v>
      </c>
      <c r="AEI9" s="234">
        <v>0</v>
      </c>
      <c r="AEJ9" s="234">
        <v>0</v>
      </c>
      <c r="AEK9" s="234">
        <v>0</v>
      </c>
      <c r="AEL9" s="234">
        <v>0</v>
      </c>
      <c r="AEM9" s="234">
        <v>0</v>
      </c>
      <c r="AEN9" s="234">
        <v>0</v>
      </c>
      <c r="AEO9" s="234">
        <v>0</v>
      </c>
      <c r="AEP9" s="234">
        <v>0</v>
      </c>
      <c r="AEQ9" s="234">
        <v>0</v>
      </c>
      <c r="AER9" s="234">
        <v>0</v>
      </c>
      <c r="AES9" s="235">
        <v>0</v>
      </c>
      <c r="AET9" s="234">
        <v>0</v>
      </c>
      <c r="AEU9" s="234">
        <v>0</v>
      </c>
      <c r="AEV9" s="234">
        <v>0</v>
      </c>
      <c r="AEW9" s="234">
        <v>0</v>
      </c>
      <c r="AEX9" s="234">
        <v>0</v>
      </c>
      <c r="AEY9" s="234">
        <v>0</v>
      </c>
      <c r="AEZ9" s="234">
        <v>0</v>
      </c>
      <c r="AFA9" s="234">
        <v>0</v>
      </c>
      <c r="AFB9" s="234">
        <v>0</v>
      </c>
      <c r="AFC9" s="234">
        <v>0</v>
      </c>
      <c r="AFD9" s="234">
        <v>0</v>
      </c>
      <c r="AFE9" s="234">
        <v>0</v>
      </c>
      <c r="AFF9" s="234">
        <v>0</v>
      </c>
      <c r="AFG9" s="234">
        <v>0</v>
      </c>
      <c r="AFH9" s="234">
        <v>0</v>
      </c>
      <c r="AFI9" s="234">
        <v>0</v>
      </c>
      <c r="AFJ9" s="234">
        <v>0</v>
      </c>
      <c r="AFK9" s="234">
        <v>0</v>
      </c>
      <c r="AFL9" s="234">
        <v>0</v>
      </c>
      <c r="AFM9" s="234">
        <v>0</v>
      </c>
      <c r="AFN9" s="234">
        <v>0</v>
      </c>
      <c r="AFO9" s="234">
        <v>0</v>
      </c>
      <c r="AFP9" s="234">
        <v>0</v>
      </c>
      <c r="AFQ9" s="234">
        <v>0</v>
      </c>
      <c r="AFR9" s="234">
        <v>0</v>
      </c>
      <c r="AFS9" s="234">
        <v>0</v>
      </c>
      <c r="AFT9" s="234">
        <v>0</v>
      </c>
      <c r="AFU9" s="234">
        <v>0</v>
      </c>
      <c r="AFV9" s="234">
        <v>0</v>
      </c>
      <c r="AFW9" s="234">
        <v>0</v>
      </c>
      <c r="AFX9" s="235">
        <v>0</v>
      </c>
      <c r="AFY9" s="234">
        <v>0</v>
      </c>
      <c r="AFZ9" s="234">
        <v>0</v>
      </c>
      <c r="AGA9" s="234">
        <v>0</v>
      </c>
      <c r="AGB9" s="234">
        <v>0</v>
      </c>
      <c r="AGC9" s="234">
        <v>0</v>
      </c>
      <c r="AGD9" s="234">
        <v>0</v>
      </c>
      <c r="AGE9" s="234">
        <v>0</v>
      </c>
      <c r="AGF9" s="234">
        <v>0</v>
      </c>
      <c r="AGG9" s="234">
        <v>0</v>
      </c>
      <c r="AGH9" s="234">
        <v>0</v>
      </c>
      <c r="AGI9" s="234">
        <v>0</v>
      </c>
      <c r="AGJ9" s="234">
        <v>0</v>
      </c>
      <c r="AGK9" s="234">
        <v>0</v>
      </c>
      <c r="AGL9" s="234">
        <v>0</v>
      </c>
      <c r="AGM9" s="234">
        <v>0</v>
      </c>
      <c r="AGN9" s="234">
        <v>0</v>
      </c>
      <c r="AGO9" s="234">
        <v>0</v>
      </c>
      <c r="AGP9" s="234">
        <v>0</v>
      </c>
      <c r="AGQ9" s="234">
        <v>0</v>
      </c>
      <c r="AGR9" s="234">
        <v>0</v>
      </c>
      <c r="AGS9" s="234">
        <v>0</v>
      </c>
      <c r="AGT9" s="234">
        <v>0</v>
      </c>
      <c r="AGU9" s="234">
        <v>0</v>
      </c>
      <c r="AGV9" s="234">
        <v>0</v>
      </c>
      <c r="AGW9" s="234">
        <v>0</v>
      </c>
      <c r="AGX9" s="234">
        <v>0</v>
      </c>
      <c r="AGY9" s="234">
        <v>0</v>
      </c>
      <c r="AGZ9" s="234">
        <v>0</v>
      </c>
      <c r="AHA9" s="234">
        <v>0</v>
      </c>
      <c r="AHB9" s="234">
        <v>0</v>
      </c>
      <c r="AHC9" s="234">
        <v>0</v>
      </c>
      <c r="AHD9" s="235">
        <v>0</v>
      </c>
      <c r="AHE9" s="234">
        <v>0</v>
      </c>
      <c r="AHF9" s="234">
        <v>0</v>
      </c>
      <c r="AHG9" s="234">
        <v>0</v>
      </c>
      <c r="AHH9" s="234">
        <v>0</v>
      </c>
      <c r="AHI9" s="234">
        <v>0</v>
      </c>
      <c r="AHJ9" s="234">
        <v>0</v>
      </c>
      <c r="AHK9" s="234">
        <v>0</v>
      </c>
      <c r="AHL9" s="234">
        <v>0</v>
      </c>
      <c r="AHM9" s="234">
        <v>0</v>
      </c>
      <c r="AHN9" s="234">
        <v>0</v>
      </c>
      <c r="AHO9" s="234">
        <v>0</v>
      </c>
      <c r="AHP9" s="234">
        <v>0</v>
      </c>
      <c r="AHQ9" s="234">
        <v>0</v>
      </c>
      <c r="AHR9" s="234">
        <v>0</v>
      </c>
      <c r="AHS9" s="234">
        <v>0</v>
      </c>
      <c r="AHT9" s="234">
        <v>0</v>
      </c>
      <c r="AHU9" s="234">
        <v>0</v>
      </c>
      <c r="AHV9" s="234">
        <v>2806.2700000000004</v>
      </c>
      <c r="AHW9" s="234">
        <v>1807.0600000000006</v>
      </c>
      <c r="AHX9" s="234">
        <v>2397.09</v>
      </c>
      <c r="AHY9" s="234">
        <v>2482.09</v>
      </c>
      <c r="AHZ9" s="234">
        <v>1060.6400000000001</v>
      </c>
      <c r="AIA9" s="234">
        <v>0</v>
      </c>
      <c r="AIB9" s="234">
        <v>1477.77</v>
      </c>
      <c r="AIC9" s="234">
        <v>3296.4600000000005</v>
      </c>
      <c r="AID9" s="234">
        <v>2971.5999999999995</v>
      </c>
      <c r="AIE9" s="234">
        <v>3627.3200000000006</v>
      </c>
      <c r="AIF9" s="234">
        <v>3589.6800000000003</v>
      </c>
      <c r="AIG9" s="234">
        <v>271.34999999999997</v>
      </c>
      <c r="AIH9" s="234">
        <v>0</v>
      </c>
      <c r="AII9" s="234">
        <v>2024.7699999999998</v>
      </c>
      <c r="AIJ9" s="235">
        <v>27812.100000000002</v>
      </c>
      <c r="AIK9" s="239">
        <v>2867.3699999999981</v>
      </c>
      <c r="AIL9" s="239">
        <v>2460.6399999999985</v>
      </c>
      <c r="AIM9" s="239">
        <v>0</v>
      </c>
      <c r="AIN9" s="239">
        <v>0</v>
      </c>
      <c r="AIO9" s="239">
        <v>0</v>
      </c>
      <c r="AIP9" s="239">
        <v>1106.1800000000003</v>
      </c>
      <c r="AIQ9" s="239">
        <v>814.73</v>
      </c>
      <c r="AIR9" s="239">
        <v>1934.63</v>
      </c>
      <c r="AIS9" s="239">
        <v>1346.8799999999999</v>
      </c>
      <c r="AIT9" s="239">
        <v>966.4799999999999</v>
      </c>
      <c r="AIU9" s="239">
        <v>2892.3799999999992</v>
      </c>
      <c r="AIV9" s="239">
        <v>1450.8199999999993</v>
      </c>
      <c r="AIW9" s="239">
        <v>728.37</v>
      </c>
      <c r="AIX9" s="239">
        <v>1804.5100000000002</v>
      </c>
      <c r="AIY9" s="239">
        <v>1292.1500000000001</v>
      </c>
      <c r="AIZ9" s="239">
        <v>1330.47</v>
      </c>
      <c r="AJA9" s="239">
        <v>1097.29</v>
      </c>
      <c r="AJB9" s="239">
        <v>2091.5299999999997</v>
      </c>
      <c r="AJC9" s="239">
        <v>2017.1599999999999</v>
      </c>
      <c r="AJD9" s="239">
        <v>1034.97</v>
      </c>
      <c r="AJE9" s="239">
        <v>2135.16</v>
      </c>
      <c r="AJF9" s="239">
        <v>175.71</v>
      </c>
      <c r="AJG9" s="239">
        <v>0</v>
      </c>
      <c r="AJH9" s="239">
        <v>0</v>
      </c>
      <c r="AJI9" s="239">
        <v>0</v>
      </c>
      <c r="AJJ9" s="239">
        <v>0</v>
      </c>
      <c r="AJK9" s="239">
        <v>0</v>
      </c>
      <c r="AJL9" s="239">
        <v>0</v>
      </c>
      <c r="AJM9" s="239">
        <v>0</v>
      </c>
      <c r="AJN9" s="239">
        <v>0</v>
      </c>
      <c r="AJO9" s="235">
        <v>29547.429999999993</v>
      </c>
      <c r="AJP9" s="239">
        <v>0</v>
      </c>
      <c r="AJQ9" s="239">
        <v>0</v>
      </c>
      <c r="AJR9" s="239">
        <v>0</v>
      </c>
      <c r="AJS9" s="239">
        <v>0</v>
      </c>
      <c r="AJT9" s="239">
        <v>0</v>
      </c>
      <c r="AJU9" s="239">
        <v>0</v>
      </c>
      <c r="AJV9" s="239">
        <v>0</v>
      </c>
      <c r="AJW9" s="239">
        <v>0</v>
      </c>
      <c r="AJX9" s="239">
        <v>0</v>
      </c>
      <c r="AJY9" s="239">
        <v>0</v>
      </c>
      <c r="AJZ9" s="239">
        <v>0</v>
      </c>
      <c r="AKA9" s="239">
        <v>0</v>
      </c>
      <c r="AKB9" s="239">
        <v>0</v>
      </c>
      <c r="AKC9" s="239">
        <v>0</v>
      </c>
      <c r="AKD9" s="239">
        <v>0</v>
      </c>
      <c r="AKE9" s="239">
        <v>0</v>
      </c>
      <c r="AKF9" s="239">
        <v>0</v>
      </c>
      <c r="AKG9" s="239">
        <v>0</v>
      </c>
      <c r="AKH9" s="239">
        <v>0</v>
      </c>
      <c r="AKI9" s="239">
        <v>0</v>
      </c>
      <c r="AKJ9" s="239">
        <v>0</v>
      </c>
      <c r="AKK9" s="239">
        <v>0</v>
      </c>
      <c r="AKL9" s="239">
        <v>0</v>
      </c>
      <c r="AKM9" s="239">
        <v>0</v>
      </c>
      <c r="AKN9" s="239">
        <v>0</v>
      </c>
      <c r="AKO9" s="239">
        <v>0</v>
      </c>
      <c r="AKP9" s="239">
        <v>0</v>
      </c>
      <c r="AKQ9" s="239">
        <v>0</v>
      </c>
      <c r="AKR9" s="239">
        <v>0</v>
      </c>
      <c r="AKS9" s="239">
        <v>0</v>
      </c>
      <c r="AKT9" s="239">
        <v>0</v>
      </c>
      <c r="AKU9" s="235">
        <v>0</v>
      </c>
      <c r="AKV9" s="239">
        <v>704.29</v>
      </c>
      <c r="AKW9" s="239">
        <v>1033.6100000000001</v>
      </c>
      <c r="AKX9" s="239">
        <v>0</v>
      </c>
      <c r="AKY9" s="239">
        <v>0</v>
      </c>
      <c r="AKZ9" s="239">
        <v>0</v>
      </c>
      <c r="ALA9" s="239">
        <v>0</v>
      </c>
      <c r="ALB9" s="239">
        <v>0</v>
      </c>
      <c r="ALC9" s="239">
        <v>0</v>
      </c>
      <c r="ALD9" s="239">
        <v>0</v>
      </c>
      <c r="ALE9" s="239">
        <v>0</v>
      </c>
      <c r="ALF9" s="239">
        <v>0</v>
      </c>
      <c r="ALG9" s="239">
        <v>0</v>
      </c>
      <c r="ALH9" s="239">
        <v>0</v>
      </c>
      <c r="ALI9" s="239">
        <v>0</v>
      </c>
      <c r="ALJ9" s="239">
        <v>0</v>
      </c>
      <c r="ALK9" s="239">
        <v>0</v>
      </c>
      <c r="ALL9" s="239">
        <v>0</v>
      </c>
      <c r="ALM9" s="239">
        <v>0</v>
      </c>
      <c r="ALN9" s="239">
        <v>0</v>
      </c>
      <c r="ALO9" s="239">
        <v>0</v>
      </c>
      <c r="ALP9" s="239">
        <v>0</v>
      </c>
      <c r="ALQ9" s="239">
        <v>0</v>
      </c>
      <c r="ALR9" s="239">
        <v>0</v>
      </c>
      <c r="ALS9" s="239">
        <v>0</v>
      </c>
      <c r="ALT9" s="239">
        <v>0</v>
      </c>
      <c r="ALU9" s="239">
        <v>0</v>
      </c>
      <c r="ALV9" s="239">
        <v>0</v>
      </c>
      <c r="ALW9" s="239">
        <v>0</v>
      </c>
      <c r="ALX9" s="239">
        <v>0</v>
      </c>
      <c r="ALY9" s="239">
        <v>0</v>
      </c>
      <c r="ALZ9" s="235">
        <v>1737.9</v>
      </c>
      <c r="AMA9" s="239" t="e">
        <f>Actual!#REF!</f>
        <v>#REF!</v>
      </c>
      <c r="AMB9" s="239" t="e">
        <f>Actual!#REF!</f>
        <v>#REF!</v>
      </c>
      <c r="AMC9" s="239" t="e">
        <f>Actual!#REF!</f>
        <v>#REF!</v>
      </c>
      <c r="AMD9" s="239" t="e">
        <f>Actual!#REF!</f>
        <v>#REF!</v>
      </c>
      <c r="AME9" s="239" t="e">
        <f>Actual!#REF!</f>
        <v>#REF!</v>
      </c>
      <c r="AMF9" s="239" t="e">
        <f>Actual!#REF!</f>
        <v>#REF!</v>
      </c>
      <c r="AMG9" s="239" t="e">
        <f>Actual!#REF!</f>
        <v>#REF!</v>
      </c>
      <c r="AMH9" s="239" t="e">
        <f>Actual!#REF!</f>
        <v>#REF!</v>
      </c>
      <c r="AMI9" s="239" t="e">
        <f>Actual!#REF!</f>
        <v>#REF!</v>
      </c>
      <c r="AMJ9" s="239" t="e">
        <f>Actual!#REF!</f>
        <v>#REF!</v>
      </c>
      <c r="AMK9" s="239" t="e">
        <f>Actual!#REF!</f>
        <v>#REF!</v>
      </c>
      <c r="AML9" s="239" t="e">
        <f>Actual!#REF!</f>
        <v>#REF!</v>
      </c>
      <c r="AMM9" s="239" t="e">
        <f>Actual!#REF!</f>
        <v>#REF!</v>
      </c>
      <c r="AMN9" s="239" t="e">
        <f>Actual!#REF!</f>
        <v>#REF!</v>
      </c>
      <c r="AMO9" s="239" t="e">
        <f>Actual!#REF!</f>
        <v>#REF!</v>
      </c>
      <c r="AMP9" s="239" t="e">
        <f>Actual!#REF!</f>
        <v>#REF!</v>
      </c>
      <c r="AMQ9" s="239" t="e">
        <f>Actual!#REF!</f>
        <v>#REF!</v>
      </c>
      <c r="AMR9" s="239" t="e">
        <f>Actual!#REF!</f>
        <v>#REF!</v>
      </c>
      <c r="AMS9" s="239" t="e">
        <f>Actual!#REF!</f>
        <v>#REF!</v>
      </c>
      <c r="AMT9" s="239" t="e">
        <f>Actual!#REF!</f>
        <v>#REF!</v>
      </c>
      <c r="AMU9" s="239" t="e">
        <f>Actual!#REF!</f>
        <v>#REF!</v>
      </c>
      <c r="AMV9" s="239" t="e">
        <f>Actual!#REF!</f>
        <v>#REF!</v>
      </c>
      <c r="AMW9" s="239" t="e">
        <f>Actual!#REF!</f>
        <v>#REF!</v>
      </c>
      <c r="AMX9" s="239" t="e">
        <f>Actual!#REF!</f>
        <v>#REF!</v>
      </c>
      <c r="AMY9" s="239" t="e">
        <f>Actual!#REF!</f>
        <v>#REF!</v>
      </c>
      <c r="AMZ9" s="239" t="e">
        <f>Actual!#REF!</f>
        <v>#REF!</v>
      </c>
      <c r="ANA9" s="239" t="e">
        <f>Actual!#REF!</f>
        <v>#REF!</v>
      </c>
      <c r="ANB9" s="239" t="e">
        <f>Actual!#REF!</f>
        <v>#REF!</v>
      </c>
      <c r="ANC9" s="239" t="e">
        <f>Actual!#REF!</f>
        <v>#REF!</v>
      </c>
      <c r="AND9" s="239" t="e">
        <f>Actual!#REF!</f>
        <v>#REF!</v>
      </c>
      <c r="ANE9" s="239" t="e">
        <f>Actual!#REF!</f>
        <v>#REF!</v>
      </c>
      <c r="ANF9" s="235" t="e">
        <f t="shared" si="2"/>
        <v>#REF!</v>
      </c>
      <c r="ANG9" s="234">
        <v>934.8</v>
      </c>
      <c r="ANH9" s="234">
        <v>0</v>
      </c>
      <c r="ANI9" s="234">
        <v>0</v>
      </c>
      <c r="ANJ9" s="234">
        <v>0</v>
      </c>
      <c r="ANK9" s="234">
        <v>0</v>
      </c>
      <c r="ANL9" s="234">
        <v>0</v>
      </c>
      <c r="ANM9" s="234">
        <v>0</v>
      </c>
      <c r="ANN9" s="234">
        <v>0</v>
      </c>
      <c r="ANO9" s="234">
        <v>0</v>
      </c>
      <c r="ANP9" s="234">
        <v>0</v>
      </c>
      <c r="ANQ9" s="234">
        <v>0</v>
      </c>
      <c r="ANR9" s="234">
        <v>0</v>
      </c>
      <c r="ANS9" s="234">
        <v>0</v>
      </c>
      <c r="ANT9" s="234">
        <v>0</v>
      </c>
      <c r="ANU9" s="234">
        <v>0</v>
      </c>
      <c r="ANV9" s="234">
        <v>0</v>
      </c>
      <c r="ANW9" s="234">
        <v>0</v>
      </c>
      <c r="ANX9" s="234">
        <v>0</v>
      </c>
      <c r="ANY9" s="234">
        <v>0</v>
      </c>
      <c r="ANZ9" s="234">
        <v>0</v>
      </c>
      <c r="AOA9" s="234">
        <v>0</v>
      </c>
      <c r="AOB9" s="234">
        <v>3653.4999999999991</v>
      </c>
      <c r="AOC9" s="234">
        <v>2376.12</v>
      </c>
      <c r="AOD9" s="234">
        <v>1558.4100000000005</v>
      </c>
      <c r="AOE9" s="234">
        <v>0</v>
      </c>
      <c r="AOF9" s="234">
        <v>0</v>
      </c>
      <c r="AOG9" s="234">
        <v>0</v>
      </c>
      <c r="AOH9" s="234">
        <v>0</v>
      </c>
      <c r="AOI9" s="235">
        <v>8522.83</v>
      </c>
      <c r="AOJ9" s="234">
        <v>0</v>
      </c>
      <c r="AOK9" s="234">
        <v>0</v>
      </c>
      <c r="AOL9" s="234">
        <v>0</v>
      </c>
      <c r="AOM9" s="234">
        <v>0</v>
      </c>
      <c r="AON9" s="234">
        <v>0</v>
      </c>
      <c r="AOO9" s="234">
        <v>0</v>
      </c>
      <c r="AOP9" s="234">
        <v>0</v>
      </c>
      <c r="AOQ9" s="234">
        <v>0</v>
      </c>
      <c r="AOR9" s="234">
        <v>0</v>
      </c>
      <c r="AOS9" s="234">
        <v>0</v>
      </c>
      <c r="AOT9" s="234">
        <v>0</v>
      </c>
      <c r="AOU9" s="234">
        <v>0</v>
      </c>
      <c r="AOV9" s="234">
        <v>0</v>
      </c>
      <c r="AOW9" s="234">
        <v>0</v>
      </c>
      <c r="AOX9" s="234">
        <v>0</v>
      </c>
      <c r="AOY9" s="234">
        <v>0</v>
      </c>
      <c r="AOZ9" s="234">
        <v>0</v>
      </c>
      <c r="APA9" s="234">
        <v>0</v>
      </c>
      <c r="APB9" s="234">
        <v>0</v>
      </c>
      <c r="APC9" s="234">
        <v>0</v>
      </c>
      <c r="APD9" s="234">
        <v>0</v>
      </c>
      <c r="APE9" s="234">
        <v>0</v>
      </c>
      <c r="APF9" s="234">
        <v>0</v>
      </c>
      <c r="APG9" s="234">
        <v>0</v>
      </c>
      <c r="APH9" s="234">
        <v>0</v>
      </c>
      <c r="API9" s="234">
        <v>0</v>
      </c>
      <c r="APJ9" s="234">
        <v>0</v>
      </c>
      <c r="APK9" s="234">
        <v>0</v>
      </c>
      <c r="APL9" s="234">
        <v>0</v>
      </c>
      <c r="APM9" s="234">
        <v>0</v>
      </c>
      <c r="APN9" s="234">
        <v>0</v>
      </c>
      <c r="APO9" s="235">
        <v>0</v>
      </c>
      <c r="APP9" s="234">
        <v>0</v>
      </c>
      <c r="APQ9" s="234">
        <v>0</v>
      </c>
      <c r="APR9" s="234">
        <v>747.41999999999985</v>
      </c>
      <c r="APS9" s="234">
        <v>2154.9100000000003</v>
      </c>
      <c r="APT9" s="234">
        <v>38.189999999999941</v>
      </c>
      <c r="APU9" s="234">
        <v>932.6400000000001</v>
      </c>
      <c r="APV9" s="234">
        <v>1021.9200000000001</v>
      </c>
      <c r="APW9" s="234">
        <v>1424.96</v>
      </c>
      <c r="APX9" s="234">
        <v>2609.6099999999988</v>
      </c>
      <c r="APY9" s="234">
        <v>1908.27</v>
      </c>
      <c r="APZ9" s="234">
        <v>760.47999999999945</v>
      </c>
      <c r="AQA9" s="234">
        <v>0</v>
      </c>
      <c r="AQB9" s="234">
        <v>0</v>
      </c>
      <c r="AQC9" s="234">
        <v>0</v>
      </c>
      <c r="AQD9" s="234">
        <v>0</v>
      </c>
      <c r="AQE9" s="234">
        <v>0</v>
      </c>
      <c r="AQF9" s="234">
        <v>0</v>
      </c>
      <c r="AQG9" s="234">
        <v>0</v>
      </c>
      <c r="AQH9" s="234">
        <v>0</v>
      </c>
      <c r="AQI9" s="234">
        <v>0</v>
      </c>
      <c r="AQJ9" s="234">
        <v>0</v>
      </c>
      <c r="AQK9" s="234">
        <v>0</v>
      </c>
      <c r="AQL9" s="234">
        <v>0</v>
      </c>
      <c r="AQM9" s="234">
        <v>0</v>
      </c>
      <c r="AQN9" s="234">
        <v>0</v>
      </c>
      <c r="AQO9" s="234">
        <v>0</v>
      </c>
      <c r="AQP9" s="234">
        <v>0</v>
      </c>
      <c r="AQQ9" s="234">
        <v>0</v>
      </c>
      <c r="AQR9" s="234">
        <v>0</v>
      </c>
      <c r="AQS9" s="234">
        <v>0</v>
      </c>
      <c r="AQT9" s="235">
        <f t="shared" ref="AQT9:AQT20" si="12">SUM(APP9:AQS9)</f>
        <v>11598.399999999998</v>
      </c>
      <c r="AQU9" s="234">
        <v>0</v>
      </c>
      <c r="AQV9" s="234">
        <v>0</v>
      </c>
      <c r="AQW9" s="234">
        <v>0</v>
      </c>
      <c r="AQX9" s="234">
        <v>0</v>
      </c>
      <c r="AQY9" s="234">
        <v>0</v>
      </c>
      <c r="AQZ9" s="234">
        <v>0</v>
      </c>
      <c r="ARA9" s="234">
        <v>0</v>
      </c>
      <c r="ARB9" s="234">
        <v>0</v>
      </c>
      <c r="ARC9" s="234">
        <v>0</v>
      </c>
      <c r="ARD9" s="234">
        <v>0</v>
      </c>
      <c r="ARE9" s="234">
        <v>0</v>
      </c>
      <c r="ARF9" s="234">
        <v>0</v>
      </c>
      <c r="ARG9" s="234">
        <v>0</v>
      </c>
      <c r="ARH9" s="234">
        <v>0</v>
      </c>
      <c r="ARI9" s="234">
        <v>0</v>
      </c>
      <c r="ARJ9" s="234">
        <v>0</v>
      </c>
      <c r="ARK9" s="234">
        <v>0</v>
      </c>
      <c r="ARL9" s="234">
        <v>0</v>
      </c>
      <c r="ARM9" s="234">
        <v>0</v>
      </c>
      <c r="ARN9" s="234">
        <v>0</v>
      </c>
      <c r="ARO9" s="234">
        <v>0</v>
      </c>
      <c r="ARP9" s="234">
        <v>0</v>
      </c>
      <c r="ARQ9" s="234">
        <v>0</v>
      </c>
      <c r="ARR9" s="234">
        <v>0</v>
      </c>
      <c r="ARS9" s="234">
        <v>0</v>
      </c>
      <c r="ART9" s="234">
        <v>0</v>
      </c>
      <c r="ARU9" s="234">
        <v>0</v>
      </c>
      <c r="ARV9" s="234">
        <v>0</v>
      </c>
      <c r="ARW9" s="234">
        <v>0</v>
      </c>
      <c r="ARX9" s="234">
        <v>0</v>
      </c>
      <c r="ARY9" s="234">
        <v>0</v>
      </c>
      <c r="ARZ9" s="235">
        <f t="shared" ref="ARZ9:ARZ20" si="13">SUM(AQU9:ARY9)</f>
        <v>0</v>
      </c>
      <c r="ASA9" s="234">
        <v>0</v>
      </c>
      <c r="ASB9" s="234">
        <v>0</v>
      </c>
      <c r="ASC9" s="234">
        <v>0</v>
      </c>
      <c r="ASD9" s="234">
        <v>0</v>
      </c>
      <c r="ASE9" s="234">
        <v>0</v>
      </c>
      <c r="ASF9" s="234">
        <v>0</v>
      </c>
      <c r="ASG9" s="234">
        <v>0</v>
      </c>
      <c r="ASH9" s="234">
        <v>0</v>
      </c>
      <c r="ASI9" s="234">
        <v>0</v>
      </c>
      <c r="ASJ9" s="234">
        <v>0</v>
      </c>
      <c r="ASK9" s="234">
        <v>0</v>
      </c>
      <c r="ASL9" s="234">
        <v>0</v>
      </c>
      <c r="ASM9" s="234">
        <v>0</v>
      </c>
      <c r="ASN9" s="234">
        <v>0</v>
      </c>
      <c r="ASO9" s="234">
        <v>0</v>
      </c>
      <c r="ASP9" s="234">
        <v>0</v>
      </c>
      <c r="ASQ9" s="234">
        <v>0</v>
      </c>
      <c r="ASR9" s="234">
        <v>0</v>
      </c>
      <c r="ASS9" s="234">
        <v>0</v>
      </c>
      <c r="AST9" s="234">
        <v>0</v>
      </c>
      <c r="ASU9" s="234">
        <v>0</v>
      </c>
      <c r="ASV9" s="234">
        <v>0</v>
      </c>
      <c r="ASW9" s="234">
        <v>0</v>
      </c>
      <c r="ASX9" s="234">
        <v>0</v>
      </c>
      <c r="ASY9" s="234">
        <v>0</v>
      </c>
      <c r="ASZ9" s="234">
        <v>0</v>
      </c>
      <c r="ATA9" s="234">
        <v>0</v>
      </c>
      <c r="ATB9" s="234">
        <v>0</v>
      </c>
      <c r="ATC9" s="234">
        <v>0</v>
      </c>
      <c r="ATD9" s="234">
        <v>0</v>
      </c>
      <c r="ATE9" s="235">
        <v>0</v>
      </c>
      <c r="ATF9" s="234">
        <v>0</v>
      </c>
      <c r="ATG9" s="234">
        <v>0</v>
      </c>
      <c r="ATH9" s="234">
        <v>0</v>
      </c>
      <c r="ATI9" s="234">
        <v>0</v>
      </c>
      <c r="ATJ9" s="234">
        <v>0</v>
      </c>
      <c r="ATK9" s="234">
        <v>0</v>
      </c>
      <c r="ATL9" s="234">
        <v>0</v>
      </c>
      <c r="ATM9" s="234">
        <v>0</v>
      </c>
      <c r="ATN9" s="234">
        <v>0</v>
      </c>
      <c r="ATO9" s="234">
        <v>0</v>
      </c>
      <c r="ATP9" s="234">
        <v>0</v>
      </c>
      <c r="ATQ9" s="234">
        <v>0</v>
      </c>
      <c r="ATR9" s="234">
        <v>0</v>
      </c>
      <c r="ATS9" s="234">
        <v>0</v>
      </c>
      <c r="ATT9" s="234">
        <v>0</v>
      </c>
      <c r="ATU9" s="234">
        <v>0</v>
      </c>
      <c r="ATV9" s="234">
        <v>0</v>
      </c>
      <c r="ATW9" s="234">
        <v>0</v>
      </c>
      <c r="ATX9" s="234">
        <v>0</v>
      </c>
      <c r="ATY9" s="234">
        <v>0</v>
      </c>
      <c r="ATZ9" s="234">
        <v>0</v>
      </c>
      <c r="AUA9" s="234">
        <v>1763.06</v>
      </c>
      <c r="AUB9" s="234">
        <v>2673.69</v>
      </c>
      <c r="AUC9" s="234">
        <v>3130.5699999999997</v>
      </c>
      <c r="AUD9" s="234">
        <v>3020.5200000000004</v>
      </c>
      <c r="AUE9" s="234">
        <v>3332.8300000000008</v>
      </c>
      <c r="AUF9" s="234">
        <v>0</v>
      </c>
      <c r="AUG9" s="234">
        <v>0</v>
      </c>
      <c r="AUH9" s="234">
        <v>0</v>
      </c>
      <c r="AUI9" s="234">
        <v>0</v>
      </c>
      <c r="AUJ9" s="234">
        <v>0</v>
      </c>
      <c r="AUK9" s="235">
        <v>13920.670000000002</v>
      </c>
      <c r="AUL9" s="239">
        <v>0</v>
      </c>
      <c r="AUM9" s="239">
        <v>0</v>
      </c>
      <c r="AUN9" s="239">
        <v>0</v>
      </c>
      <c r="AUO9" s="239">
        <v>0</v>
      </c>
      <c r="AUP9" s="239">
        <v>0</v>
      </c>
      <c r="AUQ9" s="239">
        <v>0</v>
      </c>
      <c r="AUR9" s="239">
        <v>0</v>
      </c>
      <c r="AUS9" s="239">
        <v>0</v>
      </c>
      <c r="AUT9" s="239">
        <v>0</v>
      </c>
      <c r="AUU9" s="239">
        <v>2172.9700000000003</v>
      </c>
      <c r="AUV9" s="239">
        <v>1751.6599999999994</v>
      </c>
      <c r="AUW9" s="239">
        <v>3302.0799999999995</v>
      </c>
      <c r="AUX9" s="239">
        <v>3205.87</v>
      </c>
      <c r="AUY9" s="239">
        <v>3418.0800000000008</v>
      </c>
      <c r="AUZ9" s="239">
        <v>521.35</v>
      </c>
      <c r="AVA9" s="239">
        <v>2691.8299999999995</v>
      </c>
      <c r="AVB9" s="239">
        <v>1258.7900000000004</v>
      </c>
      <c r="AVC9" s="239">
        <v>2568.0200000000004</v>
      </c>
      <c r="AVD9" s="239">
        <v>3429.0399999999991</v>
      </c>
      <c r="AVE9" s="239">
        <v>3346.44</v>
      </c>
      <c r="AVF9" s="239">
        <v>3177.0299999999997</v>
      </c>
      <c r="AVG9" s="239">
        <v>3207.7999999999993</v>
      </c>
      <c r="AVH9" s="239">
        <v>3228.5200000000004</v>
      </c>
      <c r="AVI9" s="239">
        <v>2618.16</v>
      </c>
      <c r="AVJ9" s="239">
        <v>2152.75</v>
      </c>
      <c r="AVK9" s="239">
        <v>2401.2000000000003</v>
      </c>
      <c r="AVL9" s="239">
        <v>0</v>
      </c>
      <c r="AVM9" s="239">
        <v>0</v>
      </c>
      <c r="AVN9" s="239">
        <v>0</v>
      </c>
      <c r="AVO9" s="239">
        <v>0</v>
      </c>
      <c r="AVP9" s="239">
        <v>0</v>
      </c>
      <c r="AVQ9" s="235">
        <f t="shared" si="3"/>
        <v>44451.59</v>
      </c>
      <c r="AVR9" s="239">
        <v>0</v>
      </c>
      <c r="AVS9" s="239">
        <v>0</v>
      </c>
      <c r="AVT9" s="239">
        <v>0</v>
      </c>
      <c r="AVU9" s="239">
        <v>0</v>
      </c>
      <c r="AVV9" s="239">
        <v>0</v>
      </c>
      <c r="AVW9" s="239">
        <v>0</v>
      </c>
      <c r="AVX9" s="239">
        <v>0</v>
      </c>
      <c r="AVY9" s="239">
        <v>0</v>
      </c>
      <c r="AVZ9" s="239">
        <v>0</v>
      </c>
      <c r="AWA9" s="239">
        <v>0</v>
      </c>
      <c r="AWB9" s="239">
        <v>0</v>
      </c>
      <c r="AWC9" s="239">
        <v>0</v>
      </c>
      <c r="AWD9" s="239">
        <v>0</v>
      </c>
      <c r="AWE9" s="239">
        <v>0</v>
      </c>
      <c r="AWF9" s="239">
        <v>0</v>
      </c>
      <c r="AWG9" s="239">
        <v>0</v>
      </c>
      <c r="AWH9" s="239">
        <v>0</v>
      </c>
      <c r="AWI9" s="239">
        <v>0</v>
      </c>
      <c r="AWJ9" s="239">
        <v>0</v>
      </c>
      <c r="AWK9" s="239">
        <v>0</v>
      </c>
      <c r="AWL9" s="239">
        <v>0</v>
      </c>
      <c r="AWM9" s="239">
        <v>0</v>
      </c>
      <c r="AWN9" s="239">
        <v>0</v>
      </c>
      <c r="AWO9" s="239">
        <v>0</v>
      </c>
      <c r="AWP9" s="239">
        <v>0</v>
      </c>
      <c r="AWQ9" s="239">
        <v>0</v>
      </c>
      <c r="AWR9" s="239">
        <v>0</v>
      </c>
      <c r="AWS9" s="239">
        <v>0</v>
      </c>
      <c r="AWT9" s="239">
        <v>0</v>
      </c>
      <c r="AWU9" s="239">
        <v>0</v>
      </c>
      <c r="AWV9" s="235">
        <v>0</v>
      </c>
      <c r="AWW9" s="239">
        <v>0</v>
      </c>
      <c r="AWX9" s="239">
        <v>0</v>
      </c>
      <c r="AWY9" s="239">
        <v>0</v>
      </c>
      <c r="AWZ9" s="239">
        <v>0</v>
      </c>
      <c r="AXA9" s="239">
        <v>0</v>
      </c>
      <c r="AXB9" s="239">
        <v>0</v>
      </c>
      <c r="AXC9" s="239">
        <v>0</v>
      </c>
      <c r="AXD9" s="239">
        <v>0</v>
      </c>
      <c r="AXE9" s="239">
        <v>0</v>
      </c>
      <c r="AXF9" s="239">
        <v>0</v>
      </c>
      <c r="AXG9" s="239">
        <v>0</v>
      </c>
      <c r="AXH9" s="239">
        <v>0</v>
      </c>
      <c r="AXI9" s="239">
        <v>0</v>
      </c>
      <c r="AXJ9" s="239">
        <v>0</v>
      </c>
      <c r="AXK9" s="239">
        <v>0</v>
      </c>
      <c r="AXL9" s="239">
        <v>0</v>
      </c>
      <c r="AXM9" s="239">
        <v>0</v>
      </c>
      <c r="AXN9" s="239">
        <v>0</v>
      </c>
      <c r="AXO9" s="239">
        <v>1407.48</v>
      </c>
      <c r="AXP9" s="239">
        <v>5048.1100000000006</v>
      </c>
      <c r="AXQ9" s="239">
        <v>5214.7700000000004</v>
      </c>
      <c r="AXR9" s="239">
        <v>4996.7900000000009</v>
      </c>
      <c r="AXS9" s="239">
        <v>2718.7000000000007</v>
      </c>
      <c r="AXT9" s="239">
        <v>2145.83</v>
      </c>
      <c r="AXU9" s="239">
        <v>5112.170000000001</v>
      </c>
      <c r="AXV9" s="239">
        <v>4730.9099999999989</v>
      </c>
      <c r="AXW9" s="239">
        <v>2393.38</v>
      </c>
      <c r="AXX9" s="239">
        <v>0</v>
      </c>
      <c r="AXY9" s="239">
        <v>0</v>
      </c>
      <c r="AXZ9" s="239">
        <v>0</v>
      </c>
      <c r="AYA9" s="239">
        <v>0</v>
      </c>
      <c r="AYB9" s="235">
        <v>33768.14</v>
      </c>
      <c r="AYC9" s="239">
        <v>0</v>
      </c>
      <c r="AYD9" s="239">
        <v>0</v>
      </c>
      <c r="AYE9" s="239">
        <v>0</v>
      </c>
      <c r="AYF9" s="239">
        <v>0</v>
      </c>
      <c r="AYG9" s="239">
        <v>0</v>
      </c>
      <c r="AYH9" s="239">
        <v>0</v>
      </c>
      <c r="AYI9" s="239">
        <v>0</v>
      </c>
      <c r="AYJ9" s="239">
        <v>0</v>
      </c>
      <c r="AYK9" s="239">
        <v>0</v>
      </c>
      <c r="AYL9" s="239">
        <v>0</v>
      </c>
      <c r="AYM9" s="239">
        <v>0</v>
      </c>
      <c r="AYN9" s="239">
        <v>0</v>
      </c>
      <c r="AYO9" s="239">
        <v>0</v>
      </c>
      <c r="AYP9" s="239">
        <v>0</v>
      </c>
      <c r="AYQ9" s="239">
        <v>0</v>
      </c>
      <c r="AYR9" s="239">
        <v>0</v>
      </c>
      <c r="AYS9" s="239">
        <v>0</v>
      </c>
      <c r="AYT9" s="239">
        <v>0</v>
      </c>
      <c r="AYU9" s="239">
        <v>0</v>
      </c>
      <c r="AYV9" s="239">
        <v>0</v>
      </c>
      <c r="AYW9" s="239">
        <v>0</v>
      </c>
      <c r="AYX9" s="239">
        <v>0</v>
      </c>
      <c r="AYY9" s="239">
        <v>1790.0000000000005</v>
      </c>
      <c r="AYZ9" s="239">
        <v>2060.7700000000004</v>
      </c>
      <c r="AZA9" s="239">
        <v>3326.25</v>
      </c>
      <c r="AZB9" s="239">
        <v>2079.9799999999996</v>
      </c>
      <c r="AZC9" s="239">
        <v>3103.7999999999997</v>
      </c>
      <c r="AZD9" s="239">
        <v>1133.1099999999997</v>
      </c>
      <c r="AZE9" s="239">
        <v>2412.8199999999997</v>
      </c>
      <c r="AZF9" s="239">
        <v>0</v>
      </c>
      <c r="AZG9" s="235">
        <v>15906.73</v>
      </c>
      <c r="AZH9" s="239" t="e">
        <f>Actual!#REF!</f>
        <v>#REF!</v>
      </c>
      <c r="AZI9" s="239" t="e">
        <f>Actual!#REF!</f>
        <v>#REF!</v>
      </c>
      <c r="AZJ9" s="239" t="e">
        <f>Actual!#REF!</f>
        <v>#REF!</v>
      </c>
      <c r="AZK9" s="239" t="e">
        <f>Actual!#REF!</f>
        <v>#REF!</v>
      </c>
      <c r="AZL9" s="239" t="e">
        <f>Actual!#REF!</f>
        <v>#REF!</v>
      </c>
      <c r="AZM9" s="239" t="e">
        <f>Actual!#REF!</f>
        <v>#REF!</v>
      </c>
      <c r="AZN9" s="239" t="e">
        <f>Actual!#REF!</f>
        <v>#REF!</v>
      </c>
      <c r="AZO9" s="239" t="e">
        <f>Actual!#REF!</f>
        <v>#REF!</v>
      </c>
      <c r="AZP9" s="239" t="e">
        <f>Actual!#REF!</f>
        <v>#REF!</v>
      </c>
      <c r="AZQ9" s="239" t="e">
        <f>Actual!#REF!</f>
        <v>#REF!</v>
      </c>
      <c r="AZR9" s="239" t="e">
        <f>Actual!#REF!</f>
        <v>#REF!</v>
      </c>
      <c r="AZS9" s="239" t="e">
        <f>Actual!#REF!</f>
        <v>#REF!</v>
      </c>
      <c r="AZT9" s="239" t="e">
        <f>Actual!#REF!</f>
        <v>#REF!</v>
      </c>
      <c r="AZU9" s="239" t="e">
        <f>Actual!#REF!</f>
        <v>#REF!</v>
      </c>
      <c r="AZV9" s="239" t="e">
        <f>Actual!#REF!</f>
        <v>#REF!</v>
      </c>
      <c r="AZW9" s="239" t="e">
        <f>Actual!#REF!</f>
        <v>#REF!</v>
      </c>
      <c r="AZX9" s="239" t="e">
        <f>Actual!#REF!</f>
        <v>#REF!</v>
      </c>
      <c r="AZY9" s="239" t="e">
        <f>Actual!#REF!</f>
        <v>#REF!</v>
      </c>
      <c r="AZZ9" s="239" t="e">
        <f>Actual!#REF!</f>
        <v>#REF!</v>
      </c>
      <c r="BAA9" s="239" t="e">
        <f>Actual!#REF!</f>
        <v>#REF!</v>
      </c>
      <c r="BAB9" s="239" t="e">
        <f>Actual!#REF!</f>
        <v>#REF!</v>
      </c>
      <c r="BAC9" s="239" t="e">
        <f>Actual!#REF!</f>
        <v>#REF!</v>
      </c>
      <c r="BAD9" s="239" t="e">
        <f>Actual!#REF!</f>
        <v>#REF!</v>
      </c>
      <c r="BAE9" s="239" t="e">
        <f>Actual!#REF!</f>
        <v>#REF!</v>
      </c>
      <c r="BAF9" s="239" t="e">
        <f>Actual!#REF!</f>
        <v>#REF!</v>
      </c>
      <c r="BAG9" s="239" t="e">
        <f>Actual!#REF!</f>
        <v>#REF!</v>
      </c>
      <c r="BAH9" s="239" t="e">
        <f>Actual!#REF!</f>
        <v>#REF!</v>
      </c>
      <c r="BAI9" s="239" t="e">
        <f>Actual!#REF!</f>
        <v>#REF!</v>
      </c>
      <c r="BAJ9" s="239" t="e">
        <f>Actual!#REF!</f>
        <v>#REF!</v>
      </c>
      <c r="BAK9" s="239" t="e">
        <f>Actual!#REF!</f>
        <v>#REF!</v>
      </c>
      <c r="BAL9" s="239" t="e">
        <f>Actual!#REF!</f>
        <v>#REF!</v>
      </c>
      <c r="BAM9" s="235" t="e">
        <f>SUM(AZH9:BAL9)</f>
        <v>#REF!</v>
      </c>
    </row>
    <row r="10" spans="2:1392">
      <c r="B10" s="526" t="s">
        <v>236</v>
      </c>
      <c r="C10" s="525">
        <f>Actual!F157/1000</f>
        <v>0</v>
      </c>
      <c r="D10" s="525">
        <f>Actual!G157/1000</f>
        <v>0</v>
      </c>
      <c r="E10" s="525">
        <f>Actual!H157/1000</f>
        <v>0</v>
      </c>
      <c r="F10" s="525">
        <f>Actual!I157/1000</f>
        <v>0</v>
      </c>
      <c r="G10" s="525">
        <f>Actual!J157/1000</f>
        <v>1.3128979999999999</v>
      </c>
      <c r="H10" s="525">
        <f>Actual!K157/1000</f>
        <v>0</v>
      </c>
      <c r="I10" s="525">
        <f>Actual!L157/1000</f>
        <v>0</v>
      </c>
      <c r="J10" s="525">
        <f>Actual!M157/1000</f>
        <v>0</v>
      </c>
      <c r="K10" s="525">
        <f>Actual!N157/1000</f>
        <v>0</v>
      </c>
      <c r="L10" s="525">
        <f>Actual!O157/1000</f>
        <v>0</v>
      </c>
      <c r="M10" s="525">
        <f>Actual!P157/1000</f>
        <v>0</v>
      </c>
      <c r="N10" s="525">
        <f>Actual!Q157/1000</f>
        <v>0</v>
      </c>
      <c r="O10" s="525">
        <f>Actual!R157/1000</f>
        <v>0</v>
      </c>
      <c r="P10" s="525">
        <f>Actual!S157/1000</f>
        <v>0</v>
      </c>
      <c r="Q10" s="525">
        <f>Actual!T157/1000</f>
        <v>0</v>
      </c>
      <c r="R10" s="525">
        <f>Actual!U157/1000</f>
        <v>0</v>
      </c>
      <c r="S10" s="525">
        <f>Actual!V157/1000</f>
        <v>0</v>
      </c>
      <c r="T10" s="525">
        <f>Actual!W157/1000</f>
        <v>0</v>
      </c>
      <c r="U10" s="525">
        <f>Actual!X157/1000</f>
        <v>0</v>
      </c>
      <c r="V10" s="525">
        <f>Actual!Y157/1000</f>
        <v>0</v>
      </c>
      <c r="W10" s="525">
        <f>Actual!Z157/1000</f>
        <v>0</v>
      </c>
      <c r="X10" s="525">
        <f>Actual!AA157/1000</f>
        <v>0</v>
      </c>
      <c r="Y10" s="525">
        <f>Actual!AB157/1000</f>
        <v>0</v>
      </c>
      <c r="Z10" s="525">
        <f>Actual!AC157/1000</f>
        <v>0</v>
      </c>
      <c r="AA10" s="525">
        <f>Actual!AD157/1000</f>
        <v>0</v>
      </c>
      <c r="AB10" s="525">
        <f>Actual!AE157/1000</f>
        <v>0</v>
      </c>
      <c r="AC10" s="525">
        <f>Actual!AF157/1000</f>
        <v>0</v>
      </c>
      <c r="AD10" s="525">
        <f>Actual!AG157/1000</f>
        <v>0</v>
      </c>
      <c r="AE10" s="525">
        <f>Actual!AH157/1000</f>
        <v>0</v>
      </c>
      <c r="AF10" s="525">
        <f>Actual!AI157/1000</f>
        <v>0</v>
      </c>
      <c r="AG10" s="525">
        <f>Actual!AJ157/1000</f>
        <v>0</v>
      </c>
      <c r="AH10" s="235">
        <f>SUM(C10:AG10)</f>
        <v>1.3128979999999999</v>
      </c>
      <c r="AI10" s="234">
        <v>0</v>
      </c>
      <c r="AJ10" s="234">
        <v>138.69999999999999</v>
      </c>
      <c r="AK10" s="234">
        <v>96.92</v>
      </c>
      <c r="AL10" s="234">
        <v>52.18</v>
      </c>
      <c r="AM10" s="234">
        <v>193.1</v>
      </c>
      <c r="AN10" s="234">
        <v>0</v>
      </c>
      <c r="AO10" s="234">
        <v>181.82999999999998</v>
      </c>
      <c r="AP10" s="234">
        <v>0</v>
      </c>
      <c r="AQ10" s="234">
        <v>31.04</v>
      </c>
      <c r="AR10" s="234">
        <v>91.58</v>
      </c>
      <c r="AS10" s="234">
        <v>308.40999999999997</v>
      </c>
      <c r="AT10" s="234">
        <v>0</v>
      </c>
      <c r="AU10" s="234">
        <v>56.99</v>
      </c>
      <c r="AV10" s="234">
        <v>0</v>
      </c>
      <c r="AW10" s="234">
        <v>0</v>
      </c>
      <c r="AX10" s="234">
        <v>0</v>
      </c>
      <c r="AY10" s="234">
        <v>0</v>
      </c>
      <c r="AZ10" s="234">
        <v>0</v>
      </c>
      <c r="BA10" s="234">
        <v>135.18</v>
      </c>
      <c r="BB10" s="234">
        <v>260.40999999999997</v>
      </c>
      <c r="BC10" s="234">
        <v>600.91999999999996</v>
      </c>
      <c r="BD10" s="234">
        <v>0</v>
      </c>
      <c r="BE10" s="234">
        <v>0</v>
      </c>
      <c r="BF10" s="234">
        <v>278.2</v>
      </c>
      <c r="BG10" s="234">
        <v>2104.7700000000004</v>
      </c>
      <c r="BH10" s="234">
        <v>0</v>
      </c>
      <c r="BI10" s="234">
        <v>0</v>
      </c>
      <c r="BJ10" s="234">
        <v>0</v>
      </c>
      <c r="BK10" s="235">
        <f t="shared" si="8"/>
        <v>4530.2300000000005</v>
      </c>
      <c r="BL10" s="234">
        <f>BL7-BL6</f>
        <v>838.05</v>
      </c>
      <c r="BM10" s="234">
        <f t="shared" ref="BM10:BR10" si="14">BM7-BM6</f>
        <v>317.07000000000016</v>
      </c>
      <c r="BN10" s="234">
        <f t="shared" si="14"/>
        <v>258.78999999999996</v>
      </c>
      <c r="BO10" s="234">
        <f t="shared" si="14"/>
        <v>0</v>
      </c>
      <c r="BP10" s="234">
        <f t="shared" si="14"/>
        <v>0</v>
      </c>
      <c r="BQ10" s="234">
        <f t="shared" si="14"/>
        <v>0</v>
      </c>
      <c r="BR10" s="234">
        <f t="shared" si="14"/>
        <v>24.6400000000001</v>
      </c>
      <c r="BS10" s="234">
        <v>0</v>
      </c>
      <c r="BT10" s="234">
        <v>0</v>
      </c>
      <c r="BU10" s="234">
        <f>BU7-BU6</f>
        <v>0</v>
      </c>
      <c r="BV10" s="234">
        <v>0</v>
      </c>
      <c r="BW10" s="234">
        <f>BW7-BW6</f>
        <v>0</v>
      </c>
      <c r="BX10" s="234">
        <f>BX7-BX6</f>
        <v>0</v>
      </c>
      <c r="BY10" s="234">
        <f>BY7-BY6</f>
        <v>365.81999999999994</v>
      </c>
      <c r="BZ10" s="234">
        <f t="shared" ref="BZ10:CG10" si="15">BZ7-BZ6</f>
        <v>0</v>
      </c>
      <c r="CA10" s="234">
        <f t="shared" si="15"/>
        <v>0</v>
      </c>
      <c r="CB10" s="234">
        <f t="shared" si="15"/>
        <v>0</v>
      </c>
      <c r="CC10" s="234">
        <f t="shared" si="15"/>
        <v>240.73999999999933</v>
      </c>
      <c r="CD10" s="234">
        <f t="shared" si="15"/>
        <v>0</v>
      </c>
      <c r="CE10" s="234">
        <f t="shared" si="15"/>
        <v>86.899999999999636</v>
      </c>
      <c r="CF10" s="234">
        <f t="shared" si="15"/>
        <v>0</v>
      </c>
      <c r="CG10" s="234">
        <f t="shared" si="15"/>
        <v>0</v>
      </c>
      <c r="CH10" s="234">
        <v>0</v>
      </c>
      <c r="CI10" s="234">
        <v>0</v>
      </c>
      <c r="CJ10" s="234">
        <v>0</v>
      </c>
      <c r="CK10" s="234">
        <v>0</v>
      </c>
      <c r="CL10" s="234">
        <f>CL7-CL6+CL9</f>
        <v>0</v>
      </c>
      <c r="CM10" s="234">
        <f>CM7-CM6+CM9</f>
        <v>0</v>
      </c>
      <c r="CN10" s="234">
        <f>CN7-CN6+CN9</f>
        <v>350.33000000000015</v>
      </c>
      <c r="CO10" s="234">
        <f>CO7-CO6+CO9</f>
        <v>130.07999999999993</v>
      </c>
      <c r="CP10" s="234">
        <f>CP7-CP6+CP9</f>
        <v>0</v>
      </c>
      <c r="CQ10" s="235">
        <f>SUM(BL10:CM10)</f>
        <v>2132.0099999999993</v>
      </c>
      <c r="CR10" s="234">
        <v>0</v>
      </c>
      <c r="CS10" s="234">
        <v>0</v>
      </c>
      <c r="CT10" s="234">
        <v>0</v>
      </c>
      <c r="CU10" s="234">
        <v>0</v>
      </c>
      <c r="CV10" s="234">
        <v>0</v>
      </c>
      <c r="CW10" s="234">
        <v>0</v>
      </c>
      <c r="CX10" s="234">
        <v>0</v>
      </c>
      <c r="CY10" s="234">
        <v>0</v>
      </c>
      <c r="CZ10" s="234">
        <v>0</v>
      </c>
      <c r="DA10" s="234">
        <v>0</v>
      </c>
      <c r="DB10" s="234">
        <v>0</v>
      </c>
      <c r="DC10" s="234">
        <v>0</v>
      </c>
      <c r="DD10" s="234">
        <v>0</v>
      </c>
      <c r="DE10" s="234">
        <v>0</v>
      </c>
      <c r="DF10" s="234">
        <v>0</v>
      </c>
      <c r="DG10" s="234">
        <v>0</v>
      </c>
      <c r="DH10" s="234">
        <v>0</v>
      </c>
      <c r="DI10" s="234">
        <v>0</v>
      </c>
      <c r="DJ10" s="234">
        <v>0</v>
      </c>
      <c r="DK10" s="234">
        <v>0</v>
      </c>
      <c r="DL10" s="234">
        <v>0</v>
      </c>
      <c r="DM10" s="234">
        <v>0</v>
      </c>
      <c r="DN10" s="234">
        <v>0</v>
      </c>
      <c r="DO10" s="234">
        <v>0</v>
      </c>
      <c r="DP10" s="234">
        <v>0</v>
      </c>
      <c r="DQ10" s="234">
        <v>0</v>
      </c>
      <c r="DR10" s="234">
        <v>0</v>
      </c>
      <c r="DS10" s="234">
        <v>0</v>
      </c>
      <c r="DT10" s="234">
        <v>0</v>
      </c>
      <c r="DU10" s="234">
        <v>0</v>
      </c>
      <c r="DV10" s="234">
        <v>0</v>
      </c>
      <c r="DW10" s="235">
        <f>SUM(CR10:DU10)</f>
        <v>0</v>
      </c>
      <c r="DX10" s="234">
        <v>0</v>
      </c>
      <c r="DY10" s="234">
        <v>0</v>
      </c>
      <c r="DZ10" s="234">
        <v>0</v>
      </c>
      <c r="EA10" s="234">
        <v>0</v>
      </c>
      <c r="EB10" s="234">
        <v>0</v>
      </c>
      <c r="EC10" s="234">
        <v>0</v>
      </c>
      <c r="ED10" s="234">
        <v>0</v>
      </c>
      <c r="EE10" s="234">
        <v>0</v>
      </c>
      <c r="EF10" s="234">
        <v>0</v>
      </c>
      <c r="EG10" s="234">
        <v>0</v>
      </c>
      <c r="EH10" s="234">
        <v>0</v>
      </c>
      <c r="EI10" s="234">
        <v>0</v>
      </c>
      <c r="EJ10" s="234">
        <v>0</v>
      </c>
      <c r="EK10" s="234">
        <v>0</v>
      </c>
      <c r="EL10" s="234">
        <v>0</v>
      </c>
      <c r="EM10" s="234">
        <v>0</v>
      </c>
      <c r="EN10" s="234">
        <v>0</v>
      </c>
      <c r="EO10" s="234">
        <v>0</v>
      </c>
      <c r="EP10" s="234">
        <v>0</v>
      </c>
      <c r="EQ10" s="234">
        <v>0</v>
      </c>
      <c r="ER10" s="234">
        <v>0</v>
      </c>
      <c r="ES10" s="234">
        <v>0</v>
      </c>
      <c r="ET10" s="234">
        <v>0</v>
      </c>
      <c r="EU10" s="234">
        <v>0</v>
      </c>
      <c r="EV10" s="234">
        <v>0</v>
      </c>
      <c r="EW10" s="234">
        <v>0</v>
      </c>
      <c r="EX10" s="234">
        <v>0</v>
      </c>
      <c r="EY10" s="234">
        <v>0</v>
      </c>
      <c r="EZ10" s="234">
        <v>0</v>
      </c>
      <c r="FA10" s="234">
        <v>0</v>
      </c>
      <c r="FB10" s="234">
        <v>0</v>
      </c>
      <c r="FC10" s="235">
        <f>SUM(DX10:FA10)</f>
        <v>0</v>
      </c>
      <c r="FD10" s="234">
        <v>0</v>
      </c>
      <c r="FE10" s="234">
        <v>0</v>
      </c>
      <c r="FF10" s="234">
        <v>0</v>
      </c>
      <c r="FG10" s="234">
        <v>0</v>
      </c>
      <c r="FH10" s="234">
        <v>0</v>
      </c>
      <c r="FI10" s="234">
        <v>0</v>
      </c>
      <c r="FJ10" s="234">
        <v>0</v>
      </c>
      <c r="FK10" s="234">
        <v>0</v>
      </c>
      <c r="FL10" s="234">
        <v>0</v>
      </c>
      <c r="FM10" s="234">
        <v>0</v>
      </c>
      <c r="FN10" s="234">
        <v>0</v>
      </c>
      <c r="FO10" s="234">
        <v>0</v>
      </c>
      <c r="FP10" s="234">
        <v>0</v>
      </c>
      <c r="FQ10" s="234">
        <v>0</v>
      </c>
      <c r="FR10" s="234">
        <v>0</v>
      </c>
      <c r="FS10" s="234">
        <v>0</v>
      </c>
      <c r="FT10" s="234">
        <v>0</v>
      </c>
      <c r="FU10" s="234">
        <v>0</v>
      </c>
      <c r="FV10" s="234">
        <v>0</v>
      </c>
      <c r="FW10" s="234">
        <v>0</v>
      </c>
      <c r="FX10" s="234">
        <v>0</v>
      </c>
      <c r="FY10" s="234">
        <v>0</v>
      </c>
      <c r="FZ10" s="234">
        <v>0</v>
      </c>
      <c r="GA10" s="234">
        <v>0</v>
      </c>
      <c r="GB10" s="234">
        <v>0</v>
      </c>
      <c r="GC10" s="234">
        <v>0</v>
      </c>
      <c r="GD10" s="234">
        <v>237.99</v>
      </c>
      <c r="GE10" s="234">
        <v>0</v>
      </c>
      <c r="GF10" s="234">
        <v>0</v>
      </c>
      <c r="GG10" s="234">
        <v>0</v>
      </c>
      <c r="GH10" s="234"/>
      <c r="GI10" s="235">
        <f>SUM(FD10:GG10)</f>
        <v>237.99</v>
      </c>
      <c r="GJ10" s="234">
        <v>0</v>
      </c>
      <c r="GK10" s="234">
        <v>0</v>
      </c>
      <c r="GL10" s="234">
        <v>0</v>
      </c>
      <c r="GM10" s="234">
        <v>0</v>
      </c>
      <c r="GN10" s="234">
        <v>0</v>
      </c>
      <c r="GO10" s="234">
        <v>218.75</v>
      </c>
      <c r="GP10" s="234">
        <v>0</v>
      </c>
      <c r="GQ10" s="234">
        <v>0</v>
      </c>
      <c r="GR10" s="234">
        <v>0</v>
      </c>
      <c r="GS10" s="234">
        <v>0</v>
      </c>
      <c r="GT10" s="234">
        <v>0</v>
      </c>
      <c r="GU10" s="234">
        <v>0</v>
      </c>
      <c r="GV10" s="234">
        <v>0</v>
      </c>
      <c r="GW10" s="234">
        <v>0</v>
      </c>
      <c r="GX10" s="234">
        <v>0</v>
      </c>
      <c r="GY10" s="234">
        <v>0</v>
      </c>
      <c r="GZ10" s="234">
        <v>0</v>
      </c>
      <c r="HA10" s="234">
        <v>0</v>
      </c>
      <c r="HB10" s="234">
        <v>0</v>
      </c>
      <c r="HC10" s="234">
        <v>0</v>
      </c>
      <c r="HD10" s="234">
        <v>0</v>
      </c>
      <c r="HE10" s="234">
        <v>0</v>
      </c>
      <c r="HF10" s="234">
        <v>0</v>
      </c>
      <c r="HG10" s="234">
        <v>0</v>
      </c>
      <c r="HH10" s="234">
        <v>0</v>
      </c>
      <c r="HI10" s="234">
        <v>0</v>
      </c>
      <c r="HJ10" s="234">
        <v>0</v>
      </c>
      <c r="HK10" s="234">
        <v>0</v>
      </c>
      <c r="HL10" s="234">
        <v>0</v>
      </c>
      <c r="HM10" s="234">
        <v>0</v>
      </c>
      <c r="HN10" s="234">
        <v>0</v>
      </c>
      <c r="HO10" s="235">
        <f>SUM(GJ10:HM10)</f>
        <v>218.75</v>
      </c>
      <c r="HP10" s="234">
        <v>833.69999999999993</v>
      </c>
      <c r="HQ10" s="234">
        <v>0</v>
      </c>
      <c r="HR10" s="234">
        <v>475.89</v>
      </c>
      <c r="HS10" s="234">
        <v>0</v>
      </c>
      <c r="HT10" s="234">
        <v>0</v>
      </c>
      <c r="HU10" s="234">
        <v>0</v>
      </c>
      <c r="HV10" s="234">
        <v>0</v>
      </c>
      <c r="HW10" s="234">
        <v>0</v>
      </c>
      <c r="HX10" s="234">
        <v>0</v>
      </c>
      <c r="HY10" s="234">
        <v>0</v>
      </c>
      <c r="HZ10" s="234">
        <v>0</v>
      </c>
      <c r="IA10" s="234">
        <v>0</v>
      </c>
      <c r="IB10" s="234">
        <v>0</v>
      </c>
      <c r="IC10" s="234">
        <v>0</v>
      </c>
      <c r="ID10" s="234">
        <v>0</v>
      </c>
      <c r="IE10" s="234">
        <v>0</v>
      </c>
      <c r="IF10" s="234">
        <v>105.15</v>
      </c>
      <c r="IG10" s="234">
        <v>0</v>
      </c>
      <c r="IH10" s="234">
        <v>0</v>
      </c>
      <c r="II10" s="234">
        <v>0</v>
      </c>
      <c r="IJ10" s="234">
        <v>0</v>
      </c>
      <c r="IK10" s="234">
        <v>2106.46</v>
      </c>
      <c r="IL10" s="234">
        <v>0</v>
      </c>
      <c r="IM10" s="234">
        <v>0</v>
      </c>
      <c r="IN10" s="234">
        <v>0</v>
      </c>
      <c r="IO10" s="234">
        <v>0</v>
      </c>
      <c r="IP10" s="234">
        <v>0</v>
      </c>
      <c r="IQ10" s="234">
        <v>0</v>
      </c>
      <c r="IR10" s="234">
        <v>0</v>
      </c>
      <c r="IS10" s="234">
        <v>0</v>
      </c>
      <c r="IT10" s="234">
        <v>0</v>
      </c>
      <c r="IU10" s="235">
        <f>SUM(HP10:IS10)</f>
        <v>3521.2</v>
      </c>
      <c r="IV10" s="234">
        <v>0</v>
      </c>
      <c r="IW10" s="234">
        <v>0</v>
      </c>
      <c r="IX10" s="234">
        <v>0</v>
      </c>
      <c r="IY10" s="234">
        <v>0</v>
      </c>
      <c r="IZ10" s="234">
        <v>0</v>
      </c>
      <c r="JA10" s="234">
        <v>0</v>
      </c>
      <c r="JB10" s="234">
        <v>0</v>
      </c>
      <c r="JC10" s="234">
        <v>0</v>
      </c>
      <c r="JD10" s="234">
        <v>0</v>
      </c>
      <c r="JE10" s="234">
        <v>0</v>
      </c>
      <c r="JF10" s="234">
        <v>0</v>
      </c>
      <c r="JG10" s="234">
        <v>0</v>
      </c>
      <c r="JH10" s="234">
        <v>0</v>
      </c>
      <c r="JI10" s="234">
        <v>0</v>
      </c>
      <c r="JJ10" s="234">
        <v>0</v>
      </c>
      <c r="JK10" s="234">
        <v>0</v>
      </c>
      <c r="JL10" s="234">
        <v>0</v>
      </c>
      <c r="JM10" s="234">
        <v>0</v>
      </c>
      <c r="JN10" s="234">
        <v>0</v>
      </c>
      <c r="JO10" s="234">
        <v>0</v>
      </c>
      <c r="JP10" s="234">
        <v>0</v>
      </c>
      <c r="JQ10" s="234">
        <v>0</v>
      </c>
      <c r="JR10" s="234">
        <v>0</v>
      </c>
      <c r="JS10" s="234">
        <v>0</v>
      </c>
      <c r="JT10" s="234">
        <v>0</v>
      </c>
      <c r="JU10" s="234">
        <v>0</v>
      </c>
      <c r="JV10" s="234">
        <v>0</v>
      </c>
      <c r="JW10" s="234">
        <v>0</v>
      </c>
      <c r="JX10" s="234">
        <v>0</v>
      </c>
      <c r="JY10" s="234">
        <v>0</v>
      </c>
      <c r="JZ10" s="234"/>
      <c r="KA10" s="235">
        <f>SUM(IV10:JY10)</f>
        <v>0</v>
      </c>
      <c r="KB10" s="234">
        <v>0</v>
      </c>
      <c r="KC10" s="234">
        <v>0</v>
      </c>
      <c r="KD10" s="234">
        <v>0</v>
      </c>
      <c r="KE10" s="234">
        <v>0</v>
      </c>
      <c r="KF10" s="234">
        <v>0</v>
      </c>
      <c r="KG10" s="234">
        <v>0</v>
      </c>
      <c r="KH10" s="234">
        <v>0</v>
      </c>
      <c r="KI10" s="234">
        <v>0</v>
      </c>
      <c r="KJ10" s="234">
        <v>0</v>
      </c>
      <c r="KK10" s="234">
        <v>0</v>
      </c>
      <c r="KL10" s="234">
        <v>0</v>
      </c>
      <c r="KM10" s="234">
        <v>0</v>
      </c>
      <c r="KN10" s="234">
        <v>0</v>
      </c>
      <c r="KO10" s="234">
        <v>0</v>
      </c>
      <c r="KP10" s="234">
        <v>0</v>
      </c>
      <c r="KQ10" s="234">
        <v>0</v>
      </c>
      <c r="KR10" s="234">
        <v>0</v>
      </c>
      <c r="KS10" s="234">
        <v>0</v>
      </c>
      <c r="KT10" s="234">
        <v>0</v>
      </c>
      <c r="KU10" s="234">
        <v>0</v>
      </c>
      <c r="KV10" s="234">
        <v>0</v>
      </c>
      <c r="KW10" s="234">
        <v>0</v>
      </c>
      <c r="KX10" s="234">
        <v>0</v>
      </c>
      <c r="KY10" s="234">
        <v>0</v>
      </c>
      <c r="KZ10" s="234">
        <v>0</v>
      </c>
      <c r="LA10" s="234">
        <v>0</v>
      </c>
      <c r="LB10" s="234">
        <v>0</v>
      </c>
      <c r="LC10" s="234">
        <v>0</v>
      </c>
      <c r="LD10" s="234">
        <v>0</v>
      </c>
      <c r="LE10" s="234">
        <v>0</v>
      </c>
      <c r="LF10" s="234"/>
      <c r="LG10" s="235">
        <f>SUM(KB10:LE10)</f>
        <v>0</v>
      </c>
      <c r="LH10" s="234">
        <v>0</v>
      </c>
      <c r="LI10" s="234">
        <v>0</v>
      </c>
      <c r="LJ10" s="234">
        <v>0</v>
      </c>
      <c r="LK10" s="234">
        <v>0</v>
      </c>
      <c r="LL10" s="234">
        <v>0</v>
      </c>
      <c r="LM10" s="234">
        <v>0</v>
      </c>
      <c r="LN10" s="234">
        <v>0</v>
      </c>
      <c r="LO10" s="234">
        <v>0</v>
      </c>
      <c r="LP10" s="234">
        <v>0</v>
      </c>
      <c r="LQ10" s="234">
        <v>0</v>
      </c>
      <c r="LR10" s="234">
        <v>0</v>
      </c>
      <c r="LS10" s="234">
        <v>0</v>
      </c>
      <c r="LT10" s="234">
        <v>0</v>
      </c>
      <c r="LU10" s="234">
        <v>0</v>
      </c>
      <c r="LV10" s="234">
        <v>0</v>
      </c>
      <c r="LW10" s="234">
        <v>0</v>
      </c>
      <c r="LX10" s="234">
        <v>0</v>
      </c>
      <c r="LY10" s="234">
        <v>0</v>
      </c>
      <c r="LZ10" s="234">
        <v>0</v>
      </c>
      <c r="MA10" s="234">
        <v>0</v>
      </c>
      <c r="MB10" s="234">
        <v>0</v>
      </c>
      <c r="MC10" s="234">
        <v>0</v>
      </c>
      <c r="MD10" s="234">
        <v>0</v>
      </c>
      <c r="ME10" s="234">
        <v>0</v>
      </c>
      <c r="MF10" s="234">
        <v>0</v>
      </c>
      <c r="MG10" s="234">
        <v>0</v>
      </c>
      <c r="MH10" s="234">
        <v>0</v>
      </c>
      <c r="MI10" s="234">
        <v>0</v>
      </c>
      <c r="MJ10" s="234">
        <v>0</v>
      </c>
      <c r="MK10" s="234">
        <v>0</v>
      </c>
      <c r="ML10" s="234"/>
      <c r="MM10" s="235">
        <f>SUM(LH10:MK10)</f>
        <v>0</v>
      </c>
      <c r="MN10" s="234">
        <v>0</v>
      </c>
      <c r="MO10" s="234">
        <v>0</v>
      </c>
      <c r="MP10" s="234">
        <v>0</v>
      </c>
      <c r="MQ10" s="234">
        <v>0</v>
      </c>
      <c r="MR10" s="234">
        <v>941.16000000000008</v>
      </c>
      <c r="MS10" s="234">
        <v>0</v>
      </c>
      <c r="MT10" s="234">
        <v>0</v>
      </c>
      <c r="MU10" s="234">
        <v>0</v>
      </c>
      <c r="MV10" s="234">
        <v>242.5</v>
      </c>
      <c r="MW10" s="234">
        <v>324.98</v>
      </c>
      <c r="MX10" s="234">
        <v>0</v>
      </c>
      <c r="MY10" s="234">
        <v>399.74</v>
      </c>
      <c r="MZ10" s="234">
        <v>2611.9100000000003</v>
      </c>
      <c r="NA10" s="234">
        <v>0</v>
      </c>
      <c r="NB10" s="234">
        <v>0</v>
      </c>
      <c r="NC10" s="234">
        <v>0</v>
      </c>
      <c r="ND10" s="234">
        <v>429.07</v>
      </c>
      <c r="NE10" s="234">
        <v>247.25</v>
      </c>
      <c r="NF10" s="234">
        <v>62.68</v>
      </c>
      <c r="NG10" s="234">
        <v>0</v>
      </c>
      <c r="NH10" s="234">
        <v>0</v>
      </c>
      <c r="NI10" s="234">
        <v>0</v>
      </c>
      <c r="NJ10" s="234">
        <v>0</v>
      </c>
      <c r="NK10" s="234">
        <v>0</v>
      </c>
      <c r="NL10" s="234">
        <v>0</v>
      </c>
      <c r="NM10" s="234">
        <v>0</v>
      </c>
      <c r="NN10" s="234">
        <v>0</v>
      </c>
      <c r="NO10" s="234">
        <v>0</v>
      </c>
      <c r="NP10" s="234">
        <v>4497.42</v>
      </c>
      <c r="NQ10" s="234">
        <v>2282.54</v>
      </c>
      <c r="NR10" s="234">
        <v>60.03</v>
      </c>
      <c r="NS10" s="235">
        <f>SUM(MN10:NQ10)</f>
        <v>12039.25</v>
      </c>
      <c r="NT10" s="234">
        <v>0</v>
      </c>
      <c r="NU10" s="234">
        <v>0</v>
      </c>
      <c r="NV10" s="234">
        <v>0</v>
      </c>
      <c r="NW10" s="234">
        <v>0</v>
      </c>
      <c r="NX10" s="234">
        <v>0</v>
      </c>
      <c r="NY10" s="234">
        <v>435.85</v>
      </c>
      <c r="NZ10" s="234">
        <v>0</v>
      </c>
      <c r="OA10" s="234">
        <v>0</v>
      </c>
      <c r="OB10" s="234">
        <v>0</v>
      </c>
      <c r="OC10" s="234">
        <v>0</v>
      </c>
      <c r="OD10" s="234">
        <v>336.09000000000003</v>
      </c>
      <c r="OE10" s="234">
        <v>0</v>
      </c>
      <c r="OF10" s="234">
        <v>0</v>
      </c>
      <c r="OG10" s="234">
        <v>128.12</v>
      </c>
      <c r="OH10" s="234">
        <v>439.19</v>
      </c>
      <c r="OI10" s="234">
        <v>325.3</v>
      </c>
      <c r="OJ10" s="234">
        <v>330.18</v>
      </c>
      <c r="OK10" s="234">
        <v>0</v>
      </c>
      <c r="OL10" s="234">
        <v>0</v>
      </c>
      <c r="OM10" s="234">
        <v>215.7</v>
      </c>
      <c r="ON10" s="234">
        <v>156.05000000000001</v>
      </c>
      <c r="OO10" s="234">
        <v>460.92</v>
      </c>
      <c r="OP10" s="234">
        <v>32.869999999999997</v>
      </c>
      <c r="OQ10" s="234">
        <v>487.38</v>
      </c>
      <c r="OR10" s="234">
        <v>597.28</v>
      </c>
      <c r="OS10" s="234">
        <v>0</v>
      </c>
      <c r="OT10" s="234">
        <v>0</v>
      </c>
      <c r="OU10" s="234">
        <v>822.11</v>
      </c>
      <c r="OV10" s="234">
        <v>799.06999999999994</v>
      </c>
      <c r="OW10" s="234">
        <v>35.32</v>
      </c>
      <c r="OX10" s="234">
        <v>0</v>
      </c>
      <c r="OY10" s="235">
        <f t="shared" si="9"/>
        <v>5601.4299999999994</v>
      </c>
      <c r="OZ10" s="234">
        <v>0</v>
      </c>
      <c r="PA10" s="234">
        <v>946.67</v>
      </c>
      <c r="PB10" s="234">
        <v>426.42999999999995</v>
      </c>
      <c r="PC10" s="234">
        <v>0</v>
      </c>
      <c r="PD10" s="234">
        <v>0</v>
      </c>
      <c r="PE10" s="234">
        <v>0</v>
      </c>
      <c r="PF10" s="234">
        <v>0</v>
      </c>
      <c r="PG10" s="234">
        <v>432.62</v>
      </c>
      <c r="PH10" s="234">
        <v>0</v>
      </c>
      <c r="PI10" s="234">
        <v>267.39999999999998</v>
      </c>
      <c r="PJ10" s="234">
        <v>0</v>
      </c>
      <c r="PK10" s="234">
        <v>94.24</v>
      </c>
      <c r="PL10" s="234">
        <v>0</v>
      </c>
      <c r="PM10" s="234">
        <v>0</v>
      </c>
      <c r="PN10" s="234">
        <v>0</v>
      </c>
      <c r="PO10" s="234">
        <v>289.29999999999995</v>
      </c>
      <c r="PP10" s="234">
        <v>1710.75</v>
      </c>
      <c r="PQ10" s="234">
        <v>1770.52</v>
      </c>
      <c r="PR10" s="234">
        <v>1535.83</v>
      </c>
      <c r="PS10" s="234">
        <v>843.47</v>
      </c>
      <c r="PT10" s="234">
        <v>0</v>
      </c>
      <c r="PU10" s="234">
        <v>0</v>
      </c>
      <c r="PV10" s="234">
        <v>0</v>
      </c>
      <c r="PW10" s="234">
        <v>0</v>
      </c>
      <c r="PX10" s="234">
        <v>0</v>
      </c>
      <c r="PY10" s="234">
        <v>0</v>
      </c>
      <c r="PZ10" s="234">
        <v>949.64</v>
      </c>
      <c r="QA10" s="234">
        <v>450.38</v>
      </c>
      <c r="QB10" s="234">
        <v>0</v>
      </c>
      <c r="QC10" s="234">
        <v>0</v>
      </c>
      <c r="QD10" s="235">
        <f t="shared" si="10"/>
        <v>9717.2499999999982</v>
      </c>
      <c r="QE10" s="234">
        <v>0</v>
      </c>
      <c r="QF10" s="234">
        <v>0</v>
      </c>
      <c r="QG10" s="234">
        <v>0</v>
      </c>
      <c r="QH10" s="234">
        <v>0</v>
      </c>
      <c r="QI10" s="234">
        <v>0</v>
      </c>
      <c r="QJ10" s="234">
        <v>0</v>
      </c>
      <c r="QK10" s="234">
        <v>0</v>
      </c>
      <c r="QL10" s="234">
        <v>0</v>
      </c>
      <c r="QM10" s="234">
        <v>0</v>
      </c>
      <c r="QN10" s="234">
        <v>0</v>
      </c>
      <c r="QO10" s="234">
        <v>0</v>
      </c>
      <c r="QP10" s="234">
        <v>0</v>
      </c>
      <c r="QQ10" s="234">
        <v>0</v>
      </c>
      <c r="QR10" s="234">
        <v>0</v>
      </c>
      <c r="QS10" s="234">
        <v>0</v>
      </c>
      <c r="QT10" s="234">
        <v>0</v>
      </c>
      <c r="QU10" s="234">
        <v>0</v>
      </c>
      <c r="QV10" s="234">
        <v>0</v>
      </c>
      <c r="QW10" s="234">
        <v>0</v>
      </c>
      <c r="QX10" s="234">
        <v>0</v>
      </c>
      <c r="QY10" s="234">
        <v>177.91</v>
      </c>
      <c r="QZ10" s="234">
        <v>744.75</v>
      </c>
      <c r="RA10" s="234">
        <v>0</v>
      </c>
      <c r="RB10" s="234">
        <v>236.57</v>
      </c>
      <c r="RC10" s="234">
        <v>774.19</v>
      </c>
      <c r="RD10" s="234">
        <v>413.97</v>
      </c>
      <c r="RE10" s="234">
        <v>603.30999999999995</v>
      </c>
      <c r="RF10" s="234">
        <v>168.5</v>
      </c>
      <c r="RG10" s="234">
        <v>694.82999999999993</v>
      </c>
      <c r="RH10" s="234">
        <v>348.77</v>
      </c>
      <c r="RI10" s="234">
        <v>0</v>
      </c>
      <c r="RJ10" s="235">
        <v>4162.8</v>
      </c>
      <c r="RK10" s="234">
        <v>0</v>
      </c>
      <c r="RL10" s="234">
        <v>0</v>
      </c>
      <c r="RM10" s="234">
        <v>482.76</v>
      </c>
      <c r="RN10" s="234">
        <v>295.29999999999995</v>
      </c>
      <c r="RO10" s="234">
        <v>704.86000000000013</v>
      </c>
      <c r="RP10" s="234">
        <v>0</v>
      </c>
      <c r="RQ10" s="234">
        <v>546.70000000000005</v>
      </c>
      <c r="RR10" s="234">
        <v>2299.4100000000003</v>
      </c>
      <c r="RS10" s="234">
        <v>824.58</v>
      </c>
      <c r="RT10" s="234">
        <v>610.06999999999994</v>
      </c>
      <c r="RU10" s="234">
        <v>0</v>
      </c>
      <c r="RV10" s="234">
        <v>0</v>
      </c>
      <c r="RW10" s="234">
        <v>0</v>
      </c>
      <c r="RX10" s="234">
        <v>55.39</v>
      </c>
      <c r="RY10" s="234">
        <v>2486.9299999999998</v>
      </c>
      <c r="RZ10" s="234">
        <v>924.32999999999993</v>
      </c>
      <c r="SA10" s="234">
        <v>1214.3</v>
      </c>
      <c r="SB10" s="234">
        <v>810.21</v>
      </c>
      <c r="SC10" s="234">
        <v>1538.71</v>
      </c>
      <c r="SD10" s="234">
        <v>143.03</v>
      </c>
      <c r="SE10" s="234">
        <v>475.82</v>
      </c>
      <c r="SF10" s="234">
        <v>2598.1</v>
      </c>
      <c r="SG10" s="234">
        <v>1176.25</v>
      </c>
      <c r="SH10" s="234">
        <v>141.19999999999999</v>
      </c>
      <c r="SI10" s="234">
        <v>626.39</v>
      </c>
      <c r="SJ10" s="234">
        <v>422.11</v>
      </c>
      <c r="SK10" s="234">
        <v>0</v>
      </c>
      <c r="SL10" s="234">
        <v>166.86</v>
      </c>
      <c r="SM10" s="234">
        <v>506.99999999999994</v>
      </c>
      <c r="SN10" s="234">
        <v>327.04000000000002</v>
      </c>
      <c r="SO10" s="235">
        <v>0</v>
      </c>
      <c r="SP10" s="234">
        <v>291.02</v>
      </c>
      <c r="SQ10" s="234">
        <v>516.35</v>
      </c>
      <c r="SR10" s="234">
        <v>303.74</v>
      </c>
      <c r="SS10" s="234">
        <v>436.72999999999996</v>
      </c>
      <c r="ST10" s="234">
        <v>611.16</v>
      </c>
      <c r="SU10" s="234">
        <v>2008.8300000000002</v>
      </c>
      <c r="SV10" s="234">
        <v>0</v>
      </c>
      <c r="SW10" s="234">
        <v>21.86</v>
      </c>
      <c r="SX10" s="234">
        <v>1143.3699999999999</v>
      </c>
      <c r="SY10" s="234">
        <v>411.94999999999993</v>
      </c>
      <c r="SZ10" s="234">
        <v>0</v>
      </c>
      <c r="TA10" s="234">
        <v>214.93</v>
      </c>
      <c r="TB10" s="234">
        <v>62.45</v>
      </c>
      <c r="TC10" s="234">
        <v>0</v>
      </c>
      <c r="TD10" s="234">
        <v>1311.81</v>
      </c>
      <c r="TE10" s="234">
        <v>1014.29</v>
      </c>
      <c r="TF10" s="234">
        <v>0</v>
      </c>
      <c r="TG10" s="234">
        <v>247.18</v>
      </c>
      <c r="TH10" s="234">
        <v>471.28</v>
      </c>
      <c r="TI10" s="234">
        <v>880.2</v>
      </c>
      <c r="TJ10" s="234">
        <v>29.15</v>
      </c>
      <c r="TK10" s="234">
        <v>0</v>
      </c>
      <c r="TL10" s="234">
        <v>209.4</v>
      </c>
      <c r="TM10" s="234">
        <v>854.46</v>
      </c>
      <c r="TN10" s="234">
        <v>72.19</v>
      </c>
      <c r="TO10" s="234">
        <v>456.63</v>
      </c>
      <c r="TP10" s="234">
        <v>2222.88</v>
      </c>
      <c r="TQ10" s="234">
        <v>252.46</v>
      </c>
      <c r="TR10" s="234">
        <v>1260.5700000000002</v>
      </c>
      <c r="TS10" s="234">
        <v>509.87</v>
      </c>
      <c r="TT10" s="234">
        <v>280.52999999999997</v>
      </c>
      <c r="TU10" s="235">
        <v>16095.29</v>
      </c>
      <c r="TV10" s="234">
        <v>1294.24</v>
      </c>
      <c r="TW10" s="234">
        <v>1418.3</v>
      </c>
      <c r="TX10" s="234">
        <v>287.52</v>
      </c>
      <c r="TY10" s="234">
        <v>429.91999999999996</v>
      </c>
      <c r="TZ10" s="234">
        <v>347.33</v>
      </c>
      <c r="UA10" s="234">
        <v>347.07</v>
      </c>
      <c r="UB10" s="234">
        <v>698.45</v>
      </c>
      <c r="UC10" s="234">
        <v>906.99</v>
      </c>
      <c r="UD10" s="234">
        <v>337.02</v>
      </c>
      <c r="UE10" s="234">
        <v>1675.3</v>
      </c>
      <c r="UF10" s="234">
        <v>653.16000000000008</v>
      </c>
      <c r="UG10" s="234">
        <v>0</v>
      </c>
      <c r="UH10" s="234">
        <v>67.84</v>
      </c>
      <c r="UI10" s="234">
        <v>0</v>
      </c>
      <c r="UJ10" s="234">
        <v>51.5</v>
      </c>
      <c r="UK10" s="234">
        <v>684.58</v>
      </c>
      <c r="UL10" s="234">
        <v>167.9</v>
      </c>
      <c r="UM10" s="234">
        <v>0</v>
      </c>
      <c r="UN10" s="234">
        <v>0</v>
      </c>
      <c r="UO10" s="234">
        <v>0</v>
      </c>
      <c r="UP10" s="234">
        <v>0</v>
      </c>
      <c r="UQ10" s="234">
        <v>0</v>
      </c>
      <c r="UR10" s="234">
        <v>0</v>
      </c>
      <c r="US10" s="234">
        <v>1056.6100000000001</v>
      </c>
      <c r="UT10" s="234">
        <v>53.39</v>
      </c>
      <c r="UU10" s="234">
        <v>0</v>
      </c>
      <c r="UV10" s="234">
        <v>231.57999999999998</v>
      </c>
      <c r="UW10" s="234">
        <v>0</v>
      </c>
      <c r="UX10" s="234">
        <v>551.98</v>
      </c>
      <c r="UY10" s="234">
        <v>472.08</v>
      </c>
      <c r="UZ10" s="234">
        <v>793.6400000000001</v>
      </c>
      <c r="VA10" s="235">
        <v>16095.29</v>
      </c>
      <c r="VB10" s="234">
        <v>140.18</v>
      </c>
      <c r="VC10" s="234">
        <v>607.54999999999995</v>
      </c>
      <c r="VD10" s="234">
        <v>40.25</v>
      </c>
      <c r="VE10" s="234">
        <v>0</v>
      </c>
      <c r="VF10" s="234">
        <v>0</v>
      </c>
      <c r="VG10" s="234">
        <v>129.12</v>
      </c>
      <c r="VH10" s="234">
        <v>1608.8999999999999</v>
      </c>
      <c r="VI10" s="234">
        <v>57.03</v>
      </c>
      <c r="VJ10" s="234">
        <v>309.72000000000003</v>
      </c>
      <c r="VK10" s="234">
        <v>158.48999999999998</v>
      </c>
      <c r="VL10" s="234">
        <v>0</v>
      </c>
      <c r="VM10" s="234">
        <v>0</v>
      </c>
      <c r="VN10" s="234">
        <v>1147.7700000000002</v>
      </c>
      <c r="VO10" s="234">
        <v>1642.9300000000003</v>
      </c>
      <c r="VP10" s="234">
        <v>497.35</v>
      </c>
      <c r="VQ10" s="234">
        <v>629.53</v>
      </c>
      <c r="VR10" s="234">
        <v>318.40999999999997</v>
      </c>
      <c r="VS10" s="234">
        <v>1604.8400000000001</v>
      </c>
      <c r="VT10" s="234">
        <v>1404.06</v>
      </c>
      <c r="VU10" s="234">
        <v>675.17</v>
      </c>
      <c r="VV10" s="234">
        <v>145.89000000000001</v>
      </c>
      <c r="VW10" s="234">
        <v>1059.6400000000001</v>
      </c>
      <c r="VX10" s="234">
        <v>23.87</v>
      </c>
      <c r="VY10" s="234">
        <v>0</v>
      </c>
      <c r="VZ10" s="234">
        <v>210.85</v>
      </c>
      <c r="WA10" s="234">
        <v>0</v>
      </c>
      <c r="WB10" s="234">
        <v>330.21</v>
      </c>
      <c r="WC10" s="234">
        <v>522.72</v>
      </c>
      <c r="WD10" s="234">
        <v>247.92</v>
      </c>
      <c r="WE10" s="234">
        <v>0</v>
      </c>
      <c r="WF10" s="235">
        <v>16095.29</v>
      </c>
      <c r="WG10" s="234">
        <v>0</v>
      </c>
      <c r="WH10" s="234">
        <v>0</v>
      </c>
      <c r="WI10" s="234">
        <v>0</v>
      </c>
      <c r="WJ10" s="234">
        <v>0</v>
      </c>
      <c r="WK10" s="234">
        <v>914.51</v>
      </c>
      <c r="WL10" s="234">
        <v>0</v>
      </c>
      <c r="WM10" s="234">
        <v>126.54</v>
      </c>
      <c r="WN10" s="234">
        <v>27.05</v>
      </c>
      <c r="WO10" s="234">
        <v>0</v>
      </c>
      <c r="WP10" s="234">
        <v>0</v>
      </c>
      <c r="WQ10" s="234">
        <v>0</v>
      </c>
      <c r="WR10" s="234">
        <v>687.6400000000001</v>
      </c>
      <c r="WS10" s="234">
        <v>0</v>
      </c>
      <c r="WT10" s="234">
        <v>0</v>
      </c>
      <c r="WU10" s="234">
        <v>0</v>
      </c>
      <c r="WV10" s="234">
        <v>0</v>
      </c>
      <c r="WW10" s="234">
        <v>0</v>
      </c>
      <c r="WX10" s="234">
        <v>0</v>
      </c>
      <c r="WY10" s="234">
        <v>1498.8400000000001</v>
      </c>
      <c r="WZ10" s="234">
        <v>0</v>
      </c>
      <c r="XA10" s="234">
        <v>0</v>
      </c>
      <c r="XB10" s="234">
        <v>0</v>
      </c>
      <c r="XC10" s="234">
        <v>73.740000000000009</v>
      </c>
      <c r="XD10" s="234">
        <v>650.61</v>
      </c>
      <c r="XE10" s="234">
        <v>445.49</v>
      </c>
      <c r="XF10" s="234">
        <v>745.86</v>
      </c>
      <c r="XG10" s="234">
        <v>697.03</v>
      </c>
      <c r="XH10" s="234">
        <v>0</v>
      </c>
      <c r="XI10" s="234">
        <v>0</v>
      </c>
      <c r="XJ10" s="234">
        <v>0</v>
      </c>
      <c r="XK10" s="234">
        <v>0</v>
      </c>
      <c r="XL10" s="235">
        <v>5867.3099999999995</v>
      </c>
      <c r="XM10" s="234">
        <v>0</v>
      </c>
      <c r="XN10" s="234">
        <v>0</v>
      </c>
      <c r="XO10" s="234">
        <v>0</v>
      </c>
      <c r="XP10" s="234">
        <v>0</v>
      </c>
      <c r="XQ10" s="234">
        <v>0</v>
      </c>
      <c r="XR10" s="234">
        <v>0</v>
      </c>
      <c r="XS10" s="234">
        <v>0</v>
      </c>
      <c r="XT10" s="234">
        <v>0</v>
      </c>
      <c r="XU10" s="234">
        <v>0</v>
      </c>
      <c r="XV10" s="234">
        <v>0</v>
      </c>
      <c r="XW10" s="234">
        <v>0</v>
      </c>
      <c r="XX10" s="234">
        <v>0</v>
      </c>
      <c r="XY10" s="234">
        <v>0</v>
      </c>
      <c r="XZ10" s="234">
        <v>0</v>
      </c>
      <c r="YA10" s="234">
        <v>0</v>
      </c>
      <c r="YB10" s="234">
        <v>0</v>
      </c>
      <c r="YC10" s="234">
        <v>0</v>
      </c>
      <c r="YD10" s="234">
        <v>0</v>
      </c>
      <c r="YE10" s="234">
        <v>0</v>
      </c>
      <c r="YF10" s="234">
        <v>0</v>
      </c>
      <c r="YG10" s="234">
        <v>0</v>
      </c>
      <c r="YH10" s="234">
        <v>0</v>
      </c>
      <c r="YI10" s="234">
        <v>0</v>
      </c>
      <c r="YJ10" s="234">
        <v>0</v>
      </c>
      <c r="YK10" s="234">
        <v>0</v>
      </c>
      <c r="YL10" s="234">
        <v>0</v>
      </c>
      <c r="YM10" s="234">
        <v>0</v>
      </c>
      <c r="YN10" s="234">
        <v>0</v>
      </c>
      <c r="YO10" s="234">
        <v>0</v>
      </c>
      <c r="YP10" s="234">
        <v>0</v>
      </c>
      <c r="YQ10" s="234">
        <v>0</v>
      </c>
      <c r="YR10" s="235">
        <v>0</v>
      </c>
      <c r="YS10" s="234">
        <f>Actual!F157</f>
        <v>0</v>
      </c>
      <c r="YT10" s="234">
        <f>Actual!G157</f>
        <v>0</v>
      </c>
      <c r="YU10" s="234">
        <f>Actual!H157</f>
        <v>0</v>
      </c>
      <c r="YV10" s="234">
        <f>Actual!I157</f>
        <v>0</v>
      </c>
      <c r="YW10" s="234">
        <f>Actual!J157</f>
        <v>1312.8979999999999</v>
      </c>
      <c r="YX10" s="234">
        <f>Actual!K157</f>
        <v>0</v>
      </c>
      <c r="YY10" s="234">
        <f>Actual!L157</f>
        <v>0</v>
      </c>
      <c r="YZ10" s="234">
        <f>Actual!M157</f>
        <v>0</v>
      </c>
      <c r="ZA10" s="234">
        <f>Actual!N157</f>
        <v>0</v>
      </c>
      <c r="ZB10" s="234">
        <f>Actual!O157</f>
        <v>0</v>
      </c>
      <c r="ZC10" s="234">
        <f>Actual!P157</f>
        <v>0</v>
      </c>
      <c r="ZD10" s="234">
        <f>Actual!Q157</f>
        <v>0</v>
      </c>
      <c r="ZE10" s="234">
        <f>Actual!R157</f>
        <v>0</v>
      </c>
      <c r="ZF10" s="234">
        <f>Actual!S157</f>
        <v>0</v>
      </c>
      <c r="ZG10" s="234">
        <f>Actual!T157</f>
        <v>0</v>
      </c>
      <c r="ZH10" s="234">
        <f>Actual!U157</f>
        <v>0</v>
      </c>
      <c r="ZI10" s="234">
        <f>Actual!V157</f>
        <v>0</v>
      </c>
      <c r="ZJ10" s="234">
        <f>Actual!W157</f>
        <v>0</v>
      </c>
      <c r="ZK10" s="234">
        <f>Actual!X157</f>
        <v>0</v>
      </c>
      <c r="ZL10" s="234">
        <f>Actual!Y157</f>
        <v>0</v>
      </c>
      <c r="ZM10" s="234">
        <f>Actual!Z157</f>
        <v>0</v>
      </c>
      <c r="ZN10" s="234">
        <f>Actual!AA157</f>
        <v>0</v>
      </c>
      <c r="ZO10" s="234">
        <f>Actual!AB157</f>
        <v>0</v>
      </c>
      <c r="ZP10" s="234">
        <f>Actual!AC157</f>
        <v>0</v>
      </c>
      <c r="ZQ10" s="234">
        <f>Actual!AD157</f>
        <v>0</v>
      </c>
      <c r="ZR10" s="234">
        <f>Actual!AE157</f>
        <v>0</v>
      </c>
      <c r="ZS10" s="234">
        <f>Actual!AF157</f>
        <v>0</v>
      </c>
      <c r="ZT10" s="234">
        <f>Actual!AG157</f>
        <v>0</v>
      </c>
      <c r="ZU10" s="234">
        <f>Actual!AH157</f>
        <v>0</v>
      </c>
      <c r="ZV10" s="234">
        <f>Actual!AI157</f>
        <v>0</v>
      </c>
      <c r="ZW10" s="234">
        <f>Actual!AJ157</f>
        <v>0</v>
      </c>
      <c r="ZX10" s="235">
        <v>0</v>
      </c>
      <c r="ZY10" s="234">
        <v>992.71</v>
      </c>
      <c r="ZZ10" s="234">
        <v>343.85</v>
      </c>
      <c r="AAA10" s="234">
        <v>297.29000000000002</v>
      </c>
      <c r="AAB10" s="234">
        <v>222.30999999999995</v>
      </c>
      <c r="AAC10" s="234">
        <v>1079.5899999999999</v>
      </c>
      <c r="AAD10" s="234">
        <v>580.15000000000009</v>
      </c>
      <c r="AAE10" s="234">
        <v>0</v>
      </c>
      <c r="AAF10" s="234">
        <v>1452.17</v>
      </c>
      <c r="AAG10" s="234">
        <v>0</v>
      </c>
      <c r="AAH10" s="234">
        <v>49.099999999999994</v>
      </c>
      <c r="AAI10" s="234">
        <v>596.54999999999995</v>
      </c>
      <c r="AAJ10" s="234">
        <v>222.05</v>
      </c>
      <c r="AAK10" s="234">
        <v>166.36</v>
      </c>
      <c r="AAL10" s="234">
        <v>600.07999999999993</v>
      </c>
      <c r="AAM10" s="234">
        <v>112.44</v>
      </c>
      <c r="AAN10" s="234">
        <v>290.03999999999996</v>
      </c>
      <c r="AAO10" s="234">
        <v>566.15000000000009</v>
      </c>
      <c r="AAP10" s="234">
        <v>224.37</v>
      </c>
      <c r="AAQ10" s="234">
        <v>835.08</v>
      </c>
      <c r="AAR10" s="234">
        <v>174.35999999999999</v>
      </c>
      <c r="AAS10" s="234">
        <v>152.88</v>
      </c>
      <c r="AAT10" s="234">
        <v>455.38</v>
      </c>
      <c r="AAU10" s="234">
        <v>729.62</v>
      </c>
      <c r="AAV10" s="234">
        <v>532.76</v>
      </c>
      <c r="AAW10" s="234">
        <v>324.22000000000003</v>
      </c>
      <c r="AAX10" s="234">
        <v>0</v>
      </c>
      <c r="AAY10" s="234">
        <v>551.09</v>
      </c>
      <c r="AAZ10" s="234">
        <v>623.12000000000012</v>
      </c>
      <c r="ABA10" s="235">
        <f t="shared" si="11"/>
        <v>12173.720000000001</v>
      </c>
      <c r="ABB10" s="234">
        <v>2053.41</v>
      </c>
      <c r="ABC10" s="234">
        <v>867.02000000000021</v>
      </c>
      <c r="ABD10" s="234">
        <v>200.27</v>
      </c>
      <c r="ABE10" s="234">
        <v>607.66000000000008</v>
      </c>
      <c r="ABF10" s="234">
        <v>260.66999999999996</v>
      </c>
      <c r="ABG10" s="234">
        <v>764.72</v>
      </c>
      <c r="ABH10" s="234">
        <v>0</v>
      </c>
      <c r="ABI10" s="234">
        <v>2335.75</v>
      </c>
      <c r="ABJ10" s="234">
        <v>131.76</v>
      </c>
      <c r="ABK10" s="234">
        <v>506.21999999999991</v>
      </c>
      <c r="ABL10" s="234">
        <v>54.370000000000005</v>
      </c>
      <c r="ABM10" s="234">
        <v>0</v>
      </c>
      <c r="ABN10" s="234">
        <v>0</v>
      </c>
      <c r="ABO10" s="234">
        <v>0</v>
      </c>
      <c r="ABP10" s="234">
        <v>1545.38</v>
      </c>
      <c r="ABQ10" s="234">
        <v>0</v>
      </c>
      <c r="ABR10" s="234">
        <v>0</v>
      </c>
      <c r="ABS10" s="234">
        <v>794.84999999999991</v>
      </c>
      <c r="ABT10" s="234">
        <v>0</v>
      </c>
      <c r="ABU10" s="234">
        <v>0</v>
      </c>
      <c r="ABV10" s="234">
        <v>0</v>
      </c>
      <c r="ABW10" s="234">
        <v>0</v>
      </c>
      <c r="ABX10" s="234">
        <v>5703.8499999999995</v>
      </c>
      <c r="ABY10" s="234">
        <v>0</v>
      </c>
      <c r="ABZ10" s="234">
        <v>360.82000000000005</v>
      </c>
      <c r="ACA10" s="234">
        <v>0</v>
      </c>
      <c r="ACB10" s="234">
        <v>0</v>
      </c>
      <c r="ACC10" s="234">
        <v>0</v>
      </c>
      <c r="ACD10" s="234">
        <v>1820.4</v>
      </c>
      <c r="ACE10" s="234">
        <v>0</v>
      </c>
      <c r="ACF10" s="234">
        <v>0</v>
      </c>
      <c r="ACG10" s="235">
        <v>18007.150000000001</v>
      </c>
      <c r="ACH10" s="234">
        <v>0</v>
      </c>
      <c r="ACI10" s="234">
        <v>391.93999999999994</v>
      </c>
      <c r="ACJ10" s="234">
        <v>0</v>
      </c>
      <c r="ACK10" s="234">
        <v>0</v>
      </c>
      <c r="ACL10" s="234">
        <v>0</v>
      </c>
      <c r="ACM10" s="234">
        <v>0</v>
      </c>
      <c r="ACN10" s="234">
        <v>0</v>
      </c>
      <c r="ACO10" s="234">
        <v>0</v>
      </c>
      <c r="ACP10" s="234">
        <v>0</v>
      </c>
      <c r="ACQ10" s="234">
        <v>0</v>
      </c>
      <c r="ACR10" s="234">
        <v>0</v>
      </c>
      <c r="ACS10" s="234">
        <v>0</v>
      </c>
      <c r="ACT10" s="234">
        <v>0</v>
      </c>
      <c r="ACU10" s="234">
        <v>0</v>
      </c>
      <c r="ACV10" s="234">
        <v>0</v>
      </c>
      <c r="ACW10" s="234">
        <v>0</v>
      </c>
      <c r="ACX10" s="234">
        <v>0</v>
      </c>
      <c r="ACY10" s="234">
        <v>0</v>
      </c>
      <c r="ACZ10" s="234">
        <v>0</v>
      </c>
      <c r="ADA10" s="234">
        <v>0</v>
      </c>
      <c r="ADB10" s="234">
        <v>0</v>
      </c>
      <c r="ADC10" s="234">
        <v>0</v>
      </c>
      <c r="ADD10" s="234">
        <v>0</v>
      </c>
      <c r="ADE10" s="234">
        <v>0</v>
      </c>
      <c r="ADF10" s="234">
        <v>0</v>
      </c>
      <c r="ADG10" s="234">
        <v>1680.6</v>
      </c>
      <c r="ADH10" s="234">
        <v>0</v>
      </c>
      <c r="ADI10" s="234">
        <v>0</v>
      </c>
      <c r="ADJ10" s="234">
        <v>0</v>
      </c>
      <c r="ADK10" s="234">
        <v>0</v>
      </c>
      <c r="ADL10" s="234">
        <v>0</v>
      </c>
      <c r="ADM10" s="235">
        <v>2072.54</v>
      </c>
      <c r="ADN10" s="234">
        <v>0</v>
      </c>
      <c r="ADO10" s="234">
        <v>0</v>
      </c>
      <c r="ADP10" s="234">
        <v>0</v>
      </c>
      <c r="ADQ10" s="234">
        <v>0</v>
      </c>
      <c r="ADR10" s="234">
        <v>0</v>
      </c>
      <c r="ADS10" s="234">
        <v>0</v>
      </c>
      <c r="ADT10" s="234">
        <v>103.63</v>
      </c>
      <c r="ADU10" s="234">
        <v>0</v>
      </c>
      <c r="ADV10" s="234">
        <v>0</v>
      </c>
      <c r="ADW10" s="234">
        <v>649.0100000000001</v>
      </c>
      <c r="ADX10" s="234">
        <v>0</v>
      </c>
      <c r="ADY10" s="234">
        <v>0</v>
      </c>
      <c r="ADZ10" s="234">
        <v>0</v>
      </c>
      <c r="AEA10" s="234">
        <v>239.62</v>
      </c>
      <c r="AEB10" s="234">
        <v>0</v>
      </c>
      <c r="AEC10" s="234">
        <v>0</v>
      </c>
      <c r="AED10" s="234">
        <v>485.36</v>
      </c>
      <c r="AEE10" s="234">
        <v>108.05</v>
      </c>
      <c r="AEF10" s="234">
        <v>0</v>
      </c>
      <c r="AEG10" s="234">
        <v>0</v>
      </c>
      <c r="AEH10" s="234">
        <v>0</v>
      </c>
      <c r="AEI10" s="234">
        <v>0</v>
      </c>
      <c r="AEJ10" s="234">
        <v>0</v>
      </c>
      <c r="AEK10" s="234">
        <v>0</v>
      </c>
      <c r="AEL10" s="234">
        <v>0</v>
      </c>
      <c r="AEM10" s="234">
        <v>0</v>
      </c>
      <c r="AEN10" s="234">
        <v>0</v>
      </c>
      <c r="AEO10" s="234">
        <v>0</v>
      </c>
      <c r="AEP10" s="234">
        <v>0</v>
      </c>
      <c r="AEQ10" s="234">
        <v>0</v>
      </c>
      <c r="AER10" s="234">
        <v>1876.23</v>
      </c>
      <c r="AES10" s="235">
        <v>2072.54</v>
      </c>
      <c r="AET10" s="234">
        <v>0</v>
      </c>
      <c r="AEU10" s="234">
        <v>0</v>
      </c>
      <c r="AEV10" s="234">
        <v>0</v>
      </c>
      <c r="AEW10" s="234">
        <v>0</v>
      </c>
      <c r="AEX10" s="234">
        <v>0</v>
      </c>
      <c r="AEY10" s="234">
        <v>0</v>
      </c>
      <c r="AEZ10" s="234">
        <v>1304.4100000000001</v>
      </c>
      <c r="AFA10" s="234">
        <v>0</v>
      </c>
      <c r="AFB10" s="234">
        <v>0</v>
      </c>
      <c r="AFC10" s="234">
        <v>0</v>
      </c>
      <c r="AFD10" s="234">
        <v>0</v>
      </c>
      <c r="AFE10" s="234">
        <v>0</v>
      </c>
      <c r="AFF10" s="234">
        <v>0</v>
      </c>
      <c r="AFG10" s="234">
        <v>820.74</v>
      </c>
      <c r="AFH10" s="234">
        <v>0</v>
      </c>
      <c r="AFI10" s="234">
        <v>0</v>
      </c>
      <c r="AFJ10" s="234">
        <v>0</v>
      </c>
      <c r="AFK10" s="234">
        <v>0</v>
      </c>
      <c r="AFL10" s="234">
        <v>0</v>
      </c>
      <c r="AFM10" s="234">
        <v>0</v>
      </c>
      <c r="AFN10" s="234">
        <v>0</v>
      </c>
      <c r="AFO10" s="234">
        <v>0</v>
      </c>
      <c r="AFP10" s="234">
        <v>0</v>
      </c>
      <c r="AFQ10" s="234">
        <v>0</v>
      </c>
      <c r="AFR10" s="234">
        <v>0</v>
      </c>
      <c r="AFS10" s="234">
        <v>0</v>
      </c>
      <c r="AFT10" s="234">
        <v>0</v>
      </c>
      <c r="AFU10" s="234">
        <v>0</v>
      </c>
      <c r="AFV10" s="234">
        <v>0</v>
      </c>
      <c r="AFW10" s="234">
        <v>0</v>
      </c>
      <c r="AFX10" s="235">
        <v>2125.15</v>
      </c>
      <c r="AFY10" s="234">
        <v>0</v>
      </c>
      <c r="AFZ10" s="234">
        <v>0</v>
      </c>
      <c r="AGA10" s="234">
        <v>0</v>
      </c>
      <c r="AGB10" s="234">
        <v>0</v>
      </c>
      <c r="AGC10" s="234">
        <v>0</v>
      </c>
      <c r="AGD10" s="234">
        <v>0</v>
      </c>
      <c r="AGE10" s="234">
        <v>0</v>
      </c>
      <c r="AGF10" s="234">
        <v>0</v>
      </c>
      <c r="AGG10" s="234">
        <v>0</v>
      </c>
      <c r="AGH10" s="234">
        <v>0</v>
      </c>
      <c r="AGI10" s="234">
        <v>0</v>
      </c>
      <c r="AGJ10" s="234">
        <v>825.93</v>
      </c>
      <c r="AGK10" s="234">
        <v>0</v>
      </c>
      <c r="AGL10" s="234">
        <v>0</v>
      </c>
      <c r="AGM10" s="234">
        <v>0</v>
      </c>
      <c r="AGN10" s="234">
        <v>0</v>
      </c>
      <c r="AGO10" s="234">
        <v>0</v>
      </c>
      <c r="AGP10" s="234">
        <v>0</v>
      </c>
      <c r="AGQ10" s="234">
        <v>1041.17</v>
      </c>
      <c r="AGR10" s="234">
        <v>0</v>
      </c>
      <c r="AGS10" s="234">
        <v>0</v>
      </c>
      <c r="AGT10" s="234">
        <v>0</v>
      </c>
      <c r="AGU10" s="234">
        <v>0</v>
      </c>
      <c r="AGV10" s="234">
        <v>0</v>
      </c>
      <c r="AGW10" s="234">
        <v>148.54999999999998</v>
      </c>
      <c r="AGX10" s="234">
        <v>0</v>
      </c>
      <c r="AGY10" s="234">
        <v>0</v>
      </c>
      <c r="AGZ10" s="234">
        <v>0</v>
      </c>
      <c r="AHA10" s="234">
        <v>0</v>
      </c>
      <c r="AHB10" s="234">
        <v>0</v>
      </c>
      <c r="AHC10" s="234">
        <v>227.64</v>
      </c>
      <c r="AHD10" s="235">
        <v>2243.29</v>
      </c>
      <c r="AHE10" s="234">
        <v>0</v>
      </c>
      <c r="AHF10" s="234">
        <v>1223.9099999999999</v>
      </c>
      <c r="AHG10" s="234">
        <v>0</v>
      </c>
      <c r="AHH10" s="234">
        <v>0</v>
      </c>
      <c r="AHI10" s="234">
        <v>338.24</v>
      </c>
      <c r="AHJ10" s="234">
        <v>0</v>
      </c>
      <c r="AHK10" s="234">
        <v>0</v>
      </c>
      <c r="AHL10" s="234">
        <v>0</v>
      </c>
      <c r="AHM10" s="234">
        <v>166.76</v>
      </c>
      <c r="AHN10" s="234">
        <v>0</v>
      </c>
      <c r="AHO10" s="234">
        <v>243.56</v>
      </c>
      <c r="AHP10" s="234">
        <v>0</v>
      </c>
      <c r="AHQ10" s="234">
        <v>0</v>
      </c>
      <c r="AHR10" s="234">
        <v>239.35</v>
      </c>
      <c r="AHS10" s="234">
        <v>0</v>
      </c>
      <c r="AHT10" s="234">
        <v>0</v>
      </c>
      <c r="AHU10" s="234">
        <v>0</v>
      </c>
      <c r="AHV10" s="234">
        <v>0</v>
      </c>
      <c r="AHW10" s="234">
        <v>0</v>
      </c>
      <c r="AHX10" s="234">
        <v>0</v>
      </c>
      <c r="AHY10" s="234">
        <v>0</v>
      </c>
      <c r="AHZ10" s="234">
        <v>0</v>
      </c>
      <c r="AIA10" s="234">
        <v>1836.2200000000003</v>
      </c>
      <c r="AIB10" s="234">
        <v>29.59</v>
      </c>
      <c r="AIC10" s="234">
        <v>0</v>
      </c>
      <c r="AID10" s="234">
        <v>0</v>
      </c>
      <c r="AIE10" s="234">
        <v>0</v>
      </c>
      <c r="AIF10" s="234">
        <v>0</v>
      </c>
      <c r="AIG10" s="234">
        <v>0</v>
      </c>
      <c r="AIH10" s="234">
        <v>0</v>
      </c>
      <c r="AII10" s="234">
        <v>0</v>
      </c>
      <c r="AIJ10" s="235">
        <v>4077.63</v>
      </c>
      <c r="AIK10" s="239">
        <v>0</v>
      </c>
      <c r="AIL10" s="239">
        <v>0</v>
      </c>
      <c r="AIM10" s="239">
        <v>0</v>
      </c>
      <c r="AIN10" s="239">
        <v>0</v>
      </c>
      <c r="AIO10" s="239">
        <v>0</v>
      </c>
      <c r="AIP10" s="239">
        <v>0</v>
      </c>
      <c r="AIQ10" s="239">
        <v>0</v>
      </c>
      <c r="AIR10" s="239">
        <v>0</v>
      </c>
      <c r="AIS10" s="239">
        <v>0</v>
      </c>
      <c r="AIT10" s="239">
        <v>0</v>
      </c>
      <c r="AIU10" s="239">
        <v>0</v>
      </c>
      <c r="AIV10" s="239">
        <v>0</v>
      </c>
      <c r="AIW10" s="239">
        <v>0</v>
      </c>
      <c r="AIX10" s="239">
        <v>0</v>
      </c>
      <c r="AIY10" s="239">
        <v>0</v>
      </c>
      <c r="AIZ10" s="239">
        <v>0</v>
      </c>
      <c r="AJA10" s="239">
        <v>0</v>
      </c>
      <c r="AJB10" s="239">
        <v>0</v>
      </c>
      <c r="AJC10" s="239">
        <v>0</v>
      </c>
      <c r="AJD10" s="239">
        <v>0</v>
      </c>
      <c r="AJE10" s="239">
        <v>0</v>
      </c>
      <c r="AJF10" s="239">
        <v>0</v>
      </c>
      <c r="AJG10" s="239">
        <v>0</v>
      </c>
      <c r="AJH10" s="239">
        <v>0</v>
      </c>
      <c r="AJI10" s="239">
        <v>0</v>
      </c>
      <c r="AJJ10" s="239">
        <v>0</v>
      </c>
      <c r="AJK10" s="239">
        <v>1469.7299999999998</v>
      </c>
      <c r="AJL10" s="239">
        <v>31.65</v>
      </c>
      <c r="AJM10" s="239">
        <v>0</v>
      </c>
      <c r="AJN10" s="239">
        <v>0</v>
      </c>
      <c r="AJO10" s="235">
        <v>1501.3799999999999</v>
      </c>
      <c r="AJP10" s="239">
        <v>0</v>
      </c>
      <c r="AJQ10" s="239">
        <v>0</v>
      </c>
      <c r="AJR10" s="239">
        <v>0</v>
      </c>
      <c r="AJS10" s="239">
        <v>0</v>
      </c>
      <c r="AJT10" s="239">
        <v>0</v>
      </c>
      <c r="AJU10" s="239">
        <v>0</v>
      </c>
      <c r="AJV10" s="239">
        <v>0</v>
      </c>
      <c r="AJW10" s="239">
        <v>0</v>
      </c>
      <c r="AJX10" s="239">
        <v>0</v>
      </c>
      <c r="AJY10" s="239">
        <v>0</v>
      </c>
      <c r="AJZ10" s="239">
        <v>0</v>
      </c>
      <c r="AKA10" s="239">
        <v>0</v>
      </c>
      <c r="AKB10" s="239">
        <v>0</v>
      </c>
      <c r="AKC10" s="239">
        <v>0</v>
      </c>
      <c r="AKD10" s="239">
        <v>0</v>
      </c>
      <c r="AKE10" s="239">
        <v>0</v>
      </c>
      <c r="AKF10" s="239">
        <v>0</v>
      </c>
      <c r="AKG10" s="239">
        <v>0</v>
      </c>
      <c r="AKH10" s="239">
        <v>0</v>
      </c>
      <c r="AKI10" s="239">
        <v>0</v>
      </c>
      <c r="AKJ10" s="239">
        <v>0</v>
      </c>
      <c r="AKK10" s="239">
        <v>0</v>
      </c>
      <c r="AKL10" s="239">
        <v>0</v>
      </c>
      <c r="AKM10" s="239">
        <v>0</v>
      </c>
      <c r="AKN10" s="239">
        <v>0</v>
      </c>
      <c r="AKO10" s="239">
        <v>0</v>
      </c>
      <c r="AKP10" s="239">
        <v>0</v>
      </c>
      <c r="AKQ10" s="239">
        <v>0</v>
      </c>
      <c r="AKR10" s="239">
        <v>0</v>
      </c>
      <c r="AKS10" s="239">
        <v>0</v>
      </c>
      <c r="AKT10" s="239">
        <v>0</v>
      </c>
      <c r="AKU10" s="235">
        <v>0</v>
      </c>
      <c r="AKV10" s="239">
        <v>324.17</v>
      </c>
      <c r="AKW10" s="239">
        <v>0</v>
      </c>
      <c r="AKX10" s="239">
        <v>0</v>
      </c>
      <c r="AKY10" s="239">
        <v>0</v>
      </c>
      <c r="AKZ10" s="239">
        <v>0</v>
      </c>
      <c r="ALA10" s="239">
        <v>0</v>
      </c>
      <c r="ALB10" s="239">
        <v>0</v>
      </c>
      <c r="ALC10" s="239">
        <v>1818.4300000000003</v>
      </c>
      <c r="ALD10" s="239">
        <v>0</v>
      </c>
      <c r="ALE10" s="239">
        <v>0</v>
      </c>
      <c r="ALF10" s="239">
        <v>0</v>
      </c>
      <c r="ALG10" s="239">
        <v>0</v>
      </c>
      <c r="ALH10" s="239">
        <v>0</v>
      </c>
      <c r="ALI10" s="239">
        <v>0</v>
      </c>
      <c r="ALJ10" s="239">
        <v>1164.4699999999998</v>
      </c>
      <c r="ALK10" s="239">
        <v>0</v>
      </c>
      <c r="ALL10" s="239">
        <v>0</v>
      </c>
      <c r="ALM10" s="239">
        <v>0</v>
      </c>
      <c r="ALN10" s="239">
        <v>0</v>
      </c>
      <c r="ALO10" s="239">
        <v>0</v>
      </c>
      <c r="ALP10" s="239">
        <v>1001.28</v>
      </c>
      <c r="ALQ10" s="239">
        <v>2048.7599999999998</v>
      </c>
      <c r="ALR10" s="239">
        <v>1005.6199999999999</v>
      </c>
      <c r="ALS10" s="239">
        <v>28.23</v>
      </c>
      <c r="ALT10" s="239">
        <v>0</v>
      </c>
      <c r="ALU10" s="239">
        <v>0</v>
      </c>
      <c r="ALV10" s="239">
        <v>0</v>
      </c>
      <c r="ALW10" s="239">
        <v>0</v>
      </c>
      <c r="ALX10" s="239">
        <v>711.98</v>
      </c>
      <c r="ALY10" s="239">
        <v>0</v>
      </c>
      <c r="ALZ10" s="235">
        <v>8102.9400000000005</v>
      </c>
      <c r="AMA10" s="239">
        <f>Actual!F157</f>
        <v>0</v>
      </c>
      <c r="AMB10" s="239">
        <f>Actual!G157</f>
        <v>0</v>
      </c>
      <c r="AMC10" s="239">
        <f>Actual!H157</f>
        <v>0</v>
      </c>
      <c r="AMD10" s="239">
        <f>Actual!I157</f>
        <v>0</v>
      </c>
      <c r="AME10" s="239">
        <f>Actual!J157</f>
        <v>1312.8979999999999</v>
      </c>
      <c r="AMF10" s="239">
        <f>Actual!K157</f>
        <v>0</v>
      </c>
      <c r="AMG10" s="239">
        <f>Actual!L157</f>
        <v>0</v>
      </c>
      <c r="AMH10" s="239">
        <f>Actual!M157</f>
        <v>0</v>
      </c>
      <c r="AMI10" s="239">
        <f>Actual!N157</f>
        <v>0</v>
      </c>
      <c r="AMJ10" s="239">
        <f>Actual!O157</f>
        <v>0</v>
      </c>
      <c r="AMK10" s="239">
        <f>Actual!P157</f>
        <v>0</v>
      </c>
      <c r="AML10" s="239">
        <f>Actual!Q157</f>
        <v>0</v>
      </c>
      <c r="AMM10" s="239">
        <f>Actual!R157</f>
        <v>0</v>
      </c>
      <c r="AMN10" s="239">
        <f>Actual!S157</f>
        <v>0</v>
      </c>
      <c r="AMO10" s="239">
        <f>Actual!T157</f>
        <v>0</v>
      </c>
      <c r="AMP10" s="239">
        <f>Actual!U157</f>
        <v>0</v>
      </c>
      <c r="AMQ10" s="239">
        <f>Actual!V157</f>
        <v>0</v>
      </c>
      <c r="AMR10" s="239">
        <f>Actual!W157</f>
        <v>0</v>
      </c>
      <c r="AMS10" s="239">
        <f>Actual!X157</f>
        <v>0</v>
      </c>
      <c r="AMT10" s="239">
        <f>Actual!Y157</f>
        <v>0</v>
      </c>
      <c r="AMU10" s="239">
        <f>Actual!Z157</f>
        <v>0</v>
      </c>
      <c r="AMV10" s="239">
        <f>Actual!AA157</f>
        <v>0</v>
      </c>
      <c r="AMW10" s="239">
        <f>Actual!AB157</f>
        <v>0</v>
      </c>
      <c r="AMX10" s="239">
        <f>Actual!AC157</f>
        <v>0</v>
      </c>
      <c r="AMY10" s="239">
        <f>Actual!AD157</f>
        <v>0</v>
      </c>
      <c r="AMZ10" s="239">
        <f>Actual!AE157</f>
        <v>0</v>
      </c>
      <c r="ANA10" s="239">
        <f>Actual!AF157</f>
        <v>0</v>
      </c>
      <c r="ANB10" s="239">
        <f>Actual!AG157</f>
        <v>0</v>
      </c>
      <c r="ANC10" s="239">
        <f>Actual!AH157</f>
        <v>0</v>
      </c>
      <c r="AND10" s="239">
        <f>Actual!AI157</f>
        <v>0</v>
      </c>
      <c r="ANE10" s="239">
        <f>Actual!AJ157</f>
        <v>0</v>
      </c>
      <c r="ANF10" s="235">
        <f t="shared" si="2"/>
        <v>1312.8979999999999</v>
      </c>
      <c r="ANG10" s="234">
        <v>0</v>
      </c>
      <c r="ANH10" s="234">
        <v>0</v>
      </c>
      <c r="ANI10" s="234">
        <v>0</v>
      </c>
      <c r="ANJ10" s="234">
        <v>0</v>
      </c>
      <c r="ANK10" s="234">
        <v>0</v>
      </c>
      <c r="ANL10" s="234">
        <v>0</v>
      </c>
      <c r="ANM10" s="234">
        <v>1002.8600000000001</v>
      </c>
      <c r="ANN10" s="234">
        <v>0</v>
      </c>
      <c r="ANO10" s="234">
        <v>0</v>
      </c>
      <c r="ANP10" s="234">
        <v>0</v>
      </c>
      <c r="ANQ10" s="234">
        <v>0</v>
      </c>
      <c r="ANR10" s="234">
        <v>0</v>
      </c>
      <c r="ANS10" s="234">
        <v>0</v>
      </c>
      <c r="ANT10" s="234">
        <v>0</v>
      </c>
      <c r="ANU10" s="234">
        <v>0</v>
      </c>
      <c r="ANV10" s="234">
        <v>0</v>
      </c>
      <c r="ANW10" s="234">
        <v>0</v>
      </c>
      <c r="ANX10" s="234">
        <v>0</v>
      </c>
      <c r="ANY10" s="234">
        <v>0</v>
      </c>
      <c r="ANZ10" s="234">
        <v>0</v>
      </c>
      <c r="AOA10" s="234">
        <v>734.33</v>
      </c>
      <c r="AOB10" s="234">
        <v>0</v>
      </c>
      <c r="AOC10" s="234">
        <v>0</v>
      </c>
      <c r="AOD10" s="234">
        <v>0</v>
      </c>
      <c r="AOE10" s="234">
        <v>0</v>
      </c>
      <c r="AOF10" s="234">
        <v>0</v>
      </c>
      <c r="AOG10" s="234">
        <v>0</v>
      </c>
      <c r="AOH10" s="234">
        <v>1284.2400000000002</v>
      </c>
      <c r="AOI10" s="235">
        <v>3021.4300000000003</v>
      </c>
      <c r="AOJ10" s="234">
        <v>0</v>
      </c>
      <c r="AOK10" s="234">
        <v>0</v>
      </c>
      <c r="AOL10" s="234">
        <v>0</v>
      </c>
      <c r="AOM10" s="234">
        <v>0</v>
      </c>
      <c r="AON10" s="234">
        <v>0</v>
      </c>
      <c r="AOO10" s="234">
        <v>0</v>
      </c>
      <c r="AOP10" s="234">
        <v>667.32</v>
      </c>
      <c r="AOQ10" s="234">
        <v>0</v>
      </c>
      <c r="AOR10" s="234">
        <v>0</v>
      </c>
      <c r="AOS10" s="234">
        <v>6.18</v>
      </c>
      <c r="AOT10" s="234">
        <v>0</v>
      </c>
      <c r="AOU10" s="234">
        <v>0</v>
      </c>
      <c r="AOV10" s="234">
        <v>0</v>
      </c>
      <c r="AOW10" s="234">
        <v>27.45</v>
      </c>
      <c r="AOX10" s="234">
        <v>0</v>
      </c>
      <c r="AOY10" s="234">
        <v>0</v>
      </c>
      <c r="AOZ10" s="234">
        <v>0</v>
      </c>
      <c r="APA10" s="234">
        <v>0</v>
      </c>
      <c r="APB10" s="234">
        <v>0</v>
      </c>
      <c r="APC10" s="234">
        <v>0</v>
      </c>
      <c r="APD10" s="234">
        <v>589.68999999999994</v>
      </c>
      <c r="APE10" s="234">
        <v>0</v>
      </c>
      <c r="APF10" s="234">
        <v>0</v>
      </c>
      <c r="APG10" s="234">
        <v>0</v>
      </c>
      <c r="APH10" s="234">
        <v>0</v>
      </c>
      <c r="API10" s="234">
        <v>0</v>
      </c>
      <c r="APJ10" s="234">
        <v>0</v>
      </c>
      <c r="APK10" s="234">
        <v>0</v>
      </c>
      <c r="APL10" s="234">
        <v>0</v>
      </c>
      <c r="APM10" s="234">
        <v>0</v>
      </c>
      <c r="APN10" s="234">
        <v>0</v>
      </c>
      <c r="APO10" s="235">
        <v>1290.6399999999999</v>
      </c>
      <c r="APP10" s="234">
        <v>0</v>
      </c>
      <c r="APQ10" s="234">
        <v>0</v>
      </c>
      <c r="APR10" s="234">
        <v>0</v>
      </c>
      <c r="APS10" s="234">
        <v>0</v>
      </c>
      <c r="APT10" s="234">
        <v>0</v>
      </c>
      <c r="APU10" s="234">
        <v>0</v>
      </c>
      <c r="APV10" s="234">
        <v>0</v>
      </c>
      <c r="APW10" s="234">
        <v>0</v>
      </c>
      <c r="APX10" s="234">
        <v>0</v>
      </c>
      <c r="APY10" s="234">
        <v>0</v>
      </c>
      <c r="APZ10" s="234">
        <v>0</v>
      </c>
      <c r="AQA10" s="234">
        <v>0</v>
      </c>
      <c r="AQB10" s="234">
        <v>0</v>
      </c>
      <c r="AQC10" s="234">
        <v>0</v>
      </c>
      <c r="AQD10" s="234">
        <v>0</v>
      </c>
      <c r="AQE10" s="234">
        <v>0</v>
      </c>
      <c r="AQF10" s="234">
        <v>0</v>
      </c>
      <c r="AQG10" s="234">
        <v>594.66000000000008</v>
      </c>
      <c r="AQH10" s="234">
        <v>0</v>
      </c>
      <c r="AQI10" s="234">
        <v>0</v>
      </c>
      <c r="AQJ10" s="234">
        <v>0</v>
      </c>
      <c r="AQK10" s="234">
        <v>0</v>
      </c>
      <c r="AQL10" s="234">
        <v>0</v>
      </c>
      <c r="AQM10" s="234">
        <v>0</v>
      </c>
      <c r="AQN10" s="234">
        <v>0</v>
      </c>
      <c r="AQO10" s="234">
        <v>1033.32</v>
      </c>
      <c r="AQP10" s="234">
        <v>802.26999999999987</v>
      </c>
      <c r="AQQ10" s="234">
        <v>397.71</v>
      </c>
      <c r="AQR10" s="234">
        <v>577.68000000000006</v>
      </c>
      <c r="AQS10" s="234">
        <v>1030.23</v>
      </c>
      <c r="AQT10" s="235">
        <f t="shared" si="12"/>
        <v>4435.8700000000008</v>
      </c>
      <c r="AQU10" s="234">
        <v>1382.9299999999998</v>
      </c>
      <c r="AQV10" s="234">
        <v>1753.94</v>
      </c>
      <c r="AQW10" s="234">
        <v>1635.04</v>
      </c>
      <c r="AQX10" s="234">
        <v>1232.6099999999999</v>
      </c>
      <c r="AQY10" s="234">
        <v>0</v>
      </c>
      <c r="AQZ10" s="234">
        <v>0</v>
      </c>
      <c r="ARA10" s="234">
        <v>0</v>
      </c>
      <c r="ARB10" s="234">
        <v>0</v>
      </c>
      <c r="ARC10" s="234">
        <v>0</v>
      </c>
      <c r="ARD10" s="234">
        <v>0</v>
      </c>
      <c r="ARE10" s="234">
        <v>0</v>
      </c>
      <c r="ARF10" s="234">
        <v>0</v>
      </c>
      <c r="ARG10" s="234">
        <v>0</v>
      </c>
      <c r="ARH10" s="234">
        <v>0</v>
      </c>
      <c r="ARI10" s="234">
        <v>0</v>
      </c>
      <c r="ARJ10" s="234">
        <v>0</v>
      </c>
      <c r="ARK10" s="234">
        <v>0</v>
      </c>
      <c r="ARL10" s="234">
        <v>0</v>
      </c>
      <c r="ARM10" s="234">
        <v>815.56000000000006</v>
      </c>
      <c r="ARN10" s="234">
        <v>1030.94</v>
      </c>
      <c r="ARO10" s="234">
        <v>0</v>
      </c>
      <c r="ARP10" s="234">
        <v>25.51</v>
      </c>
      <c r="ARQ10" s="234">
        <v>619.6</v>
      </c>
      <c r="ARR10" s="234">
        <v>0</v>
      </c>
      <c r="ARS10" s="234">
        <v>0</v>
      </c>
      <c r="ART10" s="234">
        <v>572.74999999999989</v>
      </c>
      <c r="ARU10" s="234">
        <v>0</v>
      </c>
      <c r="ARV10" s="234">
        <v>0</v>
      </c>
      <c r="ARW10" s="234">
        <v>0</v>
      </c>
      <c r="ARX10" s="234">
        <v>0</v>
      </c>
      <c r="ARY10" s="234">
        <v>0</v>
      </c>
      <c r="ARZ10" s="235">
        <f t="shared" si="13"/>
        <v>9068.880000000001</v>
      </c>
      <c r="ASA10" s="234">
        <v>0</v>
      </c>
      <c r="ASB10" s="234">
        <v>0</v>
      </c>
      <c r="ASC10" s="234">
        <v>0</v>
      </c>
      <c r="ASD10" s="234">
        <v>0</v>
      </c>
      <c r="ASE10" s="234">
        <v>115.94999999999999</v>
      </c>
      <c r="ASF10" s="234">
        <v>748.83</v>
      </c>
      <c r="ASG10" s="234">
        <v>0</v>
      </c>
      <c r="ASH10" s="234">
        <v>0</v>
      </c>
      <c r="ASI10" s="234">
        <v>0</v>
      </c>
      <c r="ASJ10" s="234">
        <v>0</v>
      </c>
      <c r="ASK10" s="234">
        <v>0</v>
      </c>
      <c r="ASL10" s="234">
        <v>0</v>
      </c>
      <c r="ASM10" s="234">
        <v>357.69000000000005</v>
      </c>
      <c r="ASN10" s="234">
        <v>0</v>
      </c>
      <c r="ASO10" s="234">
        <v>58.83</v>
      </c>
      <c r="ASP10" s="234">
        <v>0</v>
      </c>
      <c r="ASQ10" s="234">
        <v>0</v>
      </c>
      <c r="ASR10" s="234">
        <v>0</v>
      </c>
      <c r="ASS10" s="234">
        <v>0</v>
      </c>
      <c r="AST10" s="234">
        <v>449.11</v>
      </c>
      <c r="ASU10" s="234">
        <v>148.62</v>
      </c>
      <c r="ASV10" s="234">
        <v>0</v>
      </c>
      <c r="ASW10" s="234">
        <v>0</v>
      </c>
      <c r="ASX10" s="234">
        <v>0</v>
      </c>
      <c r="ASY10" s="234">
        <v>0</v>
      </c>
      <c r="ASZ10" s="234">
        <v>0</v>
      </c>
      <c r="ATA10" s="234">
        <v>2054.5100000000002</v>
      </c>
      <c r="ATB10" s="234">
        <v>1206.6600000000001</v>
      </c>
      <c r="ATC10" s="234">
        <v>225.84000000000003</v>
      </c>
      <c r="ATD10" s="234">
        <v>1128.4499999999998</v>
      </c>
      <c r="ATE10" s="235">
        <v>6494.49</v>
      </c>
      <c r="ATF10" s="234">
        <v>1584.38</v>
      </c>
      <c r="ATG10" s="234">
        <v>957.99</v>
      </c>
      <c r="ATH10" s="234">
        <v>455.96921568627454</v>
      </c>
      <c r="ATI10" s="234">
        <v>1480.04</v>
      </c>
      <c r="ATJ10" s="234">
        <v>1416.9200000000003</v>
      </c>
      <c r="ATK10" s="234">
        <v>289.54000000000002</v>
      </c>
      <c r="ATL10" s="234">
        <v>29.39</v>
      </c>
      <c r="ATM10" s="234">
        <v>845.73</v>
      </c>
      <c r="ATN10" s="234">
        <v>1389.5199999999998</v>
      </c>
      <c r="ATO10" s="234">
        <v>0</v>
      </c>
      <c r="ATP10" s="234">
        <v>0</v>
      </c>
      <c r="ATQ10" s="234">
        <v>0</v>
      </c>
      <c r="ATR10" s="234">
        <v>0</v>
      </c>
      <c r="ATS10" s="234">
        <v>0</v>
      </c>
      <c r="ATT10" s="234">
        <v>0</v>
      </c>
      <c r="ATU10" s="234">
        <v>0</v>
      </c>
      <c r="ATV10" s="234">
        <v>412.32999999999987</v>
      </c>
      <c r="ATW10" s="234">
        <v>1070.4000000000001</v>
      </c>
      <c r="ATX10" s="234">
        <v>0</v>
      </c>
      <c r="ATY10" s="234">
        <v>0</v>
      </c>
      <c r="ATZ10" s="234">
        <v>0</v>
      </c>
      <c r="AUA10" s="234">
        <v>0</v>
      </c>
      <c r="AUB10" s="234">
        <v>0</v>
      </c>
      <c r="AUC10" s="234">
        <v>0</v>
      </c>
      <c r="AUD10" s="234">
        <v>79.53</v>
      </c>
      <c r="AUE10" s="234">
        <v>0</v>
      </c>
      <c r="AUF10" s="234">
        <v>1376.08</v>
      </c>
      <c r="AUG10" s="234">
        <v>1433.6399999999999</v>
      </c>
      <c r="AUH10" s="234">
        <v>3393.9000000000005</v>
      </c>
      <c r="AUI10" s="234">
        <v>2473.23</v>
      </c>
      <c r="AUJ10" s="234">
        <v>2176.8300000000004</v>
      </c>
      <c r="AUK10" s="235">
        <v>20865.419215686277</v>
      </c>
      <c r="AUL10" s="239">
        <v>1623.37</v>
      </c>
      <c r="AUM10" s="239">
        <v>2580.0499999999997</v>
      </c>
      <c r="AUN10" s="239">
        <v>2413.62</v>
      </c>
      <c r="AUO10" s="239">
        <v>1745.84</v>
      </c>
      <c r="AUP10" s="239">
        <v>1844.36</v>
      </c>
      <c r="AUQ10" s="239">
        <v>2226.4900000000007</v>
      </c>
      <c r="AUR10" s="239">
        <v>2206.2199999999998</v>
      </c>
      <c r="AUS10" s="239">
        <v>2322.16</v>
      </c>
      <c r="AUT10" s="239">
        <v>664.09</v>
      </c>
      <c r="AUU10" s="239">
        <v>58.24</v>
      </c>
      <c r="AUV10" s="239">
        <v>0</v>
      </c>
      <c r="AUW10" s="239">
        <v>120.45</v>
      </c>
      <c r="AUX10" s="239">
        <v>298.89999999999998</v>
      </c>
      <c r="AUY10" s="239">
        <v>0</v>
      </c>
      <c r="AUZ10" s="239">
        <v>1115.1400000000001</v>
      </c>
      <c r="AVA10" s="239">
        <v>63.63</v>
      </c>
      <c r="AVB10" s="239">
        <v>56.17</v>
      </c>
      <c r="AVC10" s="239">
        <v>0</v>
      </c>
      <c r="AVD10" s="239">
        <v>0</v>
      </c>
      <c r="AVE10" s="239">
        <v>0</v>
      </c>
      <c r="AVF10" s="239">
        <v>0</v>
      </c>
      <c r="AVG10" s="239">
        <v>0</v>
      </c>
      <c r="AVH10" s="239">
        <v>0</v>
      </c>
      <c r="AVI10" s="239">
        <v>0</v>
      </c>
      <c r="AVJ10" s="239">
        <v>0</v>
      </c>
      <c r="AVK10" s="239">
        <v>0</v>
      </c>
      <c r="AVL10" s="239">
        <v>0</v>
      </c>
      <c r="AVM10" s="239">
        <v>0</v>
      </c>
      <c r="AVN10" s="239">
        <v>1615.46</v>
      </c>
      <c r="AVO10" s="239">
        <v>149.39000000000001</v>
      </c>
      <c r="AVP10" s="239">
        <v>0</v>
      </c>
      <c r="AVQ10" s="235">
        <f t="shared" si="3"/>
        <v>21103.58</v>
      </c>
      <c r="AVR10" s="239">
        <v>0</v>
      </c>
      <c r="AVS10" s="239">
        <v>0</v>
      </c>
      <c r="AVT10" s="239">
        <v>0</v>
      </c>
      <c r="AVU10" s="239">
        <v>0</v>
      </c>
      <c r="AVV10" s="239">
        <v>1519.3799999999999</v>
      </c>
      <c r="AVW10" s="239">
        <v>0</v>
      </c>
      <c r="AVX10" s="239">
        <v>60.33</v>
      </c>
      <c r="AVY10" s="239">
        <v>0</v>
      </c>
      <c r="AVZ10" s="239">
        <v>0</v>
      </c>
      <c r="AWA10" s="239">
        <v>0</v>
      </c>
      <c r="AWB10" s="239">
        <v>0</v>
      </c>
      <c r="AWC10" s="239">
        <v>1154.19</v>
      </c>
      <c r="AWD10" s="239">
        <v>0</v>
      </c>
      <c r="AWE10" s="239">
        <v>0</v>
      </c>
      <c r="AWF10" s="239">
        <v>0</v>
      </c>
      <c r="AWG10" s="239">
        <v>0</v>
      </c>
      <c r="AWH10" s="239">
        <v>0</v>
      </c>
      <c r="AWI10" s="239">
        <v>0</v>
      </c>
      <c r="AWJ10" s="239">
        <v>808.66000000000008</v>
      </c>
      <c r="AWK10" s="239">
        <v>0</v>
      </c>
      <c r="AWL10" s="239">
        <v>0</v>
      </c>
      <c r="AWM10" s="239">
        <v>0</v>
      </c>
      <c r="AWN10" s="239">
        <v>0</v>
      </c>
      <c r="AWO10" s="239">
        <v>0</v>
      </c>
      <c r="AWP10" s="239">
        <v>0</v>
      </c>
      <c r="AWQ10" s="239">
        <v>2741.34</v>
      </c>
      <c r="AWR10" s="239">
        <v>1830.9999999999998</v>
      </c>
      <c r="AWS10" s="239">
        <v>1817.28</v>
      </c>
      <c r="AWT10" s="239">
        <v>1964.51</v>
      </c>
      <c r="AWU10" s="239">
        <v>911.65</v>
      </c>
      <c r="AWV10" s="235">
        <v>12808.34</v>
      </c>
      <c r="AWW10" s="239">
        <v>734.23</v>
      </c>
      <c r="AWX10" s="239">
        <v>983.19999999999993</v>
      </c>
      <c r="AWY10" s="239">
        <v>2468.23</v>
      </c>
      <c r="AWZ10" s="239">
        <v>3374.09</v>
      </c>
      <c r="AXA10" s="239">
        <v>2739.5699999999997</v>
      </c>
      <c r="AXB10" s="239">
        <v>2222.59</v>
      </c>
      <c r="AXC10" s="239">
        <v>2534.1899999999996</v>
      </c>
      <c r="AXD10" s="239">
        <v>1972.32</v>
      </c>
      <c r="AXE10" s="239">
        <v>166.8</v>
      </c>
      <c r="AXF10" s="239">
        <v>0</v>
      </c>
      <c r="AXG10" s="239">
        <v>0</v>
      </c>
      <c r="AXH10" s="239">
        <v>0</v>
      </c>
      <c r="AXI10" s="239">
        <v>0</v>
      </c>
      <c r="AXJ10" s="239">
        <v>0</v>
      </c>
      <c r="AXK10" s="239">
        <v>0</v>
      </c>
      <c r="AXL10" s="239">
        <v>60.31</v>
      </c>
      <c r="AXM10" s="239">
        <v>27.94</v>
      </c>
      <c r="AXN10" s="239">
        <v>0</v>
      </c>
      <c r="AXO10" s="239">
        <v>0</v>
      </c>
      <c r="AXP10" s="239">
        <v>0</v>
      </c>
      <c r="AXQ10" s="239">
        <v>0</v>
      </c>
      <c r="AXR10" s="239">
        <v>0</v>
      </c>
      <c r="AXS10" s="239">
        <v>0</v>
      </c>
      <c r="AXT10" s="239">
        <v>1478.1699999999998</v>
      </c>
      <c r="AXU10" s="239">
        <v>0</v>
      </c>
      <c r="AXV10" s="239">
        <v>0</v>
      </c>
      <c r="AXW10" s="239">
        <v>0</v>
      </c>
      <c r="AXX10" s="239">
        <v>0</v>
      </c>
      <c r="AXY10" s="239">
        <v>0</v>
      </c>
      <c r="AXZ10" s="239">
        <v>0</v>
      </c>
      <c r="AYA10" s="239">
        <v>243.21</v>
      </c>
      <c r="AYB10" s="235">
        <v>19004.849999999995</v>
      </c>
      <c r="AYC10" s="239">
        <v>713.17</v>
      </c>
      <c r="AYD10" s="239">
        <v>1245.99</v>
      </c>
      <c r="AYE10" s="239">
        <v>1856.33</v>
      </c>
      <c r="AYF10" s="239">
        <v>805.86</v>
      </c>
      <c r="AYG10" s="239">
        <v>3363.75</v>
      </c>
      <c r="AYH10" s="239">
        <v>3037.2700000000004</v>
      </c>
      <c r="AYI10" s="239">
        <v>3703.46</v>
      </c>
      <c r="AYJ10" s="239">
        <v>2680.26</v>
      </c>
      <c r="AYK10" s="239">
        <v>3006.6900000000005</v>
      </c>
      <c r="AYL10" s="239">
        <v>2142.62</v>
      </c>
      <c r="AYM10" s="239">
        <v>3318.4399999999996</v>
      </c>
      <c r="AYN10" s="239">
        <v>2003.3000000000002</v>
      </c>
      <c r="AYO10" s="239">
        <v>1714.83</v>
      </c>
      <c r="AYP10" s="239">
        <v>888.81999999999994</v>
      </c>
      <c r="AYQ10" s="239">
        <v>0</v>
      </c>
      <c r="AYR10" s="239">
        <v>0</v>
      </c>
      <c r="AYS10" s="239">
        <v>0</v>
      </c>
      <c r="AYT10" s="239">
        <v>0</v>
      </c>
      <c r="AYU10" s="239">
        <v>0</v>
      </c>
      <c r="AYV10" s="239">
        <v>0</v>
      </c>
      <c r="AYW10" s="239">
        <v>0</v>
      </c>
      <c r="AYX10" s="239">
        <v>0</v>
      </c>
      <c r="AYY10" s="239">
        <v>0</v>
      </c>
      <c r="AYZ10" s="239">
        <v>0</v>
      </c>
      <c r="AZA10" s="239">
        <v>0</v>
      </c>
      <c r="AZB10" s="239">
        <v>28.09</v>
      </c>
      <c r="AZC10" s="239">
        <v>28.44</v>
      </c>
      <c r="AZD10" s="239">
        <v>0</v>
      </c>
      <c r="AZE10" s="239">
        <v>0</v>
      </c>
      <c r="AZF10" s="239">
        <v>0</v>
      </c>
      <c r="AZG10" s="235">
        <v>30537.319999999992</v>
      </c>
      <c r="AZH10" s="239">
        <f>Actual!F157</f>
        <v>0</v>
      </c>
      <c r="AZI10" s="239">
        <f>Actual!G157</f>
        <v>0</v>
      </c>
      <c r="AZJ10" s="239">
        <f>Actual!H157</f>
        <v>0</v>
      </c>
      <c r="AZK10" s="239">
        <f>Actual!I157</f>
        <v>0</v>
      </c>
      <c r="AZL10" s="239">
        <f>Actual!J157</f>
        <v>1312.8979999999999</v>
      </c>
      <c r="AZM10" s="239">
        <f>Actual!K157</f>
        <v>0</v>
      </c>
      <c r="AZN10" s="239">
        <f>Actual!L157</f>
        <v>0</v>
      </c>
      <c r="AZO10" s="239">
        <f>Actual!M157</f>
        <v>0</v>
      </c>
      <c r="AZP10" s="239">
        <f>Actual!N157</f>
        <v>0</v>
      </c>
      <c r="AZQ10" s="239">
        <f>Actual!O157</f>
        <v>0</v>
      </c>
      <c r="AZR10" s="239">
        <f>Actual!P157</f>
        <v>0</v>
      </c>
      <c r="AZS10" s="239">
        <f>Actual!Q157</f>
        <v>0</v>
      </c>
      <c r="AZT10" s="239">
        <f>Actual!R157</f>
        <v>0</v>
      </c>
      <c r="AZU10" s="239">
        <f>Actual!S157</f>
        <v>0</v>
      </c>
      <c r="AZV10" s="239">
        <f>Actual!T157</f>
        <v>0</v>
      </c>
      <c r="AZW10" s="239">
        <f>Actual!U157</f>
        <v>0</v>
      </c>
      <c r="AZX10" s="239">
        <f>Actual!V157</f>
        <v>0</v>
      </c>
      <c r="AZY10" s="239">
        <f>Actual!W157</f>
        <v>0</v>
      </c>
      <c r="AZZ10" s="239">
        <f>Actual!X157</f>
        <v>0</v>
      </c>
      <c r="BAA10" s="239">
        <f>Actual!Y157</f>
        <v>0</v>
      </c>
      <c r="BAB10" s="239">
        <f>Actual!Z157</f>
        <v>0</v>
      </c>
      <c r="BAC10" s="239">
        <f>Actual!AA157</f>
        <v>0</v>
      </c>
      <c r="BAD10" s="239">
        <f>Actual!AB157</f>
        <v>0</v>
      </c>
      <c r="BAE10" s="239">
        <f>Actual!AC157</f>
        <v>0</v>
      </c>
      <c r="BAF10" s="239">
        <f>Actual!AD157</f>
        <v>0</v>
      </c>
      <c r="BAG10" s="239">
        <f>Actual!AE157</f>
        <v>0</v>
      </c>
      <c r="BAH10" s="239">
        <f>Actual!AF157</f>
        <v>0</v>
      </c>
      <c r="BAI10" s="239">
        <f>Actual!AG157</f>
        <v>0</v>
      </c>
      <c r="BAJ10" s="239">
        <f>Actual!AH157</f>
        <v>0</v>
      </c>
      <c r="BAK10" s="239">
        <f>Actual!AI157</f>
        <v>0</v>
      </c>
      <c r="BAL10" s="239">
        <f>Actual!AJ157</f>
        <v>0</v>
      </c>
      <c r="BAM10" s="235">
        <f>SUM(AZH10:BAL10)</f>
        <v>1312.8979999999999</v>
      </c>
    </row>
    <row r="11" spans="2:1392">
      <c r="B11" s="526" t="s">
        <v>359</v>
      </c>
      <c r="C11" s="525">
        <f>'Graphic Production'!C15/1000</f>
        <v>5.833333333333333</v>
      </c>
      <c r="D11" s="525">
        <f>'Graphic Production'!D15/1000</f>
        <v>5.833333333333333</v>
      </c>
      <c r="E11" s="525">
        <f>'Graphic Production'!E15/1000</f>
        <v>5.833333333333333</v>
      </c>
      <c r="F11" s="525">
        <f>'Graphic Production'!F15/1000</f>
        <v>5.833333333333333</v>
      </c>
      <c r="G11" s="525">
        <f>'Graphic Production'!G15/1000</f>
        <v>5.833333333333333</v>
      </c>
      <c r="H11" s="525">
        <f>'Graphic Production'!H15/1000</f>
        <v>5.833333333333333</v>
      </c>
      <c r="I11" s="525">
        <f>'Graphic Production'!I15/1000</f>
        <v>5.833333333333333</v>
      </c>
      <c r="J11" s="525">
        <f>'Graphic Production'!J15/1000</f>
        <v>5.833333333333333</v>
      </c>
      <c r="K11" s="525">
        <f>'Graphic Production'!K15/1000</f>
        <v>5.833333333333333</v>
      </c>
      <c r="L11" s="525">
        <f>'Graphic Production'!L15/1000</f>
        <v>5.833333333333333</v>
      </c>
      <c r="M11" s="525">
        <f>'Graphic Production'!M15/1000</f>
        <v>5.833333333333333</v>
      </c>
      <c r="N11" s="525">
        <f>'Graphic Production'!N15/1000</f>
        <v>5.833333333333333</v>
      </c>
      <c r="O11" s="525">
        <f>'Graphic Production'!O15/1000</f>
        <v>5.833333333333333</v>
      </c>
      <c r="P11" s="525">
        <f>'Graphic Production'!P15/1000</f>
        <v>5.833333333333333</v>
      </c>
      <c r="Q11" s="525">
        <f>'Graphic Production'!Q15/1000</f>
        <v>5.833333333333333</v>
      </c>
      <c r="R11" s="525">
        <f>'Graphic Production'!R15/1000</f>
        <v>5.833333333333333</v>
      </c>
      <c r="S11" s="525">
        <f>'Graphic Production'!S15/1000</f>
        <v>5.833333333333333</v>
      </c>
      <c r="T11" s="525">
        <f>'Graphic Production'!T15/1000</f>
        <v>5.833333333333333</v>
      </c>
      <c r="U11" s="525">
        <f>'Graphic Production'!U15/1000</f>
        <v>5.833333333333333</v>
      </c>
      <c r="V11" s="525">
        <f>'Graphic Production'!V15/1000</f>
        <v>5.833333333333333</v>
      </c>
      <c r="W11" s="525">
        <f>'Graphic Production'!W15/1000</f>
        <v>5.833333333333333</v>
      </c>
      <c r="X11" s="525">
        <f>'Graphic Production'!X15/1000</f>
        <v>5.833333333333333</v>
      </c>
      <c r="Y11" s="525">
        <f>'Graphic Production'!Y15/1000</f>
        <v>5.833333333333333</v>
      </c>
      <c r="Z11" s="525">
        <f>'Graphic Production'!Z15/1000</f>
        <v>5.833333333333333</v>
      </c>
      <c r="AA11" s="525">
        <f>'Graphic Production'!AA15/1000</f>
        <v>5.833333333333333</v>
      </c>
      <c r="AB11" s="525">
        <f>'Graphic Production'!AB15/1000</f>
        <v>5.833333333333333</v>
      </c>
      <c r="AC11" s="525">
        <f>'Graphic Production'!AC15/1000</f>
        <v>5.833333333333333</v>
      </c>
      <c r="AD11" s="525">
        <f>'Graphic Production'!AD15/1000</f>
        <v>5.833333333333333</v>
      </c>
      <c r="AE11" s="525">
        <f>'Graphic Production'!AE15/1000</f>
        <v>5.833333333333333</v>
      </c>
      <c r="AF11" s="525">
        <f>'Graphic Production'!AF15/1000</f>
        <v>5.833333333333333</v>
      </c>
      <c r="AG11" s="525">
        <f>'Graphic Production'!AG15/1000</f>
        <v>0</v>
      </c>
      <c r="AH11" s="235">
        <f>SUM(C11:AG11)</f>
        <v>175.00000000000003</v>
      </c>
      <c r="AI11" s="239"/>
      <c r="AJ11" s="239"/>
      <c r="AK11" s="258">
        <v>7300</v>
      </c>
      <c r="AL11" s="239"/>
      <c r="AM11" s="239"/>
      <c r="AN11" s="239"/>
      <c r="AO11" s="239"/>
      <c r="AP11" s="239"/>
      <c r="AQ11" s="239"/>
      <c r="AS11" s="239"/>
      <c r="AT11" s="258">
        <v>7300</v>
      </c>
      <c r="AU11" s="236"/>
      <c r="AV11" s="258">
        <v>7300</v>
      </c>
      <c r="AW11" s="236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5">
        <f>SUM(AI11:BJ11)</f>
        <v>21900</v>
      </c>
      <c r="BL11" s="238">
        <v>7300</v>
      </c>
      <c r="BM11" s="239"/>
      <c r="BN11" s="236"/>
      <c r="BO11" s="239"/>
      <c r="BP11" s="236"/>
      <c r="BQ11" s="239"/>
      <c r="BR11" s="239"/>
      <c r="BS11" s="239"/>
      <c r="BT11" s="238">
        <v>7300</v>
      </c>
      <c r="BU11" s="239"/>
      <c r="BV11" s="238">
        <v>14600</v>
      </c>
      <c r="BW11" s="239"/>
      <c r="BX11" s="239"/>
      <c r="BY11" s="238">
        <v>7300</v>
      </c>
      <c r="BZ11" s="236"/>
      <c r="CA11" s="239"/>
      <c r="CB11" s="239"/>
      <c r="CC11" s="238">
        <v>14600</v>
      </c>
      <c r="CD11" s="239"/>
      <c r="CE11" s="239"/>
      <c r="CF11" s="239"/>
      <c r="CG11" s="239"/>
      <c r="CH11" s="239"/>
      <c r="CI11" s="238">
        <v>7300</v>
      </c>
      <c r="CJ11" s="239"/>
      <c r="CK11" s="239"/>
      <c r="CL11" s="239"/>
      <c r="CM11" s="239"/>
      <c r="CN11" s="239"/>
      <c r="CO11" s="239"/>
      <c r="CP11" s="239"/>
      <c r="CQ11" s="235">
        <f t="shared" ref="CQ11:CQ16" si="16">SUM(BL11:CP11)</f>
        <v>58400</v>
      </c>
      <c r="CR11" s="239"/>
      <c r="CS11" s="239"/>
      <c r="CT11" s="236"/>
      <c r="CU11" s="238">
        <v>7300</v>
      </c>
      <c r="CV11" s="236"/>
      <c r="CW11" s="239"/>
      <c r="CX11" s="239"/>
      <c r="CY11" s="239"/>
      <c r="CZ11" s="239"/>
      <c r="DA11" s="239"/>
      <c r="DB11" s="258">
        <v>14600</v>
      </c>
      <c r="DC11" s="239"/>
      <c r="DD11" s="236"/>
      <c r="DE11" s="238">
        <v>7300</v>
      </c>
      <c r="DF11" s="238">
        <v>7300</v>
      </c>
      <c r="DG11" s="239"/>
      <c r="DH11" s="239"/>
      <c r="DI11" s="239"/>
      <c r="DJ11" s="239"/>
      <c r="DK11" s="239"/>
      <c r="DL11" s="236"/>
      <c r="DM11" s="239"/>
      <c r="DN11" s="239"/>
      <c r="DO11" s="239"/>
      <c r="DP11" s="239"/>
      <c r="DQ11" s="239"/>
      <c r="DR11" s="239"/>
      <c r="DS11" s="239"/>
      <c r="DT11" s="239"/>
      <c r="DU11" s="239"/>
      <c r="DV11" s="239"/>
      <c r="DW11" s="235">
        <f t="shared" ref="DW11:DW16" si="17">SUM(CR11:DV11)</f>
        <v>36500</v>
      </c>
      <c r="DX11" s="239"/>
      <c r="DY11" s="239"/>
      <c r="DZ11" s="236"/>
      <c r="EA11" s="239"/>
      <c r="EB11" s="236"/>
      <c r="EC11" s="239"/>
      <c r="ED11" s="239"/>
      <c r="EE11" s="239"/>
      <c r="EF11" s="239"/>
      <c r="EG11" s="239"/>
      <c r="EH11" s="239"/>
      <c r="EI11" s="239"/>
      <c r="EJ11" s="238">
        <v>7300</v>
      </c>
      <c r="EK11" s="238">
        <v>7300</v>
      </c>
      <c r="EL11" s="236"/>
      <c r="EM11" s="239"/>
      <c r="EN11" s="239"/>
      <c r="EO11" s="239"/>
      <c r="EP11" s="239"/>
      <c r="EQ11" s="239"/>
      <c r="ER11" s="236"/>
      <c r="ES11" s="239"/>
      <c r="ET11" s="239"/>
      <c r="EU11" s="239"/>
      <c r="EV11" s="239"/>
      <c r="EW11" s="239"/>
      <c r="EX11" s="239"/>
      <c r="EY11" s="239"/>
      <c r="EZ11" s="239"/>
      <c r="FA11" s="239"/>
      <c r="FB11" s="239"/>
      <c r="FC11" s="235">
        <f t="shared" ref="FC11:FC16" si="18">SUM(DX11:FB11)</f>
        <v>14600</v>
      </c>
      <c r="FD11" s="239"/>
      <c r="FE11" s="239"/>
      <c r="FF11" s="238">
        <v>7300</v>
      </c>
      <c r="FG11" s="239"/>
      <c r="FH11" s="236"/>
      <c r="FI11" s="239"/>
      <c r="FJ11" s="239"/>
      <c r="FK11" s="239"/>
      <c r="FL11" s="239"/>
      <c r="FM11" s="238">
        <v>7300</v>
      </c>
      <c r="FN11" s="239"/>
      <c r="FO11" s="239"/>
      <c r="FP11" s="236"/>
      <c r="FQ11" s="239"/>
      <c r="FR11" s="238">
        <v>7300</v>
      </c>
      <c r="FS11" s="239"/>
      <c r="FT11" s="239"/>
      <c r="FU11" s="239"/>
      <c r="FV11" s="239"/>
      <c r="FW11" s="239"/>
      <c r="FX11" s="236"/>
      <c r="FY11" s="239"/>
      <c r="FZ11" s="239"/>
      <c r="GA11" s="239"/>
      <c r="GB11" s="239"/>
      <c r="GC11" s="239"/>
      <c r="GD11" s="239"/>
      <c r="GE11" s="239"/>
      <c r="GF11" s="239"/>
      <c r="GG11" s="239"/>
      <c r="GH11" s="239"/>
      <c r="GI11" s="235">
        <f t="shared" ref="GI11:GI16" si="19">SUM(FD11:GH11)</f>
        <v>21900</v>
      </c>
      <c r="GJ11" s="239"/>
      <c r="GK11" s="239"/>
      <c r="GL11" s="236"/>
      <c r="GM11" s="239"/>
      <c r="GN11" s="239"/>
      <c r="GO11" s="239"/>
      <c r="GP11" s="239"/>
      <c r="GQ11" s="238">
        <v>7300</v>
      </c>
      <c r="GR11" s="239"/>
      <c r="GS11" s="239"/>
      <c r="GT11" s="238">
        <v>7300</v>
      </c>
      <c r="GU11" s="239"/>
      <c r="GV11" s="236"/>
      <c r="GW11" s="239"/>
      <c r="GX11" s="239"/>
      <c r="GY11" s="238">
        <v>7300</v>
      </c>
      <c r="GZ11" s="239"/>
      <c r="HA11" s="239"/>
      <c r="HB11" s="239"/>
      <c r="HC11" s="239"/>
      <c r="HD11" s="236"/>
      <c r="HE11" s="239"/>
      <c r="HF11" s="239"/>
      <c r="HG11" s="239"/>
      <c r="HH11" s="238">
        <v>7300</v>
      </c>
      <c r="HI11" s="239"/>
      <c r="HJ11" s="239"/>
      <c r="HK11" s="239"/>
      <c r="HL11" s="239"/>
      <c r="HM11" s="239"/>
      <c r="HN11" s="238">
        <v>7300</v>
      </c>
      <c r="HO11" s="235">
        <f t="shared" ref="HO11:HO16" si="20">SUM(GJ11:HN11)</f>
        <v>36500</v>
      </c>
      <c r="HP11" s="239"/>
      <c r="HQ11" s="239"/>
      <c r="HR11" s="239"/>
      <c r="HS11" s="239"/>
      <c r="HT11" s="239"/>
      <c r="HU11" s="239"/>
      <c r="HV11" s="239"/>
      <c r="HW11" s="239"/>
      <c r="HX11" s="239"/>
      <c r="HY11" s="239"/>
      <c r="HZ11" s="239"/>
      <c r="IA11" s="239"/>
      <c r="IB11" s="236"/>
      <c r="IC11" s="239"/>
      <c r="ID11" s="239"/>
      <c r="IE11" s="239"/>
      <c r="IF11" s="239"/>
      <c r="IG11" s="239"/>
      <c r="IH11" s="239"/>
      <c r="II11" s="239"/>
      <c r="IJ11" s="238">
        <v>7300</v>
      </c>
      <c r="IK11" s="239"/>
      <c r="IL11" s="238">
        <v>7300</v>
      </c>
      <c r="IM11" s="239"/>
      <c r="IN11" s="238">
        <v>7300</v>
      </c>
      <c r="IO11" s="239"/>
      <c r="IP11" s="239"/>
      <c r="IQ11" s="239"/>
      <c r="IR11" s="239"/>
      <c r="IS11" s="239"/>
      <c r="IT11" s="239"/>
      <c r="IU11" s="235">
        <f t="shared" ref="IU11:IU16" si="21">SUM(HP11:IT11)</f>
        <v>21900</v>
      </c>
      <c r="IV11" s="238">
        <v>7300</v>
      </c>
      <c r="IW11" s="239"/>
      <c r="IX11" s="239"/>
      <c r="IY11" s="239"/>
      <c r="IZ11" s="239"/>
      <c r="JA11" s="239"/>
      <c r="JB11" s="239"/>
      <c r="JC11" s="239"/>
      <c r="JD11" s="239"/>
      <c r="JE11" s="239"/>
      <c r="JF11" s="239"/>
      <c r="JG11" s="239"/>
      <c r="JH11" s="236"/>
      <c r="JI11" s="238">
        <v>7300</v>
      </c>
      <c r="JJ11" s="239"/>
      <c r="JK11" s="238">
        <v>7300</v>
      </c>
      <c r="JL11" s="238">
        <v>7300</v>
      </c>
      <c r="JM11" s="238">
        <v>7300</v>
      </c>
      <c r="JN11" s="239"/>
      <c r="JO11" s="239"/>
      <c r="JP11" s="236"/>
      <c r="JQ11" s="239"/>
      <c r="JR11" s="239"/>
      <c r="JS11" s="239"/>
      <c r="JT11" s="239"/>
      <c r="JU11" s="239"/>
      <c r="JV11" s="239"/>
      <c r="JW11" s="239"/>
      <c r="JX11" s="239"/>
      <c r="JY11" s="239"/>
      <c r="JZ11" s="239"/>
      <c r="KA11" s="235">
        <f t="shared" ref="KA11:KA16" si="22">SUM(IV11:JZ11)</f>
        <v>36500</v>
      </c>
      <c r="KB11" s="239"/>
      <c r="KC11" s="239"/>
      <c r="KD11" s="258">
        <v>7300</v>
      </c>
      <c r="KE11" s="258">
        <v>7300</v>
      </c>
      <c r="KF11" s="239"/>
      <c r="KG11" s="258">
        <v>7300</v>
      </c>
      <c r="KH11" s="239"/>
      <c r="KI11" s="258">
        <v>7300</v>
      </c>
      <c r="KJ11" s="239"/>
      <c r="KK11" s="239"/>
      <c r="KL11" s="239"/>
      <c r="KM11" s="239"/>
      <c r="KN11" s="236"/>
      <c r="KO11" s="239"/>
      <c r="KP11" s="239"/>
      <c r="KQ11" s="258">
        <v>7300</v>
      </c>
      <c r="KR11" s="258">
        <v>7300</v>
      </c>
      <c r="KS11" s="239"/>
      <c r="KT11" s="239"/>
      <c r="KU11" s="239"/>
      <c r="KV11" s="239"/>
      <c r="KW11" s="239"/>
      <c r="KX11" s="239"/>
      <c r="KY11" s="239"/>
      <c r="KZ11" s="239"/>
      <c r="LA11" s="239"/>
      <c r="LB11" s="239"/>
      <c r="LC11" s="239"/>
      <c r="LD11" s="239"/>
      <c r="LE11" s="239"/>
      <c r="LF11" s="258">
        <v>7300</v>
      </c>
      <c r="LG11" s="235">
        <f t="shared" ref="LG11:LG16" si="23">SUM(KB11:LF11)</f>
        <v>51100</v>
      </c>
      <c r="LH11" s="239"/>
      <c r="LI11" s="239"/>
      <c r="LJ11" s="239"/>
      <c r="LK11" s="239"/>
      <c r="LL11" s="239"/>
      <c r="LM11" s="239"/>
      <c r="LN11" s="239"/>
      <c r="LO11" s="239"/>
      <c r="LP11" s="239"/>
      <c r="LQ11" s="239"/>
      <c r="LR11" s="239"/>
      <c r="LS11" s="239"/>
      <c r="LT11" s="236"/>
      <c r="LU11" s="239"/>
      <c r="LV11" s="239"/>
      <c r="LW11" s="239"/>
      <c r="LX11" s="239"/>
      <c r="LY11" s="239"/>
      <c r="LZ11" s="239"/>
      <c r="MA11" s="238">
        <v>14600</v>
      </c>
      <c r="MB11" s="238">
        <v>7300</v>
      </c>
      <c r="MC11" s="239"/>
      <c r="MD11" s="238">
        <v>7301</v>
      </c>
      <c r="ME11" s="239"/>
      <c r="MF11" s="258">
        <v>7300</v>
      </c>
      <c r="MG11" s="239"/>
      <c r="MH11" s="239"/>
      <c r="MI11" s="239"/>
      <c r="MJ11" s="239"/>
      <c r="MK11" s="239"/>
      <c r="ML11" s="239"/>
      <c r="MM11" s="235">
        <f t="shared" ref="MM11:MM16" si="24">SUM(LH11:ML11)</f>
        <v>36501</v>
      </c>
      <c r="MN11" s="239"/>
      <c r="MO11" s="239"/>
      <c r="MP11" s="239"/>
      <c r="MQ11" s="239"/>
      <c r="MR11" s="239"/>
      <c r="MS11" s="239"/>
      <c r="MT11" s="239"/>
      <c r="MU11" s="258">
        <v>7300</v>
      </c>
      <c r="MV11" s="239"/>
      <c r="MW11" s="239"/>
      <c r="MX11" s="239"/>
      <c r="MY11" s="239"/>
      <c r="MZ11" s="236"/>
      <c r="NA11" s="239"/>
      <c r="NB11" s="239"/>
      <c r="NC11" s="239"/>
      <c r="ND11" s="239"/>
      <c r="NE11" s="239"/>
      <c r="NF11" s="258">
        <v>7300</v>
      </c>
      <c r="NG11" s="239"/>
      <c r="NH11" s="236"/>
      <c r="NI11" s="239"/>
      <c r="NJ11" s="239"/>
      <c r="NK11" s="239"/>
      <c r="NL11" s="239"/>
      <c r="NM11" s="239"/>
      <c r="NN11" s="258">
        <v>7300</v>
      </c>
      <c r="NO11" s="239"/>
      <c r="NP11" s="258">
        <v>7300</v>
      </c>
      <c r="NQ11" s="258">
        <v>7300</v>
      </c>
      <c r="NR11" s="239"/>
      <c r="NS11" s="235">
        <f t="shared" ref="NS11:NS16" si="25">SUM(MN11:NR11)</f>
        <v>36500</v>
      </c>
      <c r="NT11" s="239">
        <v>0</v>
      </c>
      <c r="NU11" s="239">
        <v>0</v>
      </c>
      <c r="NV11" s="258">
        <v>7300</v>
      </c>
      <c r="NW11" s="258">
        <v>7300</v>
      </c>
      <c r="NX11" s="239">
        <v>0</v>
      </c>
      <c r="NY11" s="239">
        <v>0</v>
      </c>
      <c r="NZ11" s="239">
        <v>0</v>
      </c>
      <c r="OA11" s="239">
        <v>0</v>
      </c>
      <c r="OB11" s="239">
        <v>0</v>
      </c>
      <c r="OC11" s="258">
        <v>7300</v>
      </c>
      <c r="OD11" s="239">
        <v>0</v>
      </c>
      <c r="OE11" s="239">
        <v>0</v>
      </c>
      <c r="OF11" s="239">
        <v>0</v>
      </c>
      <c r="OG11" s="239">
        <v>0</v>
      </c>
      <c r="OH11" s="239">
        <v>0</v>
      </c>
      <c r="OI11" s="239">
        <v>0</v>
      </c>
      <c r="OJ11" s="239">
        <v>0</v>
      </c>
      <c r="OK11" s="239">
        <v>0</v>
      </c>
      <c r="OL11" s="239">
        <v>0</v>
      </c>
      <c r="OM11" s="239">
        <v>0</v>
      </c>
      <c r="ON11" s="239">
        <v>0</v>
      </c>
      <c r="OO11" s="258">
        <v>7300</v>
      </c>
      <c r="OP11" s="258">
        <v>7300</v>
      </c>
      <c r="OQ11" s="239">
        <v>0</v>
      </c>
      <c r="OR11" s="239">
        <v>0</v>
      </c>
      <c r="OS11" s="239">
        <v>0</v>
      </c>
      <c r="OT11" s="239">
        <v>0</v>
      </c>
      <c r="OU11" s="239">
        <v>0</v>
      </c>
      <c r="OV11" s="239">
        <v>0</v>
      </c>
      <c r="OW11" s="239">
        <v>0</v>
      </c>
      <c r="OX11" s="239">
        <v>0</v>
      </c>
      <c r="OY11" s="235">
        <f t="shared" si="9"/>
        <v>36500</v>
      </c>
      <c r="OZ11" s="239">
        <v>0</v>
      </c>
      <c r="PA11" s="239">
        <v>0</v>
      </c>
      <c r="PB11" s="239">
        <v>0</v>
      </c>
      <c r="PC11" s="239">
        <v>0</v>
      </c>
      <c r="PD11" s="258">
        <v>7300</v>
      </c>
      <c r="PE11" s="239">
        <v>0</v>
      </c>
      <c r="PF11" s="239">
        <v>0</v>
      </c>
      <c r="PG11" s="239">
        <v>0</v>
      </c>
      <c r="PH11" s="239">
        <v>0</v>
      </c>
      <c r="PI11" s="258">
        <v>7300</v>
      </c>
      <c r="PJ11" s="239">
        <v>0</v>
      </c>
      <c r="PK11" s="239">
        <v>0</v>
      </c>
      <c r="PL11" s="239">
        <v>0</v>
      </c>
      <c r="PM11" s="258">
        <v>7300</v>
      </c>
      <c r="PN11" s="258">
        <v>7300</v>
      </c>
      <c r="PO11" s="239">
        <v>0</v>
      </c>
      <c r="PP11" s="239">
        <v>0</v>
      </c>
      <c r="PQ11" s="258">
        <v>7300</v>
      </c>
      <c r="PR11" s="239">
        <v>0</v>
      </c>
      <c r="PS11" s="239">
        <v>0</v>
      </c>
      <c r="PT11" s="239">
        <v>0</v>
      </c>
      <c r="PU11" s="258">
        <v>7300</v>
      </c>
      <c r="PV11" s="239">
        <v>0</v>
      </c>
      <c r="PW11" s="239">
        <v>0</v>
      </c>
      <c r="PX11" s="239">
        <v>0</v>
      </c>
      <c r="PY11" s="239">
        <v>0</v>
      </c>
      <c r="PZ11" s="239">
        <v>0</v>
      </c>
      <c r="QA11" s="239">
        <v>0</v>
      </c>
      <c r="QB11" s="239">
        <v>0</v>
      </c>
      <c r="QC11" s="239">
        <v>0</v>
      </c>
      <c r="QD11" s="235">
        <f t="shared" si="10"/>
        <v>43800</v>
      </c>
      <c r="QE11" s="239">
        <v>0</v>
      </c>
      <c r="QF11" s="239">
        <v>0</v>
      </c>
      <c r="QG11" s="258">
        <v>7300</v>
      </c>
      <c r="QH11" s="239">
        <v>0</v>
      </c>
      <c r="QI11" s="239">
        <v>0</v>
      </c>
      <c r="QJ11" s="239">
        <v>0</v>
      </c>
      <c r="QK11" s="239">
        <v>0</v>
      </c>
      <c r="QL11" s="239">
        <v>0</v>
      </c>
      <c r="QM11" s="239">
        <v>0</v>
      </c>
      <c r="QN11" s="239">
        <v>0</v>
      </c>
      <c r="QO11" s="258">
        <v>7300</v>
      </c>
      <c r="QP11" s="239">
        <v>0</v>
      </c>
      <c r="QQ11" s="239">
        <v>0</v>
      </c>
      <c r="QR11" s="258">
        <v>7300</v>
      </c>
      <c r="QS11" s="239">
        <v>0</v>
      </c>
      <c r="QT11" s="239">
        <v>0</v>
      </c>
      <c r="QU11" s="239">
        <v>0</v>
      </c>
      <c r="QV11" s="258">
        <v>7300</v>
      </c>
      <c r="QW11" s="239">
        <v>0</v>
      </c>
      <c r="QX11" s="239">
        <v>0</v>
      </c>
      <c r="QY11" s="239">
        <v>0</v>
      </c>
      <c r="QZ11" s="239">
        <v>0</v>
      </c>
      <c r="RA11" s="239">
        <v>0</v>
      </c>
      <c r="RB11" s="258">
        <v>7300</v>
      </c>
      <c r="RC11" s="239">
        <v>0</v>
      </c>
      <c r="RD11" s="239">
        <v>0</v>
      </c>
      <c r="RE11" s="239">
        <v>0</v>
      </c>
      <c r="RF11" s="239">
        <v>0</v>
      </c>
      <c r="RG11" s="239">
        <v>0</v>
      </c>
      <c r="RH11" s="239">
        <v>0</v>
      </c>
      <c r="RI11" s="239">
        <v>0</v>
      </c>
      <c r="RJ11" s="235">
        <v>36500</v>
      </c>
      <c r="RK11" s="239">
        <v>0</v>
      </c>
      <c r="RL11" s="239">
        <v>0</v>
      </c>
      <c r="RM11" s="239">
        <v>0</v>
      </c>
      <c r="RN11" s="239">
        <v>0</v>
      </c>
      <c r="RO11" s="239">
        <v>0</v>
      </c>
      <c r="RP11" s="239">
        <v>0</v>
      </c>
      <c r="RQ11" s="239">
        <v>0</v>
      </c>
      <c r="RR11" s="239">
        <v>0</v>
      </c>
      <c r="RS11" s="239">
        <v>0</v>
      </c>
      <c r="RT11" s="239">
        <v>0</v>
      </c>
      <c r="RU11" s="239">
        <v>0</v>
      </c>
      <c r="RV11" s="239">
        <v>0</v>
      </c>
      <c r="RW11" s="239">
        <v>0</v>
      </c>
      <c r="RX11" s="239">
        <v>0</v>
      </c>
      <c r="RY11" s="239">
        <v>0</v>
      </c>
      <c r="RZ11" s="239">
        <v>0</v>
      </c>
      <c r="SA11" s="239">
        <v>0</v>
      </c>
      <c r="SB11" s="239">
        <v>0</v>
      </c>
      <c r="SC11" s="238">
        <v>7300</v>
      </c>
      <c r="SD11" s="239">
        <v>0</v>
      </c>
      <c r="SE11" s="239">
        <v>0</v>
      </c>
      <c r="SF11" s="239">
        <v>0</v>
      </c>
      <c r="SG11" s="239">
        <v>0</v>
      </c>
      <c r="SH11" s="239">
        <v>0</v>
      </c>
      <c r="SI11" s="239">
        <v>0</v>
      </c>
      <c r="SJ11" s="239">
        <v>0</v>
      </c>
      <c r="SK11" s="238">
        <v>7300</v>
      </c>
      <c r="SL11" s="239">
        <v>0</v>
      </c>
      <c r="SM11" s="239">
        <v>0</v>
      </c>
      <c r="SN11" s="238">
        <v>7300</v>
      </c>
      <c r="SO11" s="235">
        <f>SUM(RP11:SN11)</f>
        <v>21900</v>
      </c>
      <c r="SP11" s="239">
        <v>0</v>
      </c>
      <c r="SQ11" s="239">
        <v>0</v>
      </c>
      <c r="SR11" s="239">
        <v>0</v>
      </c>
      <c r="SS11" s="239">
        <v>0</v>
      </c>
      <c r="ST11" s="239">
        <v>0</v>
      </c>
      <c r="SU11" s="239">
        <v>0</v>
      </c>
      <c r="SV11" s="239">
        <v>0</v>
      </c>
      <c r="SW11" s="239">
        <v>0</v>
      </c>
      <c r="SX11" s="239">
        <v>0</v>
      </c>
      <c r="SY11" s="239">
        <v>0</v>
      </c>
      <c r="SZ11" s="239">
        <v>0</v>
      </c>
      <c r="TA11" s="239">
        <v>0</v>
      </c>
      <c r="TB11" s="239">
        <v>0</v>
      </c>
      <c r="TC11" s="238">
        <v>7300</v>
      </c>
      <c r="TD11" s="238">
        <v>7300</v>
      </c>
      <c r="TE11" s="238">
        <v>7300</v>
      </c>
      <c r="TF11" s="239">
        <v>0</v>
      </c>
      <c r="TG11" s="239">
        <v>0</v>
      </c>
      <c r="TH11" s="238">
        <v>7300</v>
      </c>
      <c r="TI11" s="239">
        <v>0</v>
      </c>
      <c r="TJ11" s="239">
        <v>0</v>
      </c>
      <c r="TK11" s="239">
        <v>0</v>
      </c>
      <c r="TL11" s="238">
        <v>7300</v>
      </c>
      <c r="TM11" s="239">
        <v>0</v>
      </c>
      <c r="TN11" s="238">
        <v>7300</v>
      </c>
      <c r="TO11" s="239">
        <v>0</v>
      </c>
      <c r="TP11" s="239">
        <v>0</v>
      </c>
      <c r="TQ11" s="239">
        <v>0</v>
      </c>
      <c r="TR11" s="239">
        <v>0</v>
      </c>
      <c r="TS11" s="239">
        <v>0</v>
      </c>
      <c r="TT11" s="239">
        <v>0</v>
      </c>
      <c r="TU11" s="235">
        <v>51100</v>
      </c>
      <c r="TV11" s="239">
        <v>0</v>
      </c>
      <c r="TW11" s="239">
        <v>0</v>
      </c>
      <c r="TX11" s="239">
        <v>0</v>
      </c>
      <c r="TY11" s="239">
        <v>0</v>
      </c>
      <c r="TZ11" s="239">
        <v>0</v>
      </c>
      <c r="UA11" s="239">
        <v>0</v>
      </c>
      <c r="UB11" s="239">
        <v>0</v>
      </c>
      <c r="UC11" s="239">
        <v>0</v>
      </c>
      <c r="UD11" s="239">
        <v>0</v>
      </c>
      <c r="UE11" s="239">
        <v>0</v>
      </c>
      <c r="UF11" s="239">
        <v>0</v>
      </c>
      <c r="UG11" s="239">
        <v>0</v>
      </c>
      <c r="UH11" s="239">
        <v>0</v>
      </c>
      <c r="UI11" s="238">
        <v>7300</v>
      </c>
      <c r="UJ11" s="238">
        <v>7300</v>
      </c>
      <c r="UK11" s="238">
        <v>7300</v>
      </c>
      <c r="UL11" s="239">
        <v>0</v>
      </c>
      <c r="UM11" s="239">
        <v>0</v>
      </c>
      <c r="UN11" s="239">
        <v>0</v>
      </c>
      <c r="UO11" s="239">
        <v>0</v>
      </c>
      <c r="UP11" s="239">
        <v>0</v>
      </c>
      <c r="UQ11" s="239">
        <v>0</v>
      </c>
      <c r="UR11" s="239">
        <v>0</v>
      </c>
      <c r="US11" s="239">
        <v>0</v>
      </c>
      <c r="UT11" s="239">
        <v>0</v>
      </c>
      <c r="UU11" s="239">
        <v>0</v>
      </c>
      <c r="UV11" s="239">
        <v>0</v>
      </c>
      <c r="UW11" s="239">
        <v>0</v>
      </c>
      <c r="UX11" s="239">
        <v>0</v>
      </c>
      <c r="UY11" s="239">
        <v>0</v>
      </c>
      <c r="UZ11" s="239">
        <v>0</v>
      </c>
      <c r="VA11" s="235">
        <v>51100</v>
      </c>
      <c r="VB11" s="239">
        <v>0</v>
      </c>
      <c r="VC11" s="239">
        <v>0</v>
      </c>
      <c r="VD11" s="238">
        <v>7300</v>
      </c>
      <c r="VE11" s="238">
        <v>7300</v>
      </c>
      <c r="VF11" s="239">
        <v>0</v>
      </c>
      <c r="VG11" s="238">
        <v>7300</v>
      </c>
      <c r="VH11" s="239">
        <v>0</v>
      </c>
      <c r="VI11" s="239">
        <v>0</v>
      </c>
      <c r="VJ11" s="239">
        <v>0</v>
      </c>
      <c r="VK11" s="238">
        <v>7300</v>
      </c>
      <c r="VL11" s="238">
        <v>7300</v>
      </c>
      <c r="VM11" s="238">
        <v>7300</v>
      </c>
      <c r="VN11" s="238">
        <v>7300</v>
      </c>
      <c r="VO11" s="239">
        <v>0</v>
      </c>
      <c r="VP11" s="238">
        <v>7300</v>
      </c>
      <c r="VQ11" s="239">
        <v>0</v>
      </c>
      <c r="VR11" s="239">
        <v>0</v>
      </c>
      <c r="VS11" s="239">
        <v>0</v>
      </c>
      <c r="VT11" s="239">
        <v>0</v>
      </c>
      <c r="VU11" s="239">
        <v>0</v>
      </c>
      <c r="VV11" s="239">
        <v>0</v>
      </c>
      <c r="VW11" s="239">
        <v>0</v>
      </c>
      <c r="VX11" s="238">
        <v>7300</v>
      </c>
      <c r="VY11" s="239">
        <v>0</v>
      </c>
      <c r="VZ11" s="238">
        <v>7300</v>
      </c>
      <c r="WA11" s="238">
        <v>7300</v>
      </c>
      <c r="WB11" s="239">
        <v>0</v>
      </c>
      <c r="WC11" s="239">
        <v>0</v>
      </c>
      <c r="WD11" s="239">
        <v>0</v>
      </c>
      <c r="WE11" s="239">
        <v>0</v>
      </c>
      <c r="WF11" s="235">
        <v>51100</v>
      </c>
      <c r="WH11" s="239">
        <v>0</v>
      </c>
      <c r="WI11" s="239">
        <v>0</v>
      </c>
      <c r="WJ11" s="239">
        <v>0</v>
      </c>
      <c r="WK11" s="239">
        <v>0</v>
      </c>
      <c r="WL11" s="239">
        <v>0</v>
      </c>
      <c r="WM11" s="238">
        <v>7300</v>
      </c>
      <c r="WN11" s="239">
        <v>0</v>
      </c>
      <c r="WO11" s="239">
        <v>0</v>
      </c>
      <c r="WP11" s="239">
        <v>0</v>
      </c>
      <c r="WQ11" s="238">
        <v>7300</v>
      </c>
      <c r="WR11" s="238">
        <v>7300</v>
      </c>
      <c r="WS11" s="239">
        <v>0</v>
      </c>
      <c r="WT11" s="239">
        <v>0</v>
      </c>
      <c r="WU11" s="239">
        <v>0</v>
      </c>
      <c r="WV11" s="238">
        <v>7300</v>
      </c>
      <c r="WW11" s="239">
        <v>0</v>
      </c>
      <c r="WX11" s="239">
        <v>0</v>
      </c>
      <c r="WY11" s="239">
        <v>0</v>
      </c>
      <c r="WZ11" s="239">
        <v>0</v>
      </c>
      <c r="XA11" s="239">
        <v>0</v>
      </c>
      <c r="XB11" s="239">
        <v>0</v>
      </c>
      <c r="XC11" s="239">
        <v>0</v>
      </c>
      <c r="XD11" s="238">
        <v>7300</v>
      </c>
      <c r="XE11" s="238">
        <v>7300</v>
      </c>
      <c r="XF11" s="239">
        <v>0</v>
      </c>
      <c r="XG11" s="239">
        <v>0</v>
      </c>
      <c r="XH11" s="238">
        <v>7300</v>
      </c>
      <c r="XI11" s="239">
        <v>0</v>
      </c>
      <c r="XJ11" s="239">
        <v>0</v>
      </c>
      <c r="XK11" s="238">
        <v>7300</v>
      </c>
      <c r="XL11" s="235">
        <v>58400</v>
      </c>
      <c r="XM11" s="239">
        <v>0</v>
      </c>
      <c r="XN11" s="238">
        <v>7300</v>
      </c>
      <c r="XO11" s="239">
        <v>0</v>
      </c>
      <c r="XP11" s="239">
        <v>0</v>
      </c>
      <c r="XQ11" s="239">
        <v>0</v>
      </c>
      <c r="XR11" s="238">
        <v>7300</v>
      </c>
      <c r="XS11" s="238">
        <v>7300</v>
      </c>
      <c r="XT11" s="239">
        <v>0</v>
      </c>
      <c r="XU11" s="238">
        <v>7300</v>
      </c>
      <c r="XV11" s="238">
        <v>7300</v>
      </c>
      <c r="XW11" s="239">
        <v>0</v>
      </c>
      <c r="XX11" s="239">
        <v>0</v>
      </c>
      <c r="XY11" s="239">
        <v>0</v>
      </c>
      <c r="XZ11" s="239">
        <v>0</v>
      </c>
      <c r="YA11" s="239">
        <v>0</v>
      </c>
      <c r="YB11" s="239">
        <v>0</v>
      </c>
      <c r="YC11" s="239">
        <v>0</v>
      </c>
      <c r="YD11" s="239">
        <v>0</v>
      </c>
      <c r="YE11" s="239">
        <v>0</v>
      </c>
      <c r="YF11" s="239">
        <v>0</v>
      </c>
      <c r="YG11" s="239">
        <v>0</v>
      </c>
      <c r="YH11" s="239">
        <v>0</v>
      </c>
      <c r="YI11" s="239">
        <v>0</v>
      </c>
      <c r="YJ11" s="239">
        <v>0</v>
      </c>
      <c r="YK11" s="239">
        <v>0</v>
      </c>
      <c r="YL11" s="239">
        <v>0</v>
      </c>
      <c r="YM11" s="239">
        <v>0</v>
      </c>
      <c r="YN11" s="238">
        <v>7300</v>
      </c>
      <c r="YO11" s="238">
        <v>7300</v>
      </c>
      <c r="YP11" s="238">
        <v>7300</v>
      </c>
      <c r="YQ11" s="238">
        <v>7300</v>
      </c>
      <c r="YR11" s="235">
        <v>65700</v>
      </c>
      <c r="YS11" s="238">
        <v>7300</v>
      </c>
      <c r="YT11" s="239">
        <v>0</v>
      </c>
      <c r="YU11" s="238">
        <v>7300</v>
      </c>
      <c r="YV11" s="239">
        <v>0</v>
      </c>
      <c r="YW11" s="239">
        <v>0</v>
      </c>
      <c r="YX11" s="239">
        <v>0</v>
      </c>
      <c r="YY11" s="239">
        <v>0</v>
      </c>
      <c r="YZ11" s="239">
        <v>0</v>
      </c>
      <c r="ZA11" s="239">
        <v>0</v>
      </c>
      <c r="ZB11" s="239">
        <v>0</v>
      </c>
      <c r="ZC11" s="238">
        <v>7300</v>
      </c>
      <c r="ZD11" s="238">
        <v>7300</v>
      </c>
      <c r="ZE11" s="239">
        <v>0</v>
      </c>
      <c r="ZF11" s="239">
        <v>0</v>
      </c>
      <c r="ZG11" s="238">
        <v>7300</v>
      </c>
      <c r="ZH11" s="239">
        <v>0</v>
      </c>
      <c r="ZI11" s="239">
        <v>0</v>
      </c>
      <c r="ZJ11" s="239">
        <v>0</v>
      </c>
      <c r="ZK11" s="239">
        <v>0</v>
      </c>
      <c r="ZL11" s="239">
        <v>0</v>
      </c>
      <c r="ZM11" s="239">
        <v>0</v>
      </c>
      <c r="ZN11" s="239">
        <v>0</v>
      </c>
      <c r="ZO11" s="239">
        <v>0</v>
      </c>
      <c r="ZP11" s="239">
        <v>0</v>
      </c>
      <c r="ZQ11" s="239">
        <v>0</v>
      </c>
      <c r="ZR11" s="239">
        <v>0</v>
      </c>
      <c r="ZS11" s="239">
        <v>0</v>
      </c>
      <c r="ZT11" s="239">
        <v>0</v>
      </c>
      <c r="ZU11" s="239">
        <v>0</v>
      </c>
      <c r="ZV11" s="239">
        <v>0</v>
      </c>
      <c r="ZW11" s="239">
        <v>0</v>
      </c>
      <c r="ZX11" s="235">
        <f>SUM(YS11:ZW11)</f>
        <v>36500</v>
      </c>
      <c r="ZY11" s="239">
        <v>0</v>
      </c>
      <c r="ZZ11" s="239">
        <v>0</v>
      </c>
      <c r="AAA11" s="478">
        <v>7300</v>
      </c>
      <c r="AAB11" s="478">
        <v>7300</v>
      </c>
      <c r="AAC11" s="239">
        <v>0</v>
      </c>
      <c r="AAD11" s="239">
        <v>0</v>
      </c>
      <c r="AAE11" s="239">
        <v>0</v>
      </c>
      <c r="AAF11" s="277">
        <v>0</v>
      </c>
      <c r="AAG11" s="277">
        <v>0</v>
      </c>
      <c r="AAH11" s="277">
        <v>0</v>
      </c>
      <c r="AAI11" s="478">
        <v>7300</v>
      </c>
      <c r="AAJ11" s="478">
        <v>7300</v>
      </c>
      <c r="AAK11" s="478">
        <v>7300</v>
      </c>
      <c r="AAL11" s="277">
        <v>0</v>
      </c>
      <c r="AAM11" s="478">
        <v>7300</v>
      </c>
      <c r="AAN11" s="277">
        <v>0</v>
      </c>
      <c r="AAO11" s="277">
        <v>0</v>
      </c>
      <c r="AAP11" s="277">
        <v>0</v>
      </c>
      <c r="AAQ11" s="478">
        <v>7300</v>
      </c>
      <c r="AAR11" s="277">
        <v>0</v>
      </c>
      <c r="AAS11" s="277">
        <v>0</v>
      </c>
      <c r="AAT11" s="277">
        <v>0</v>
      </c>
      <c r="AAU11" s="277">
        <v>0</v>
      </c>
      <c r="AAV11" s="478">
        <v>7300</v>
      </c>
      <c r="AAW11" s="478">
        <v>7300</v>
      </c>
      <c r="AAX11" s="277">
        <v>0</v>
      </c>
      <c r="AAY11" s="239">
        <v>0</v>
      </c>
      <c r="AAZ11" s="239">
        <v>0</v>
      </c>
      <c r="ABA11" s="235">
        <f t="shared" si="11"/>
        <v>65700</v>
      </c>
      <c r="ABB11" s="239">
        <v>0</v>
      </c>
      <c r="ABC11" s="239">
        <v>0</v>
      </c>
      <c r="ABD11" s="238">
        <v>7300</v>
      </c>
      <c r="ABE11" s="238">
        <v>7300</v>
      </c>
      <c r="ABF11" s="239">
        <v>0</v>
      </c>
      <c r="ABG11" s="239">
        <v>0</v>
      </c>
      <c r="ABH11" s="239">
        <v>0</v>
      </c>
      <c r="ABI11" s="239">
        <v>0</v>
      </c>
      <c r="ABJ11" s="238">
        <v>7300</v>
      </c>
      <c r="ABK11" s="239">
        <v>0</v>
      </c>
      <c r="ABL11" s="239">
        <v>0</v>
      </c>
      <c r="ABM11" s="239">
        <v>0</v>
      </c>
      <c r="ABN11" s="239">
        <v>0</v>
      </c>
      <c r="ABO11" s="239">
        <v>0</v>
      </c>
      <c r="ABP11" s="239">
        <v>0</v>
      </c>
      <c r="ABQ11" s="239">
        <v>0</v>
      </c>
      <c r="ABR11" s="238">
        <v>7300</v>
      </c>
      <c r="ABS11" s="239">
        <v>0</v>
      </c>
      <c r="ABT11" s="239">
        <v>0</v>
      </c>
      <c r="ABU11" s="239">
        <v>0</v>
      </c>
      <c r="ABV11" s="239">
        <v>0</v>
      </c>
      <c r="ABW11" s="239">
        <v>0</v>
      </c>
      <c r="ABX11" s="239">
        <v>0</v>
      </c>
      <c r="ABY11" s="238">
        <v>7300</v>
      </c>
      <c r="ABZ11" s="238">
        <v>7300</v>
      </c>
      <c r="ACA11" s="239">
        <v>0</v>
      </c>
      <c r="ACB11" s="239">
        <v>0</v>
      </c>
      <c r="ACC11" s="239">
        <v>0</v>
      </c>
      <c r="ACD11" s="239">
        <v>0</v>
      </c>
      <c r="ACE11" s="238">
        <v>7300</v>
      </c>
      <c r="ACF11" s="238">
        <v>7300</v>
      </c>
      <c r="ACG11" s="235">
        <v>58400</v>
      </c>
      <c r="ACH11" s="384">
        <v>0</v>
      </c>
      <c r="ACI11" s="384">
        <v>0</v>
      </c>
      <c r="ACJ11" s="384">
        <v>0</v>
      </c>
      <c r="ACK11" s="384">
        <v>0</v>
      </c>
      <c r="ACL11" s="384">
        <v>0</v>
      </c>
      <c r="ACM11" s="384">
        <v>0</v>
      </c>
      <c r="ACN11" s="384">
        <v>0</v>
      </c>
      <c r="ACO11" s="384">
        <v>0</v>
      </c>
      <c r="ACP11" s="384">
        <v>0</v>
      </c>
      <c r="ACQ11" s="384">
        <v>0</v>
      </c>
      <c r="ACR11" s="384">
        <v>0</v>
      </c>
      <c r="ACS11" s="384">
        <v>0</v>
      </c>
      <c r="ACT11" s="384">
        <v>0</v>
      </c>
      <c r="ACU11" s="384">
        <v>0</v>
      </c>
      <c r="ACV11" s="384">
        <v>0</v>
      </c>
      <c r="ACW11" s="384">
        <v>0</v>
      </c>
      <c r="ACX11" s="384">
        <v>0</v>
      </c>
      <c r="ACY11" s="384">
        <v>0</v>
      </c>
      <c r="ACZ11" s="384">
        <v>0</v>
      </c>
      <c r="ADA11" s="384">
        <v>0</v>
      </c>
      <c r="ADB11" s="384">
        <v>0</v>
      </c>
      <c r="ADC11" s="384">
        <v>0</v>
      </c>
      <c r="ADD11" s="384">
        <v>0</v>
      </c>
      <c r="ADE11" s="384">
        <v>0</v>
      </c>
      <c r="ADF11" s="384">
        <v>0</v>
      </c>
      <c r="ADG11" s="239">
        <v>0</v>
      </c>
      <c r="ADH11" s="239">
        <v>0</v>
      </c>
      <c r="ADI11" s="239">
        <v>0</v>
      </c>
      <c r="ADJ11" s="239">
        <v>0</v>
      </c>
      <c r="ADK11" s="239">
        <v>0</v>
      </c>
      <c r="ADL11" s="239">
        <v>0</v>
      </c>
      <c r="ADM11" s="235">
        <v>0</v>
      </c>
      <c r="ADN11" s="277">
        <v>0</v>
      </c>
      <c r="ADO11" s="277">
        <v>0</v>
      </c>
      <c r="ADP11" s="277">
        <v>0</v>
      </c>
      <c r="ADQ11" s="277">
        <v>0</v>
      </c>
      <c r="ADR11" s="277">
        <v>0</v>
      </c>
      <c r="ADS11" s="488">
        <v>7300</v>
      </c>
      <c r="ADT11" s="488">
        <v>7300</v>
      </c>
      <c r="ADU11" s="488">
        <v>7300</v>
      </c>
      <c r="ADV11" s="277">
        <v>0</v>
      </c>
      <c r="ADW11" s="277">
        <v>0</v>
      </c>
      <c r="ADX11" s="277">
        <v>0</v>
      </c>
      <c r="ADY11" s="277">
        <v>0</v>
      </c>
      <c r="ADZ11" s="277">
        <v>0</v>
      </c>
      <c r="AEA11" s="277">
        <v>0</v>
      </c>
      <c r="AEB11" s="277">
        <v>0</v>
      </c>
      <c r="AEC11" s="277">
        <v>0</v>
      </c>
      <c r="AED11" s="488">
        <v>7300</v>
      </c>
      <c r="AEE11" s="277">
        <v>0</v>
      </c>
      <c r="AEF11" s="277">
        <v>0</v>
      </c>
      <c r="AEG11" s="277">
        <v>0</v>
      </c>
      <c r="AEH11" s="488">
        <v>7300</v>
      </c>
      <c r="AEI11" s="277">
        <v>0</v>
      </c>
      <c r="AEJ11" s="277">
        <v>0</v>
      </c>
      <c r="AEK11" s="488">
        <v>7300</v>
      </c>
      <c r="AEL11" s="277">
        <v>0</v>
      </c>
      <c r="AEM11" s="487">
        <v>0</v>
      </c>
      <c r="AEN11" s="488">
        <v>7300</v>
      </c>
      <c r="AEO11" s="487">
        <v>0</v>
      </c>
      <c r="AEP11" s="487">
        <v>0</v>
      </c>
      <c r="AEQ11" s="488">
        <v>7300</v>
      </c>
      <c r="AER11" s="487">
        <v>0</v>
      </c>
      <c r="AES11" s="235">
        <v>0</v>
      </c>
      <c r="AET11" s="277">
        <v>0</v>
      </c>
      <c r="AEU11" s="277">
        <v>0</v>
      </c>
      <c r="AEV11" s="277">
        <v>0</v>
      </c>
      <c r="AEW11" s="277">
        <v>0</v>
      </c>
      <c r="AEX11" s="277">
        <v>0</v>
      </c>
      <c r="AEY11" s="277">
        <v>0</v>
      </c>
      <c r="AEZ11" s="277">
        <v>0</v>
      </c>
      <c r="AFA11" s="277">
        <v>0</v>
      </c>
      <c r="AFB11" s="488">
        <v>7300</v>
      </c>
      <c r="AFC11" s="488">
        <v>7300</v>
      </c>
      <c r="AFD11" s="277">
        <v>0</v>
      </c>
      <c r="AFE11" s="277">
        <v>0</v>
      </c>
      <c r="AFF11" s="277">
        <v>0</v>
      </c>
      <c r="AFG11" s="488">
        <v>7300</v>
      </c>
      <c r="AFH11" s="488">
        <v>7300</v>
      </c>
      <c r="AFI11" s="277">
        <v>0</v>
      </c>
      <c r="AFJ11" s="277">
        <v>0</v>
      </c>
      <c r="AFK11" s="277">
        <v>0</v>
      </c>
      <c r="AFL11" s="488">
        <v>7300</v>
      </c>
      <c r="AFM11" s="277">
        <v>0</v>
      </c>
      <c r="AFN11" s="277">
        <v>0</v>
      </c>
      <c r="AFO11" s="277">
        <v>0</v>
      </c>
      <c r="AFP11" s="277">
        <v>0</v>
      </c>
      <c r="AFQ11" s="277">
        <v>0</v>
      </c>
      <c r="AFR11" s="277">
        <v>0</v>
      </c>
      <c r="AFS11" s="277">
        <v>0</v>
      </c>
      <c r="AFT11" s="277">
        <v>0</v>
      </c>
      <c r="AFU11" s="277">
        <v>0</v>
      </c>
      <c r="AFV11" s="488">
        <v>7300</v>
      </c>
      <c r="AFW11" s="277">
        <v>0</v>
      </c>
      <c r="AFX11" s="235">
        <v>43800</v>
      </c>
      <c r="AFY11" s="220">
        <v>0</v>
      </c>
      <c r="AFZ11" s="220">
        <v>0</v>
      </c>
      <c r="AGA11" s="220">
        <v>0</v>
      </c>
      <c r="AGB11" s="220">
        <v>0</v>
      </c>
      <c r="AGC11" s="220">
        <v>0</v>
      </c>
      <c r="AGD11" s="220">
        <v>0</v>
      </c>
      <c r="AGE11" s="220">
        <v>0</v>
      </c>
      <c r="AGF11" s="220">
        <v>0</v>
      </c>
      <c r="AGG11" s="220">
        <v>0</v>
      </c>
      <c r="AGH11" s="220">
        <v>0</v>
      </c>
      <c r="AGI11" s="220">
        <v>0</v>
      </c>
      <c r="AGJ11" s="220">
        <v>0</v>
      </c>
      <c r="AGK11" s="220">
        <v>0</v>
      </c>
      <c r="AGL11" s="220">
        <v>0</v>
      </c>
      <c r="AGM11" s="220">
        <v>0</v>
      </c>
      <c r="AGN11" s="220">
        <v>0</v>
      </c>
      <c r="AGO11" s="220">
        <v>0</v>
      </c>
      <c r="AGP11" s="220">
        <v>0</v>
      </c>
      <c r="AGQ11" s="220">
        <v>0</v>
      </c>
      <c r="AGR11" s="220">
        <v>0</v>
      </c>
      <c r="AGS11" s="488">
        <v>7300</v>
      </c>
      <c r="AGT11" s="220">
        <v>0</v>
      </c>
      <c r="AGU11" s="488">
        <v>7300</v>
      </c>
      <c r="AGV11" s="220">
        <v>0</v>
      </c>
      <c r="AGW11" s="488">
        <v>7300</v>
      </c>
      <c r="AGX11" s="488">
        <v>7300</v>
      </c>
      <c r="AGY11" s="220">
        <v>0</v>
      </c>
      <c r="AGZ11" s="220">
        <v>0</v>
      </c>
      <c r="AHA11" s="220">
        <v>0</v>
      </c>
      <c r="AHB11" s="220">
        <v>0</v>
      </c>
      <c r="AHC11" s="488">
        <v>7300</v>
      </c>
      <c r="AHD11" s="235">
        <v>36500</v>
      </c>
      <c r="AHE11" s="220">
        <v>0</v>
      </c>
      <c r="AHF11" s="220">
        <v>0</v>
      </c>
      <c r="AHG11" s="220">
        <v>0</v>
      </c>
      <c r="AHH11" s="220">
        <v>0</v>
      </c>
      <c r="AHI11" s="220">
        <v>0</v>
      </c>
      <c r="AHJ11" s="220">
        <v>0</v>
      </c>
      <c r="AHK11" s="220">
        <v>0</v>
      </c>
      <c r="AHL11" s="220">
        <v>0</v>
      </c>
      <c r="AHM11" s="220">
        <v>0</v>
      </c>
      <c r="AHN11" s="488">
        <v>7300</v>
      </c>
      <c r="AHO11" s="488">
        <v>7300</v>
      </c>
      <c r="AHP11" s="220">
        <v>0</v>
      </c>
      <c r="AHQ11" s="220">
        <v>0</v>
      </c>
      <c r="AHR11" s="220">
        <v>0</v>
      </c>
      <c r="AHS11" s="220">
        <v>0</v>
      </c>
      <c r="AHT11" s="220">
        <v>0</v>
      </c>
      <c r="AHU11" s="220">
        <v>0</v>
      </c>
      <c r="AHV11" s="220">
        <v>0</v>
      </c>
      <c r="AHW11" s="220">
        <v>0</v>
      </c>
      <c r="AHX11" s="220">
        <v>0</v>
      </c>
      <c r="AHY11" s="220">
        <v>0</v>
      </c>
      <c r="AHZ11" s="220">
        <v>0</v>
      </c>
      <c r="AIA11" s="220">
        <v>0</v>
      </c>
      <c r="AIB11" s="220">
        <v>0</v>
      </c>
      <c r="AIC11" s="220">
        <v>0</v>
      </c>
      <c r="AID11" s="220">
        <v>0</v>
      </c>
      <c r="AIE11" s="220">
        <v>0</v>
      </c>
      <c r="AIF11" s="220">
        <v>0</v>
      </c>
      <c r="AIG11" s="220">
        <v>0</v>
      </c>
      <c r="AIH11" s="220">
        <v>0</v>
      </c>
      <c r="AII11" s="220">
        <v>0</v>
      </c>
      <c r="AIJ11" s="235">
        <v>14600</v>
      </c>
      <c r="AIK11" s="479">
        <v>0</v>
      </c>
      <c r="AIL11" s="479">
        <v>0</v>
      </c>
      <c r="AIM11" s="479">
        <v>0</v>
      </c>
      <c r="AIN11" s="479">
        <v>0</v>
      </c>
      <c r="AIO11" s="479">
        <v>0</v>
      </c>
      <c r="AIP11" s="479">
        <v>0</v>
      </c>
      <c r="AIQ11" s="479">
        <v>0</v>
      </c>
      <c r="AIR11" s="479">
        <v>0</v>
      </c>
      <c r="AIS11" s="479">
        <v>0</v>
      </c>
      <c r="AIT11" s="479">
        <v>0</v>
      </c>
      <c r="AIU11" s="479">
        <v>0</v>
      </c>
      <c r="AIV11" s="479">
        <v>0</v>
      </c>
      <c r="AIW11" s="479">
        <v>0</v>
      </c>
      <c r="AIX11" s="479">
        <v>0</v>
      </c>
      <c r="AIY11" s="479">
        <v>0</v>
      </c>
      <c r="AIZ11" s="479">
        <v>0</v>
      </c>
      <c r="AJA11" s="479">
        <v>0</v>
      </c>
      <c r="AJB11" s="479">
        <v>0</v>
      </c>
      <c r="AJC11" s="479">
        <v>0</v>
      </c>
      <c r="AJD11" s="479">
        <v>0</v>
      </c>
      <c r="AJE11" s="479">
        <v>0</v>
      </c>
      <c r="AJF11" s="479">
        <v>0</v>
      </c>
      <c r="AJG11" s="479">
        <v>0</v>
      </c>
      <c r="AJH11" s="479">
        <v>0</v>
      </c>
      <c r="AJI11" s="479">
        <v>0</v>
      </c>
      <c r="AJJ11" s="479">
        <v>0</v>
      </c>
      <c r="AJK11" s="479">
        <v>0</v>
      </c>
      <c r="AJL11" s="479">
        <v>0</v>
      </c>
      <c r="AJM11" s="479">
        <v>0</v>
      </c>
      <c r="AJN11" s="479">
        <v>0</v>
      </c>
      <c r="AJO11" s="235">
        <v>0</v>
      </c>
      <c r="AJP11" s="479">
        <v>0</v>
      </c>
      <c r="AJQ11" s="479">
        <v>0</v>
      </c>
      <c r="AJR11" s="479">
        <v>0</v>
      </c>
      <c r="AJS11" s="479">
        <v>0</v>
      </c>
      <c r="AJT11" s="479">
        <v>0</v>
      </c>
      <c r="AJU11" s="498">
        <v>7300</v>
      </c>
      <c r="AJV11" s="479">
        <v>0</v>
      </c>
      <c r="AJW11" s="479">
        <v>0</v>
      </c>
      <c r="AJX11" s="479">
        <v>0</v>
      </c>
      <c r="AJY11" s="498">
        <v>7300</v>
      </c>
      <c r="AJZ11" s="479">
        <v>0</v>
      </c>
      <c r="AKA11" s="479">
        <v>0</v>
      </c>
      <c r="AKB11" s="479">
        <v>0</v>
      </c>
      <c r="AKC11" s="479">
        <v>0</v>
      </c>
      <c r="AKD11" s="479">
        <v>0</v>
      </c>
      <c r="AKE11" s="479">
        <v>0</v>
      </c>
      <c r="AKF11" s="479">
        <v>0</v>
      </c>
      <c r="AKG11" s="479">
        <v>0</v>
      </c>
      <c r="AKH11" s="479">
        <v>0</v>
      </c>
      <c r="AKI11" s="479">
        <v>0</v>
      </c>
      <c r="AKJ11" s="479">
        <v>0</v>
      </c>
      <c r="AKK11" s="479">
        <v>0</v>
      </c>
      <c r="AKL11" s="479">
        <v>0</v>
      </c>
      <c r="AKM11" s="479">
        <v>0</v>
      </c>
      <c r="AKN11" s="479">
        <v>0</v>
      </c>
      <c r="AKO11" s="479">
        <v>0</v>
      </c>
      <c r="AKP11" s="479">
        <v>0</v>
      </c>
      <c r="AKQ11" s="479">
        <v>0</v>
      </c>
      <c r="AKR11" s="498">
        <v>7300</v>
      </c>
      <c r="AKS11" s="479"/>
      <c r="AKT11" s="479">
        <v>0</v>
      </c>
      <c r="AKU11" s="235">
        <v>21900</v>
      </c>
      <c r="AKV11" s="479">
        <v>0</v>
      </c>
      <c r="AKW11" s="479">
        <v>0</v>
      </c>
      <c r="AKX11" s="479">
        <v>0</v>
      </c>
      <c r="AKY11" s="479">
        <v>0</v>
      </c>
      <c r="AKZ11" s="479">
        <v>0</v>
      </c>
      <c r="ALA11" s="479">
        <v>0</v>
      </c>
      <c r="ALB11" s="479">
        <v>0</v>
      </c>
      <c r="ALC11" s="479">
        <v>0</v>
      </c>
      <c r="ALD11" s="479">
        <v>0</v>
      </c>
      <c r="ALE11" s="479">
        <v>0</v>
      </c>
      <c r="ALF11" s="498">
        <v>7300</v>
      </c>
      <c r="ALG11" s="479">
        <v>0</v>
      </c>
      <c r="ALH11" s="498">
        <v>7300</v>
      </c>
      <c r="ALI11" s="498">
        <v>7300</v>
      </c>
      <c r="ALJ11" s="479">
        <v>0</v>
      </c>
      <c r="ALK11" s="479">
        <v>0</v>
      </c>
      <c r="ALL11" s="479">
        <v>0</v>
      </c>
      <c r="ALM11" s="498">
        <v>7300</v>
      </c>
      <c r="ALN11" s="479">
        <v>0</v>
      </c>
      <c r="ALO11" s="479">
        <v>0</v>
      </c>
      <c r="ALP11" s="479">
        <v>0</v>
      </c>
      <c r="ALQ11" s="479">
        <v>0</v>
      </c>
      <c r="ALR11" s="479">
        <v>0</v>
      </c>
      <c r="ALS11" s="498">
        <v>7300</v>
      </c>
      <c r="ALT11" s="479">
        <v>0</v>
      </c>
      <c r="ALU11" s="479">
        <v>0</v>
      </c>
      <c r="ALV11" s="498">
        <v>7300</v>
      </c>
      <c r="ALW11" s="479">
        <v>0</v>
      </c>
      <c r="ALX11" s="479">
        <v>0</v>
      </c>
      <c r="ALY11" s="479"/>
      <c r="ALZ11" s="235">
        <v>43800</v>
      </c>
      <c r="AMA11" s="479">
        <v>0</v>
      </c>
      <c r="AMB11" s="479">
        <v>0</v>
      </c>
      <c r="AMC11" s="479">
        <v>0</v>
      </c>
      <c r="AMD11" s="498">
        <v>7300</v>
      </c>
      <c r="AME11" s="498">
        <v>7300</v>
      </c>
      <c r="AMF11" s="479">
        <v>0</v>
      </c>
      <c r="AMG11" s="498">
        <v>7300</v>
      </c>
      <c r="AMH11" s="479">
        <v>0</v>
      </c>
      <c r="AMI11" s="479">
        <v>0</v>
      </c>
      <c r="AMJ11" s="479">
        <v>0</v>
      </c>
      <c r="AMK11" s="479">
        <v>0</v>
      </c>
      <c r="AML11" s="479">
        <v>0</v>
      </c>
      <c r="AMM11" s="479">
        <v>0</v>
      </c>
      <c r="AMN11" s="479">
        <v>0</v>
      </c>
      <c r="AMO11" s="479">
        <v>0</v>
      </c>
      <c r="AMP11" s="479">
        <v>0</v>
      </c>
      <c r="AMQ11" s="479">
        <v>0</v>
      </c>
      <c r="AMR11" s="479">
        <v>0</v>
      </c>
      <c r="AMS11" s="479">
        <v>0</v>
      </c>
      <c r="AMT11" s="479">
        <v>0</v>
      </c>
      <c r="AMU11" s="479">
        <v>0</v>
      </c>
      <c r="AMV11" s="479">
        <v>0</v>
      </c>
      <c r="AMW11" s="479">
        <v>0</v>
      </c>
      <c r="AMX11" s="479">
        <v>0</v>
      </c>
      <c r="AMY11" s="498">
        <v>7300</v>
      </c>
      <c r="AMZ11" s="479">
        <v>0</v>
      </c>
      <c r="ANA11" s="479">
        <v>0</v>
      </c>
      <c r="ANB11" s="479">
        <v>0</v>
      </c>
      <c r="ANC11" s="498">
        <v>7300</v>
      </c>
      <c r="AND11" s="479"/>
      <c r="ANE11" s="479"/>
      <c r="ANF11" s="235">
        <f t="shared" si="2"/>
        <v>36500</v>
      </c>
      <c r="ANG11" s="239"/>
      <c r="ANH11" s="239">
        <v>0</v>
      </c>
      <c r="ANI11" s="239">
        <v>0</v>
      </c>
      <c r="ANJ11" s="239">
        <v>0</v>
      </c>
      <c r="ANK11" s="239">
        <v>0</v>
      </c>
      <c r="ANL11" s="239">
        <v>0</v>
      </c>
      <c r="ANM11" s="239">
        <v>0</v>
      </c>
      <c r="ANN11" s="239">
        <v>0</v>
      </c>
      <c r="ANO11" s="239">
        <v>0</v>
      </c>
      <c r="ANP11" s="239">
        <v>0</v>
      </c>
      <c r="ANQ11" s="239">
        <v>0</v>
      </c>
      <c r="ANR11" s="239">
        <v>0</v>
      </c>
      <c r="ANS11" s="239">
        <v>0</v>
      </c>
      <c r="ANT11" s="239">
        <v>0</v>
      </c>
      <c r="ANU11" s="239">
        <v>0</v>
      </c>
      <c r="ANV11" s="239">
        <v>0</v>
      </c>
      <c r="ANW11" s="239">
        <v>0</v>
      </c>
      <c r="ANX11" s="238">
        <v>7300.45</v>
      </c>
      <c r="ANY11" s="239">
        <v>0</v>
      </c>
      <c r="ANZ11" s="238">
        <v>7300.45</v>
      </c>
      <c r="AOA11" s="238">
        <v>7300.45</v>
      </c>
      <c r="AOB11" s="239">
        <v>0</v>
      </c>
      <c r="AOC11" s="239">
        <v>0</v>
      </c>
      <c r="AOD11" s="239">
        <v>0</v>
      </c>
      <c r="AOE11" s="238">
        <v>7300.45</v>
      </c>
      <c r="AOF11" s="239">
        <v>0</v>
      </c>
      <c r="AOG11" s="239">
        <v>0</v>
      </c>
      <c r="AOH11" s="239">
        <v>0</v>
      </c>
      <c r="AOI11" s="235">
        <v>29201.8</v>
      </c>
      <c r="AOJ11" s="239">
        <v>0</v>
      </c>
      <c r="AOK11" s="239">
        <v>0</v>
      </c>
      <c r="AOL11" s="239">
        <v>0</v>
      </c>
      <c r="AOM11" s="239">
        <v>0</v>
      </c>
      <c r="AON11" s="239">
        <v>0</v>
      </c>
      <c r="AOO11" s="238">
        <v>7300.45</v>
      </c>
      <c r="AOP11" s="239">
        <v>0</v>
      </c>
      <c r="AOQ11" s="239">
        <v>0</v>
      </c>
      <c r="AOR11" s="239">
        <v>0</v>
      </c>
      <c r="AOS11" s="239">
        <v>0</v>
      </c>
      <c r="AOT11" s="239">
        <v>0</v>
      </c>
      <c r="AOU11" s="477">
        <v>0</v>
      </c>
      <c r="AOV11" s="477">
        <v>0</v>
      </c>
      <c r="AOW11" s="477">
        <v>0</v>
      </c>
      <c r="AOX11" s="477">
        <v>0</v>
      </c>
      <c r="AOY11" s="477">
        <v>0</v>
      </c>
      <c r="AOZ11" s="477">
        <v>0</v>
      </c>
      <c r="APA11" s="238">
        <v>7300.45</v>
      </c>
      <c r="APB11" s="477">
        <v>0</v>
      </c>
      <c r="APC11" s="477">
        <v>0</v>
      </c>
      <c r="APD11" s="238">
        <v>7300.45</v>
      </c>
      <c r="APE11" s="477">
        <v>0</v>
      </c>
      <c r="APF11" s="477">
        <v>0</v>
      </c>
      <c r="APG11" s="238">
        <v>7300.45</v>
      </c>
      <c r="APH11" s="239">
        <v>0</v>
      </c>
      <c r="API11" s="238">
        <v>7300.45</v>
      </c>
      <c r="APJ11" s="239">
        <v>0</v>
      </c>
      <c r="APK11" s="239">
        <v>0</v>
      </c>
      <c r="APL11" s="239">
        <v>0</v>
      </c>
      <c r="APM11" s="239">
        <v>0</v>
      </c>
      <c r="APN11" s="239">
        <v>0</v>
      </c>
      <c r="APO11" s="235">
        <v>36502.25</v>
      </c>
      <c r="APP11" s="239">
        <v>0</v>
      </c>
      <c r="APQ11" s="239">
        <v>0</v>
      </c>
      <c r="APR11" s="239">
        <v>0</v>
      </c>
      <c r="APS11" s="239">
        <v>0</v>
      </c>
      <c r="APT11" s="239">
        <v>0</v>
      </c>
      <c r="APU11" s="516">
        <v>7300.45</v>
      </c>
      <c r="APV11" s="239">
        <v>0</v>
      </c>
      <c r="APW11" s="239">
        <v>0</v>
      </c>
      <c r="APX11" s="239">
        <v>0</v>
      </c>
      <c r="APY11" s="239">
        <v>0</v>
      </c>
      <c r="APZ11" s="239">
        <v>0</v>
      </c>
      <c r="AQA11" s="516">
        <v>7300.45</v>
      </c>
      <c r="AQB11" s="239">
        <v>0</v>
      </c>
      <c r="AQC11" s="239">
        <v>0</v>
      </c>
      <c r="AQD11" s="239">
        <v>0</v>
      </c>
      <c r="AQE11" s="239">
        <v>0</v>
      </c>
      <c r="AQF11" s="239">
        <v>0</v>
      </c>
      <c r="AQG11" s="239">
        <v>0</v>
      </c>
      <c r="AQH11" s="239">
        <v>0</v>
      </c>
      <c r="AQI11" s="239">
        <v>0</v>
      </c>
      <c r="AQJ11" s="239">
        <v>0</v>
      </c>
      <c r="AQK11" s="239">
        <v>0</v>
      </c>
      <c r="AQL11" s="239">
        <v>0</v>
      </c>
      <c r="AQM11" s="239">
        <v>0</v>
      </c>
      <c r="AQN11" s="239">
        <v>0</v>
      </c>
      <c r="AQO11" s="239">
        <v>0</v>
      </c>
      <c r="AQP11" s="516">
        <v>7300.45</v>
      </c>
      <c r="AQQ11" s="239">
        <v>0</v>
      </c>
      <c r="AQR11" s="239">
        <v>0</v>
      </c>
      <c r="AQS11" s="239">
        <v>0</v>
      </c>
      <c r="AQT11" s="235">
        <f t="shared" si="12"/>
        <v>21901.35</v>
      </c>
      <c r="AQU11" s="239">
        <v>0</v>
      </c>
      <c r="AQV11" s="239">
        <v>0</v>
      </c>
      <c r="AQW11" s="239">
        <v>0</v>
      </c>
      <c r="AQX11" s="516">
        <v>7300</v>
      </c>
      <c r="AQY11" s="239">
        <v>0</v>
      </c>
      <c r="AQZ11" s="239">
        <v>0</v>
      </c>
      <c r="ARA11" s="239">
        <v>0</v>
      </c>
      <c r="ARB11" s="239">
        <v>0</v>
      </c>
      <c r="ARC11" s="239">
        <v>0</v>
      </c>
      <c r="ARD11" s="239">
        <v>0</v>
      </c>
      <c r="ARE11" s="239">
        <v>0</v>
      </c>
      <c r="ARF11" s="239">
        <v>0</v>
      </c>
      <c r="ARG11" s="239">
        <v>0</v>
      </c>
      <c r="ARH11" s="239">
        <v>0</v>
      </c>
      <c r="ARI11" s="239">
        <v>0</v>
      </c>
      <c r="ARJ11" s="239">
        <v>0</v>
      </c>
      <c r="ARK11" s="516">
        <v>7300</v>
      </c>
      <c r="ARL11" s="239">
        <v>0</v>
      </c>
      <c r="ARM11" s="239">
        <v>0</v>
      </c>
      <c r="ARN11" s="239">
        <v>0</v>
      </c>
      <c r="ARO11" s="239">
        <v>0</v>
      </c>
      <c r="ARP11" s="239">
        <v>0</v>
      </c>
      <c r="ARQ11" s="239">
        <v>0</v>
      </c>
      <c r="ARR11" s="239">
        <v>0</v>
      </c>
      <c r="ARS11" s="239">
        <v>0</v>
      </c>
      <c r="ART11" s="239">
        <v>0</v>
      </c>
      <c r="ARU11" s="239">
        <v>0</v>
      </c>
      <c r="ARV11" s="239">
        <v>0</v>
      </c>
      <c r="ARW11" s="239">
        <v>0</v>
      </c>
      <c r="ARX11" s="239"/>
      <c r="ARY11" s="239">
        <v>0</v>
      </c>
      <c r="ARZ11" s="235">
        <f t="shared" si="13"/>
        <v>14600</v>
      </c>
      <c r="ASA11" s="239">
        <v>0</v>
      </c>
      <c r="ASB11" s="239">
        <v>0</v>
      </c>
      <c r="ASC11" s="239">
        <v>0</v>
      </c>
      <c r="ASD11" s="239">
        <v>0</v>
      </c>
      <c r="ASE11" s="239">
        <v>0</v>
      </c>
      <c r="ASF11" s="239">
        <v>0</v>
      </c>
      <c r="ASG11" s="239">
        <v>0</v>
      </c>
      <c r="ASH11" s="239">
        <v>0</v>
      </c>
      <c r="ASI11" s="239">
        <v>0</v>
      </c>
      <c r="ASJ11" s="239">
        <v>0</v>
      </c>
      <c r="ASK11" s="239">
        <v>0</v>
      </c>
      <c r="ASL11" s="239">
        <v>0</v>
      </c>
      <c r="ASM11" s="239">
        <v>0</v>
      </c>
      <c r="ASN11" s="239">
        <v>0</v>
      </c>
      <c r="ASO11" s="239">
        <v>0</v>
      </c>
      <c r="ASP11" s="239">
        <v>0</v>
      </c>
      <c r="ASQ11" s="239">
        <v>0</v>
      </c>
      <c r="ASR11" s="239">
        <v>0</v>
      </c>
      <c r="ASS11" s="239">
        <v>0</v>
      </c>
      <c r="AST11" s="239">
        <v>0</v>
      </c>
      <c r="ASU11" s="239">
        <v>0</v>
      </c>
      <c r="ASV11" s="239">
        <v>0</v>
      </c>
      <c r="ASW11" s="239">
        <v>0</v>
      </c>
      <c r="ASX11" s="239">
        <v>0</v>
      </c>
      <c r="ASY11" s="239">
        <v>0</v>
      </c>
      <c r="ASZ11" s="239">
        <v>0</v>
      </c>
      <c r="ATA11" s="239">
        <v>0</v>
      </c>
      <c r="ATB11" s="239">
        <v>0</v>
      </c>
      <c r="ATC11" s="239">
        <v>0</v>
      </c>
      <c r="ATD11" s="239"/>
      <c r="ATE11" s="235">
        <v>0</v>
      </c>
      <c r="ATF11" s="239">
        <v>0</v>
      </c>
      <c r="ATG11" s="239">
        <v>0</v>
      </c>
      <c r="ATH11" s="239">
        <v>0</v>
      </c>
      <c r="ATI11" s="239">
        <v>0</v>
      </c>
      <c r="ATJ11" s="239">
        <v>0</v>
      </c>
      <c r="ATK11" s="239">
        <v>0</v>
      </c>
      <c r="ATL11" s="239">
        <v>0</v>
      </c>
      <c r="ATM11" s="239">
        <v>0</v>
      </c>
      <c r="ATN11" s="239">
        <v>0</v>
      </c>
      <c r="ATO11" s="239">
        <v>0</v>
      </c>
      <c r="ATP11" s="239">
        <v>0</v>
      </c>
      <c r="ATQ11" s="239">
        <v>0</v>
      </c>
      <c r="ATR11" s="239">
        <v>0</v>
      </c>
      <c r="ATS11" s="239">
        <v>0</v>
      </c>
      <c r="ATT11" s="239">
        <v>0</v>
      </c>
      <c r="ATU11" s="239">
        <v>0</v>
      </c>
      <c r="ATV11" s="239">
        <v>0</v>
      </c>
      <c r="ATW11" s="239">
        <v>0</v>
      </c>
      <c r="ATX11" s="239">
        <v>0</v>
      </c>
      <c r="ATY11" s="239">
        <v>0</v>
      </c>
      <c r="ATZ11" s="239">
        <v>0</v>
      </c>
      <c r="AUA11" s="239">
        <v>0</v>
      </c>
      <c r="AUB11" s="239">
        <v>0</v>
      </c>
      <c r="AUC11" s="239">
        <v>0</v>
      </c>
      <c r="AUD11" s="239">
        <v>0</v>
      </c>
      <c r="AUE11" s="239">
        <v>0</v>
      </c>
      <c r="AUF11" s="239">
        <v>0</v>
      </c>
      <c r="AUG11" s="239">
        <v>0</v>
      </c>
      <c r="AUH11" s="239">
        <v>0</v>
      </c>
      <c r="AUI11" s="239">
        <v>0</v>
      </c>
      <c r="AUJ11" s="239"/>
      <c r="AUK11" s="235">
        <v>0</v>
      </c>
      <c r="AUL11" s="239">
        <v>0</v>
      </c>
      <c r="AUM11" s="239">
        <v>0</v>
      </c>
      <c r="AUN11" s="239">
        <v>0</v>
      </c>
      <c r="AUO11" s="239">
        <v>0</v>
      </c>
      <c r="AUP11" s="239">
        <v>0</v>
      </c>
      <c r="AUQ11" s="239">
        <v>0</v>
      </c>
      <c r="AUR11" s="239">
        <v>0</v>
      </c>
      <c r="AUS11" s="239">
        <v>0</v>
      </c>
      <c r="AUT11" s="239">
        <v>0</v>
      </c>
      <c r="AUU11" s="239">
        <v>0</v>
      </c>
      <c r="AUV11" s="239">
        <v>0</v>
      </c>
      <c r="AUW11" s="239">
        <v>0</v>
      </c>
      <c r="AUX11" s="239">
        <v>0</v>
      </c>
      <c r="AUY11" s="239">
        <v>0</v>
      </c>
      <c r="AUZ11" s="239">
        <v>0</v>
      </c>
      <c r="AVA11" s="239">
        <v>0</v>
      </c>
      <c r="AVB11" s="239">
        <v>0</v>
      </c>
      <c r="AVC11" s="239">
        <v>0</v>
      </c>
      <c r="AVD11" s="239">
        <v>0</v>
      </c>
      <c r="AVE11" s="239">
        <v>0</v>
      </c>
      <c r="AVF11" s="239">
        <v>0</v>
      </c>
      <c r="AVG11" s="239">
        <v>0</v>
      </c>
      <c r="AVH11" s="239">
        <v>0</v>
      </c>
      <c r="AVI11" s="239">
        <v>0</v>
      </c>
      <c r="AVJ11" s="239">
        <v>0</v>
      </c>
      <c r="AVK11" s="239">
        <v>0</v>
      </c>
      <c r="AVL11" s="239">
        <v>0</v>
      </c>
      <c r="AVM11" s="239">
        <v>0</v>
      </c>
      <c r="AVN11" s="239">
        <v>0</v>
      </c>
      <c r="AVO11" s="239">
        <v>0</v>
      </c>
      <c r="AVP11" s="239"/>
      <c r="AVQ11" s="235">
        <f t="shared" si="3"/>
        <v>0</v>
      </c>
      <c r="AVR11" s="239">
        <v>0</v>
      </c>
      <c r="AVS11" s="239">
        <v>0</v>
      </c>
      <c r="AVT11" s="239">
        <v>0</v>
      </c>
      <c r="AVU11" s="239">
        <v>0</v>
      </c>
      <c r="AVV11" s="239">
        <v>0</v>
      </c>
      <c r="AVW11" s="239">
        <v>0</v>
      </c>
      <c r="AVX11" s="239">
        <v>0</v>
      </c>
      <c r="AVY11" s="239">
        <v>0</v>
      </c>
      <c r="AVZ11" s="239">
        <v>0</v>
      </c>
      <c r="AWA11" s="239">
        <v>0</v>
      </c>
      <c r="AWB11" s="239">
        <v>0</v>
      </c>
      <c r="AWC11" s="239">
        <v>0</v>
      </c>
      <c r="AWD11" s="239">
        <v>0</v>
      </c>
      <c r="AWE11" s="239">
        <v>0</v>
      </c>
      <c r="AWF11" s="239">
        <v>0</v>
      </c>
      <c r="AWG11" s="239">
        <v>0</v>
      </c>
      <c r="AWH11" s="239">
        <v>0</v>
      </c>
      <c r="AWI11" s="239">
        <v>0</v>
      </c>
      <c r="AWJ11" s="239">
        <v>0</v>
      </c>
      <c r="AWK11" s="239">
        <v>0</v>
      </c>
      <c r="AWL11" s="239">
        <v>0</v>
      </c>
      <c r="AWM11" s="239">
        <v>0</v>
      </c>
      <c r="AWN11" s="239">
        <v>0</v>
      </c>
      <c r="AWO11" s="239">
        <v>0</v>
      </c>
      <c r="AWP11" s="239">
        <v>0</v>
      </c>
      <c r="AWQ11" s="239">
        <v>0</v>
      </c>
      <c r="AWR11" s="239">
        <v>0</v>
      </c>
      <c r="AWS11" s="239">
        <v>0</v>
      </c>
      <c r="AWT11" s="239">
        <v>0</v>
      </c>
      <c r="AWU11" s="239">
        <v>0</v>
      </c>
      <c r="AWV11" s="235">
        <v>0</v>
      </c>
      <c r="AWW11" s="239">
        <v>0</v>
      </c>
      <c r="AWX11" s="239">
        <v>0</v>
      </c>
      <c r="AWY11" s="239">
        <v>0</v>
      </c>
      <c r="AWZ11" s="239">
        <v>0</v>
      </c>
      <c r="AXA11" s="239">
        <v>0</v>
      </c>
      <c r="AXB11" s="239">
        <v>0</v>
      </c>
      <c r="AXC11" s="239">
        <v>0</v>
      </c>
      <c r="AXD11" s="239">
        <v>0</v>
      </c>
      <c r="AXE11" s="239">
        <v>0</v>
      </c>
      <c r="AXF11" s="239">
        <v>0</v>
      </c>
      <c r="AXG11" s="239">
        <v>0</v>
      </c>
      <c r="AXH11" s="239">
        <v>0</v>
      </c>
      <c r="AXI11" s="239">
        <v>0</v>
      </c>
      <c r="AXJ11" s="239">
        <v>0</v>
      </c>
      <c r="AXK11" s="239">
        <v>0</v>
      </c>
      <c r="AXL11" s="239">
        <v>0</v>
      </c>
      <c r="AXM11" s="239">
        <v>0</v>
      </c>
      <c r="AXN11" s="239">
        <v>0</v>
      </c>
      <c r="AXO11" s="239">
        <v>0</v>
      </c>
      <c r="AXP11" s="239">
        <v>0</v>
      </c>
      <c r="AXQ11" s="239">
        <v>0</v>
      </c>
      <c r="AXR11" s="239">
        <v>0</v>
      </c>
      <c r="AXS11" s="239">
        <v>0</v>
      </c>
      <c r="AXT11" s="239">
        <v>0</v>
      </c>
      <c r="AXU11" s="239">
        <v>0</v>
      </c>
      <c r="AXV11" s="239">
        <v>0</v>
      </c>
      <c r="AXW11" s="239">
        <v>0</v>
      </c>
      <c r="AXX11" s="239">
        <v>0</v>
      </c>
      <c r="AXY11" s="239">
        <v>0</v>
      </c>
      <c r="AXZ11" s="239">
        <v>0</v>
      </c>
      <c r="AYA11" s="239">
        <v>0</v>
      </c>
      <c r="AYB11" s="235">
        <v>0</v>
      </c>
      <c r="AYC11" s="239">
        <v>0</v>
      </c>
      <c r="AYD11" s="239">
        <v>0</v>
      </c>
      <c r="AYE11" s="239">
        <v>0</v>
      </c>
      <c r="AYF11" s="239">
        <v>0</v>
      </c>
      <c r="AYG11" s="239">
        <v>0</v>
      </c>
      <c r="AYH11" s="239">
        <v>0</v>
      </c>
      <c r="AYI11" s="239">
        <v>0</v>
      </c>
      <c r="AYJ11" s="239">
        <v>0</v>
      </c>
      <c r="AYK11" s="239">
        <v>0</v>
      </c>
      <c r="AYL11" s="239">
        <v>0</v>
      </c>
      <c r="AYM11" s="239">
        <v>0</v>
      </c>
      <c r="AYN11" s="239">
        <v>0</v>
      </c>
      <c r="AYO11" s="239">
        <v>0</v>
      </c>
      <c r="AYP11" s="239">
        <v>0</v>
      </c>
      <c r="AYQ11" s="239">
        <v>0</v>
      </c>
      <c r="AYR11" s="239">
        <v>0</v>
      </c>
      <c r="AYS11" s="239">
        <v>0</v>
      </c>
      <c r="AYT11" s="239">
        <v>0</v>
      </c>
      <c r="AYU11" s="239">
        <v>0</v>
      </c>
      <c r="AYV11" s="239">
        <v>0</v>
      </c>
      <c r="AYW11" s="239">
        <v>0</v>
      </c>
      <c r="AYX11" s="239">
        <v>0</v>
      </c>
      <c r="AYY11" s="239">
        <v>0</v>
      </c>
      <c r="AYZ11" s="239">
        <v>0</v>
      </c>
      <c r="AZA11" s="239">
        <v>0</v>
      </c>
      <c r="AZB11" s="239">
        <v>0</v>
      </c>
      <c r="AZC11" s="239">
        <v>0</v>
      </c>
      <c r="AZD11" s="239">
        <v>0</v>
      </c>
      <c r="AZE11" s="239">
        <v>0</v>
      </c>
      <c r="AZF11" s="239">
        <v>0</v>
      </c>
      <c r="AZG11" s="235">
        <v>0</v>
      </c>
      <c r="AZH11" s="239">
        <v>0</v>
      </c>
      <c r="AZI11" s="239">
        <v>0</v>
      </c>
      <c r="AZJ11" s="239">
        <v>0</v>
      </c>
      <c r="AZK11" s="239">
        <v>0</v>
      </c>
      <c r="AZL11" s="239">
        <v>0</v>
      </c>
      <c r="AZM11" s="239">
        <v>0</v>
      </c>
      <c r="AZN11" s="239">
        <v>0</v>
      </c>
      <c r="AZO11" s="239">
        <v>0</v>
      </c>
      <c r="AZP11" s="239">
        <v>0</v>
      </c>
      <c r="AZQ11" s="239">
        <v>0</v>
      </c>
      <c r="AZR11" s="239">
        <v>0</v>
      </c>
      <c r="AZS11" s="239">
        <v>0</v>
      </c>
      <c r="AZT11" s="239">
        <v>0</v>
      </c>
      <c r="AZU11" s="239">
        <v>0</v>
      </c>
      <c r="AZV11" s="239">
        <v>0</v>
      </c>
      <c r="AZW11" s="239">
        <v>0</v>
      </c>
      <c r="AZX11" s="239">
        <v>0</v>
      </c>
      <c r="AZY11" s="239">
        <v>0</v>
      </c>
      <c r="AZZ11" s="239">
        <v>0</v>
      </c>
      <c r="BAA11" s="239">
        <v>0</v>
      </c>
      <c r="BAB11" s="239">
        <v>0</v>
      </c>
      <c r="BAC11" s="239">
        <v>0</v>
      </c>
      <c r="BAD11" s="239">
        <v>0</v>
      </c>
      <c r="BAE11" s="239">
        <v>0</v>
      </c>
      <c r="BAF11" s="239">
        <v>0</v>
      </c>
      <c r="BAG11" s="239">
        <v>0</v>
      </c>
      <c r="BAH11" s="239">
        <v>0</v>
      </c>
      <c r="BAI11" s="239">
        <v>0</v>
      </c>
      <c r="BAJ11" s="239">
        <v>0</v>
      </c>
      <c r="BAK11" s="239">
        <v>0</v>
      </c>
      <c r="BAL11" s="239">
        <v>0</v>
      </c>
      <c r="BAM11" s="235">
        <v>0</v>
      </c>
    </row>
    <row r="12" spans="2:1392" s="243" customFormat="1">
      <c r="B12" s="527" t="s">
        <v>360</v>
      </c>
      <c r="C12" s="525">
        <f>Actual!F215/1000</f>
        <v>0</v>
      </c>
      <c r="D12" s="525">
        <f>Actual!G215/1000</f>
        <v>0</v>
      </c>
      <c r="E12" s="525">
        <f>Actual!H215/1000</f>
        <v>0</v>
      </c>
      <c r="F12" s="525">
        <f>Actual!I215/1000</f>
        <v>0</v>
      </c>
      <c r="G12" s="525">
        <f>Actual!J215/1000</f>
        <v>0</v>
      </c>
      <c r="H12" s="525">
        <f>Actual!K215/1000</f>
        <v>0</v>
      </c>
      <c r="I12" s="525">
        <f>Actual!L215/1000</f>
        <v>0</v>
      </c>
      <c r="J12" s="525">
        <f>Actual!M215/1000</f>
        <v>0</v>
      </c>
      <c r="K12" s="525">
        <f>Actual!N215/1000</f>
        <v>0</v>
      </c>
      <c r="L12" s="525">
        <f>Actual!O215/1000</f>
        <v>0</v>
      </c>
      <c r="M12" s="525">
        <f>Actual!P215/1000</f>
        <v>0</v>
      </c>
      <c r="N12" s="525">
        <f>Actual!Q215/1000</f>
        <v>0</v>
      </c>
      <c r="O12" s="525">
        <f>Actual!R215/1000</f>
        <v>0</v>
      </c>
      <c r="P12" s="525">
        <f>Actual!S215/1000</f>
        <v>0</v>
      </c>
      <c r="Q12" s="525">
        <f>Actual!T215/1000</f>
        <v>0</v>
      </c>
      <c r="R12" s="525">
        <f>Actual!U215/1000</f>
        <v>0</v>
      </c>
      <c r="S12" s="525">
        <f>Actual!V215/1000</f>
        <v>0</v>
      </c>
      <c r="T12" s="525">
        <f>Actual!W215/1000</f>
        <v>0</v>
      </c>
      <c r="U12" s="525">
        <f>Actual!X215/1000</f>
        <v>0</v>
      </c>
      <c r="V12" s="525">
        <f>Actual!Y215/1000</f>
        <v>0</v>
      </c>
      <c r="W12" s="525">
        <f>Actual!Z215/1000</f>
        <v>0</v>
      </c>
      <c r="X12" s="525">
        <f>Actual!AA215/1000</f>
        <v>0</v>
      </c>
      <c r="Y12" s="525">
        <f>Actual!AB215/1000</f>
        <v>0</v>
      </c>
      <c r="Z12" s="525">
        <f>Actual!AC215/1000</f>
        <v>0</v>
      </c>
      <c r="AA12" s="525">
        <f>Actual!AD215/1000</f>
        <v>0</v>
      </c>
      <c r="AB12" s="525">
        <f>Actual!AE215/1000</f>
        <v>0</v>
      </c>
      <c r="AC12" s="525">
        <f>Actual!AF215/1000</f>
        <v>0</v>
      </c>
      <c r="AD12" s="525">
        <f>Actual!AG215/1000</f>
        <v>0</v>
      </c>
      <c r="AE12" s="525">
        <f>Actual!AH215/1000</f>
        <v>0</v>
      </c>
      <c r="AF12" s="525">
        <f>Actual!AI215/1000</f>
        <v>0</v>
      </c>
      <c r="AG12" s="525">
        <f>Actual!AJ215/1000</f>
        <v>0</v>
      </c>
      <c r="AH12" s="242">
        <f>SUM(C12:AG12)</f>
        <v>0</v>
      </c>
      <c r="AI12" s="239">
        <v>0</v>
      </c>
      <c r="AJ12" s="239">
        <v>0</v>
      </c>
      <c r="AK12" s="258">
        <v>7262.3790000000008</v>
      </c>
      <c r="AL12" s="239">
        <v>0</v>
      </c>
      <c r="AM12" s="239">
        <v>0</v>
      </c>
      <c r="AN12" s="239">
        <v>0</v>
      </c>
      <c r="AO12" s="239">
        <v>0</v>
      </c>
      <c r="AP12" s="239">
        <v>0</v>
      </c>
      <c r="AQ12" s="239">
        <v>0</v>
      </c>
      <c r="AR12" s="239">
        <v>0</v>
      </c>
      <c r="AS12" s="239">
        <v>0</v>
      </c>
      <c r="AT12" s="258">
        <v>7383.5780000000004</v>
      </c>
      <c r="AU12" s="239">
        <v>0</v>
      </c>
      <c r="AV12" s="258">
        <v>7319.7219999999998</v>
      </c>
      <c r="AW12" s="239">
        <v>0</v>
      </c>
      <c r="AX12" s="239"/>
      <c r="AY12" s="239"/>
      <c r="AZ12" s="239"/>
      <c r="BA12" s="239"/>
      <c r="BB12" s="239"/>
      <c r="BC12" s="250"/>
      <c r="BD12" s="239"/>
      <c r="BE12" s="239"/>
      <c r="BF12" s="239"/>
      <c r="BG12" s="239"/>
      <c r="BH12" s="239"/>
      <c r="BI12" s="239"/>
      <c r="BJ12" s="239"/>
      <c r="BK12" s="242">
        <f t="shared" si="8"/>
        <v>21965.679000000004</v>
      </c>
      <c r="BL12" s="238">
        <v>7388.1289999999999</v>
      </c>
      <c r="BM12" s="239"/>
      <c r="BN12" s="236"/>
      <c r="BO12" s="239"/>
      <c r="BP12" s="236"/>
      <c r="BQ12" s="239"/>
      <c r="BR12" s="239"/>
      <c r="BS12" s="239"/>
      <c r="BT12" s="238">
        <v>7307.0140000000001</v>
      </c>
      <c r="BU12" s="239"/>
      <c r="BV12" s="238">
        <v>14741.308999999999</v>
      </c>
      <c r="BW12" s="239"/>
      <c r="BX12" s="239"/>
      <c r="BY12" s="238">
        <v>7320.3069999999998</v>
      </c>
      <c r="BZ12" s="239"/>
      <c r="CA12" s="239"/>
      <c r="CB12" s="239">
        <v>0</v>
      </c>
      <c r="CC12" s="238">
        <v>14735.99</v>
      </c>
      <c r="CD12" s="239">
        <v>0</v>
      </c>
      <c r="CE12" s="239">
        <v>0</v>
      </c>
      <c r="CF12" s="239">
        <v>0</v>
      </c>
      <c r="CG12" s="239">
        <v>0</v>
      </c>
      <c r="CH12" s="239">
        <v>0</v>
      </c>
      <c r="CI12" s="238">
        <v>7315.1270000000004</v>
      </c>
      <c r="CJ12" s="239">
        <v>0</v>
      </c>
      <c r="CK12" s="239">
        <v>0</v>
      </c>
      <c r="CL12" s="239">
        <v>0</v>
      </c>
      <c r="CM12" s="239">
        <v>0</v>
      </c>
      <c r="CN12" s="239"/>
      <c r="CO12" s="239"/>
      <c r="CP12" s="239"/>
      <c r="CQ12" s="242">
        <f t="shared" si="16"/>
        <v>58807.875999999997</v>
      </c>
      <c r="CR12" s="239"/>
      <c r="CS12" s="239"/>
      <c r="CT12" s="239">
        <v>0</v>
      </c>
      <c r="CU12" s="238">
        <v>7355.5649999999996</v>
      </c>
      <c r="CV12" s="239">
        <v>0</v>
      </c>
      <c r="CW12" s="239">
        <v>0</v>
      </c>
      <c r="CX12" s="239">
        <v>0</v>
      </c>
      <c r="CY12" s="239">
        <v>0</v>
      </c>
      <c r="CZ12" s="239">
        <v>0</v>
      </c>
      <c r="DA12" s="239">
        <v>0</v>
      </c>
      <c r="DB12" s="258">
        <v>14700.791999999999</v>
      </c>
      <c r="DC12" s="239">
        <v>0</v>
      </c>
      <c r="DD12" s="239">
        <v>0</v>
      </c>
      <c r="DE12" s="238">
        <v>7352.1639999999998</v>
      </c>
      <c r="DF12" s="238">
        <v>7316.9679999999998</v>
      </c>
      <c r="DG12" s="239"/>
      <c r="DH12" s="239"/>
      <c r="DI12" s="201"/>
      <c r="DJ12" s="239"/>
      <c r="DK12" s="194"/>
      <c r="DL12" s="194"/>
      <c r="DM12" s="239"/>
      <c r="DN12" s="201"/>
      <c r="DO12" s="239"/>
      <c r="DP12" s="239"/>
      <c r="DQ12" s="239"/>
      <c r="DR12" s="239"/>
      <c r="DS12" s="201"/>
      <c r="DT12" s="239"/>
      <c r="DU12" s="239"/>
      <c r="DV12" s="239"/>
      <c r="DW12" s="242">
        <f t="shared" si="17"/>
        <v>36725.489000000001</v>
      </c>
      <c r="DX12" s="239"/>
      <c r="DY12" s="239"/>
      <c r="DZ12" s="236"/>
      <c r="EA12" s="239"/>
      <c r="EB12" s="236"/>
      <c r="EC12" s="239"/>
      <c r="ED12" s="239"/>
      <c r="EE12" s="239"/>
      <c r="EF12" s="239"/>
      <c r="EG12" s="239"/>
      <c r="EH12" s="239"/>
      <c r="EI12" s="201"/>
      <c r="EJ12" s="238">
        <v>7311.2219999999998</v>
      </c>
      <c r="EK12" s="238">
        <v>0</v>
      </c>
      <c r="EL12" s="201"/>
      <c r="EM12" s="201"/>
      <c r="EN12" s="239"/>
      <c r="EO12" s="201"/>
      <c r="EP12" s="239"/>
      <c r="EQ12" s="194"/>
      <c r="ER12" s="194"/>
      <c r="ES12" s="239"/>
      <c r="ET12" s="201"/>
      <c r="EU12" s="239"/>
      <c r="EV12" s="239"/>
      <c r="EW12" s="239"/>
      <c r="EX12" s="239"/>
      <c r="EY12" s="201"/>
      <c r="EZ12" s="239"/>
      <c r="FA12" s="239"/>
      <c r="FB12" s="239"/>
      <c r="FC12" s="242">
        <f t="shared" si="18"/>
        <v>7311.2219999999998</v>
      </c>
      <c r="FD12" s="239"/>
      <c r="FE12" s="239"/>
      <c r="FF12" s="238">
        <v>7302.4570000000003</v>
      </c>
      <c r="FG12" s="239"/>
      <c r="FH12" s="239"/>
      <c r="FI12" s="239"/>
      <c r="FJ12" s="239"/>
      <c r="FK12" s="239"/>
      <c r="FL12" s="239"/>
      <c r="FM12" s="238">
        <v>7346.4979999999996</v>
      </c>
      <c r="FN12" s="239"/>
      <c r="FO12" s="239"/>
      <c r="FP12" s="239"/>
      <c r="FQ12" s="239"/>
      <c r="FR12" s="238">
        <v>7385.7559999999994</v>
      </c>
      <c r="FS12" s="239"/>
      <c r="FT12" s="239"/>
      <c r="FU12" s="201"/>
      <c r="FV12" s="239"/>
      <c r="FW12" s="194"/>
      <c r="FX12" s="194"/>
      <c r="FY12" s="239"/>
      <c r="FZ12" s="201"/>
      <c r="GA12" s="239"/>
      <c r="GB12" s="239"/>
      <c r="GC12" s="239"/>
      <c r="GD12" s="239"/>
      <c r="GE12" s="201"/>
      <c r="GF12" s="239"/>
      <c r="GG12" s="239"/>
      <c r="GH12" s="239"/>
      <c r="GI12" s="242">
        <f t="shared" si="19"/>
        <v>22034.710999999999</v>
      </c>
      <c r="GJ12" s="239"/>
      <c r="GK12" s="239"/>
      <c r="GL12" s="236"/>
      <c r="GM12" s="239"/>
      <c r="GN12" s="239"/>
      <c r="GO12" s="239"/>
      <c r="GP12" s="239"/>
      <c r="GQ12" s="238">
        <v>7319.777</v>
      </c>
      <c r="GR12" s="239"/>
      <c r="GS12" s="239"/>
      <c r="GT12" s="238">
        <v>7369.0729999999994</v>
      </c>
      <c r="GU12" s="239">
        <v>0</v>
      </c>
      <c r="GV12" s="239">
        <v>0</v>
      </c>
      <c r="GW12" s="239">
        <v>0</v>
      </c>
      <c r="GX12" s="239">
        <v>0</v>
      </c>
      <c r="GY12" s="238">
        <v>7314.89</v>
      </c>
      <c r="GZ12" s="239">
        <v>0</v>
      </c>
      <c r="HA12" s="239">
        <v>0</v>
      </c>
      <c r="HB12" s="239">
        <v>0</v>
      </c>
      <c r="HC12" s="239">
        <v>0</v>
      </c>
      <c r="HD12" s="239">
        <v>0</v>
      </c>
      <c r="HE12" s="239">
        <v>0</v>
      </c>
      <c r="HF12" s="239">
        <v>0</v>
      </c>
      <c r="HG12" s="239"/>
      <c r="HH12" s="238">
        <v>7304.4849999999997</v>
      </c>
      <c r="HI12" s="239">
        <v>0</v>
      </c>
      <c r="HJ12" s="239">
        <v>0</v>
      </c>
      <c r="HK12" s="239">
        <v>0</v>
      </c>
      <c r="HL12" s="239">
        <v>0</v>
      </c>
      <c r="HM12" s="239">
        <v>0</v>
      </c>
      <c r="HN12" s="238">
        <v>7112.2129999999997</v>
      </c>
      <c r="HO12" s="242">
        <f t="shared" si="20"/>
        <v>36420.437999999995</v>
      </c>
      <c r="HP12" s="239"/>
      <c r="HQ12" s="239"/>
      <c r="HR12" s="239"/>
      <c r="HS12" s="239"/>
      <c r="HT12" s="239"/>
      <c r="HU12" s="239"/>
      <c r="HV12" s="239"/>
      <c r="HW12" s="239"/>
      <c r="HX12" s="239"/>
      <c r="HY12" s="239"/>
      <c r="HZ12" s="239"/>
      <c r="IA12" s="239"/>
      <c r="IB12" s="239">
        <v>0</v>
      </c>
      <c r="IC12" s="239">
        <v>0</v>
      </c>
      <c r="ID12" s="239"/>
      <c r="IE12" s="239">
        <v>0</v>
      </c>
      <c r="IF12" s="239">
        <v>0</v>
      </c>
      <c r="IG12" s="239">
        <v>0</v>
      </c>
      <c r="IH12" s="239">
        <v>0</v>
      </c>
      <c r="II12" s="239">
        <v>0</v>
      </c>
      <c r="IJ12" s="239">
        <v>0</v>
      </c>
      <c r="IK12" s="239">
        <v>0</v>
      </c>
      <c r="IL12" s="238">
        <v>7113.6210000000001</v>
      </c>
      <c r="IM12" s="239">
        <v>0</v>
      </c>
      <c r="IN12" s="239">
        <v>0</v>
      </c>
      <c r="IO12" s="239">
        <v>0</v>
      </c>
      <c r="IP12" s="238">
        <v>7318.4560000000001</v>
      </c>
      <c r="IQ12" s="239">
        <v>0</v>
      </c>
      <c r="IR12" s="239">
        <v>0</v>
      </c>
      <c r="IS12" s="239"/>
      <c r="IT12" s="239"/>
      <c r="IU12" s="242">
        <f t="shared" si="21"/>
        <v>14432.077000000001</v>
      </c>
      <c r="IV12" s="238">
        <v>7307.5079999999998</v>
      </c>
      <c r="IW12" s="239">
        <v>0</v>
      </c>
      <c r="IX12" s="289">
        <v>0</v>
      </c>
      <c r="IY12" s="239">
        <v>0</v>
      </c>
      <c r="IZ12" s="239">
        <v>0</v>
      </c>
      <c r="JA12" s="239">
        <v>0</v>
      </c>
      <c r="JB12" s="239">
        <v>0</v>
      </c>
      <c r="JC12" s="239">
        <v>0</v>
      </c>
      <c r="JD12" s="239">
        <v>0</v>
      </c>
      <c r="JE12" s="239">
        <v>0</v>
      </c>
      <c r="JF12" s="239">
        <v>0</v>
      </c>
      <c r="JG12" s="239">
        <v>0</v>
      </c>
      <c r="JH12" s="239">
        <v>0</v>
      </c>
      <c r="JI12" s="238">
        <v>0</v>
      </c>
      <c r="JJ12" s="239">
        <v>0</v>
      </c>
      <c r="JK12" s="238">
        <v>0</v>
      </c>
      <c r="JL12" s="238">
        <v>0</v>
      </c>
      <c r="JM12" s="238">
        <v>0</v>
      </c>
      <c r="JN12" s="239">
        <v>0</v>
      </c>
      <c r="JO12" s="239">
        <v>0</v>
      </c>
      <c r="JP12" s="239">
        <v>0</v>
      </c>
      <c r="JQ12" s="239">
        <v>0</v>
      </c>
      <c r="JR12" s="239">
        <v>0</v>
      </c>
      <c r="JS12" s="239">
        <v>0</v>
      </c>
      <c r="JT12" s="239">
        <v>0</v>
      </c>
      <c r="JU12" s="239">
        <v>0</v>
      </c>
      <c r="JV12" s="239">
        <v>0</v>
      </c>
      <c r="JW12" s="239">
        <v>0</v>
      </c>
      <c r="JX12" s="239">
        <v>0</v>
      </c>
      <c r="JY12" s="239">
        <v>0</v>
      </c>
      <c r="JZ12" s="239"/>
      <c r="KA12" s="242">
        <f t="shared" si="22"/>
        <v>7307.5079999999998</v>
      </c>
      <c r="KB12" s="239">
        <v>0</v>
      </c>
      <c r="KC12" s="239">
        <v>0</v>
      </c>
      <c r="KD12" s="258">
        <v>7327.2020000000002</v>
      </c>
      <c r="KE12" s="258">
        <v>7302.902</v>
      </c>
      <c r="KF12" s="239">
        <v>0</v>
      </c>
      <c r="KG12" s="258">
        <v>7327.7060000000001</v>
      </c>
      <c r="KH12" s="239">
        <v>0</v>
      </c>
      <c r="KI12" s="258">
        <v>7346.53</v>
      </c>
      <c r="KJ12" s="239">
        <v>0</v>
      </c>
      <c r="KK12" s="239">
        <v>0</v>
      </c>
      <c r="KL12" s="239">
        <v>0</v>
      </c>
      <c r="KM12" s="239">
        <v>0</v>
      </c>
      <c r="KN12" s="239">
        <v>0</v>
      </c>
      <c r="KO12" s="239">
        <v>0</v>
      </c>
      <c r="KP12" s="239">
        <v>0</v>
      </c>
      <c r="KQ12" s="258">
        <v>7300.8829999999998</v>
      </c>
      <c r="KR12" s="258">
        <v>7303.5529999999999</v>
      </c>
      <c r="KS12" s="239">
        <v>0</v>
      </c>
      <c r="KT12" s="239">
        <v>0</v>
      </c>
      <c r="KU12" s="239">
        <v>0</v>
      </c>
      <c r="KV12" s="239">
        <v>0</v>
      </c>
      <c r="KW12" s="239">
        <v>0</v>
      </c>
      <c r="KX12" s="239">
        <v>0</v>
      </c>
      <c r="KY12" s="239">
        <v>0</v>
      </c>
      <c r="KZ12" s="239">
        <v>0</v>
      </c>
      <c r="LA12" s="239">
        <v>0</v>
      </c>
      <c r="LB12" s="239">
        <v>0</v>
      </c>
      <c r="LC12" s="239">
        <v>0</v>
      </c>
      <c r="LD12" s="239">
        <v>0</v>
      </c>
      <c r="LE12" s="239">
        <v>0</v>
      </c>
      <c r="LF12" s="258">
        <v>7333.37</v>
      </c>
      <c r="LG12" s="242">
        <f t="shared" si="23"/>
        <v>51242.146000000001</v>
      </c>
      <c r="LH12" s="239">
        <v>0</v>
      </c>
      <c r="LI12" s="239">
        <v>0</v>
      </c>
      <c r="LJ12" s="239">
        <v>0</v>
      </c>
      <c r="LK12" s="239">
        <v>0</v>
      </c>
      <c r="LL12" s="239">
        <v>0</v>
      </c>
      <c r="LM12" s="239">
        <v>0</v>
      </c>
      <c r="LN12" s="239">
        <v>0</v>
      </c>
      <c r="LO12" s="239">
        <v>0</v>
      </c>
      <c r="LP12" s="239">
        <v>0</v>
      </c>
      <c r="LQ12" s="239">
        <v>0</v>
      </c>
      <c r="LR12" s="239">
        <v>0</v>
      </c>
      <c r="LS12" s="239">
        <v>0</v>
      </c>
      <c r="LT12" s="239">
        <v>0</v>
      </c>
      <c r="LU12" s="239">
        <v>0</v>
      </c>
      <c r="LV12" s="239">
        <v>0</v>
      </c>
      <c r="LW12" s="239">
        <v>0</v>
      </c>
      <c r="LX12" s="239">
        <v>0</v>
      </c>
      <c r="LY12" s="239">
        <v>0</v>
      </c>
      <c r="LZ12" s="239">
        <v>0</v>
      </c>
      <c r="MA12" s="238">
        <v>14653.527</v>
      </c>
      <c r="MB12" s="238">
        <v>7345.76</v>
      </c>
      <c r="MC12" s="239">
        <v>0</v>
      </c>
      <c r="MD12" s="238">
        <v>7327.51</v>
      </c>
      <c r="ME12" s="239">
        <v>0</v>
      </c>
      <c r="MF12" s="258">
        <v>7305.0290000000005</v>
      </c>
      <c r="MG12" s="239">
        <v>0</v>
      </c>
      <c r="MH12" s="239">
        <v>0</v>
      </c>
      <c r="MI12" s="239">
        <v>0</v>
      </c>
      <c r="MJ12" s="239">
        <v>0</v>
      </c>
      <c r="MK12" s="239">
        <v>0</v>
      </c>
      <c r="ML12" s="239">
        <v>0</v>
      </c>
      <c r="MM12" s="242">
        <f t="shared" si="24"/>
        <v>36631.826000000001</v>
      </c>
      <c r="MN12" s="239">
        <v>0</v>
      </c>
      <c r="MO12" s="239">
        <v>0</v>
      </c>
      <c r="MP12" s="239">
        <v>0</v>
      </c>
      <c r="MQ12" s="239">
        <v>0</v>
      </c>
      <c r="MR12" s="239">
        <v>0</v>
      </c>
      <c r="MS12" s="239">
        <v>0</v>
      </c>
      <c r="MT12" s="239">
        <v>0</v>
      </c>
      <c r="MU12" s="258">
        <v>7346.8230000000003</v>
      </c>
      <c r="MV12" s="239">
        <v>0</v>
      </c>
      <c r="MW12" s="239">
        <v>0</v>
      </c>
      <c r="MX12" s="239">
        <v>0</v>
      </c>
      <c r="MY12" s="239">
        <v>0</v>
      </c>
      <c r="MZ12" s="239">
        <v>0</v>
      </c>
      <c r="NA12" s="239">
        <v>0</v>
      </c>
      <c r="NB12" s="239">
        <v>0</v>
      </c>
      <c r="NC12" s="239">
        <v>0</v>
      </c>
      <c r="ND12" s="239">
        <v>0</v>
      </c>
      <c r="NE12" s="239">
        <v>0</v>
      </c>
      <c r="NF12" s="258">
        <v>7325.4440000000004</v>
      </c>
      <c r="NG12" s="239">
        <v>0</v>
      </c>
      <c r="NH12" s="239">
        <v>0</v>
      </c>
      <c r="NI12" s="239">
        <v>0</v>
      </c>
      <c r="NJ12" s="239">
        <v>0</v>
      </c>
      <c r="NK12" s="239">
        <v>0</v>
      </c>
      <c r="NL12" s="239">
        <v>0</v>
      </c>
      <c r="NM12" s="239">
        <v>0</v>
      </c>
      <c r="NN12" s="258">
        <v>7360.5740000000005</v>
      </c>
      <c r="NO12" s="239">
        <v>0</v>
      </c>
      <c r="NP12" s="239">
        <v>0</v>
      </c>
      <c r="NQ12" s="239">
        <v>0</v>
      </c>
      <c r="NR12" s="239">
        <v>0</v>
      </c>
      <c r="NS12" s="242">
        <f>SUM(MN12:NR12)</f>
        <v>22032.841</v>
      </c>
      <c r="NT12" s="239">
        <v>0</v>
      </c>
      <c r="NU12" s="239">
        <v>0</v>
      </c>
      <c r="NV12" s="258">
        <v>7347.9340000000002</v>
      </c>
      <c r="NW12" s="258">
        <v>7316.9210000000003</v>
      </c>
      <c r="NX12" s="239">
        <v>0</v>
      </c>
      <c r="NY12" s="239">
        <v>0</v>
      </c>
      <c r="NZ12" s="239">
        <v>0</v>
      </c>
      <c r="OA12" s="239">
        <v>0</v>
      </c>
      <c r="OB12" s="239">
        <v>0</v>
      </c>
      <c r="OC12" s="239">
        <v>0</v>
      </c>
      <c r="OD12" s="258">
        <v>7325.9570000000003</v>
      </c>
      <c r="OE12" s="239">
        <v>0</v>
      </c>
      <c r="OF12" s="239">
        <v>0</v>
      </c>
      <c r="OG12" s="239">
        <v>0</v>
      </c>
      <c r="OH12" s="239">
        <v>0</v>
      </c>
      <c r="OI12" s="239">
        <v>0</v>
      </c>
      <c r="OJ12" s="239">
        <v>0</v>
      </c>
      <c r="OK12" s="239">
        <v>0</v>
      </c>
      <c r="OL12" s="239">
        <v>0</v>
      </c>
      <c r="OM12" s="239">
        <v>0</v>
      </c>
      <c r="ON12" s="239">
        <v>0</v>
      </c>
      <c r="OO12" s="258">
        <v>7303.9440000000004</v>
      </c>
      <c r="OP12" s="258">
        <v>7313.9709999999995</v>
      </c>
      <c r="OQ12" s="239">
        <v>0</v>
      </c>
      <c r="OR12" s="239">
        <v>0</v>
      </c>
      <c r="OS12" s="239">
        <v>0</v>
      </c>
      <c r="OT12" s="239">
        <v>0</v>
      </c>
      <c r="OU12" s="239">
        <v>0</v>
      </c>
      <c r="OV12" s="239">
        <v>0</v>
      </c>
      <c r="OW12" s="258">
        <v>7353.4460000000008</v>
      </c>
      <c r="OX12" s="239">
        <v>0</v>
      </c>
      <c r="OY12" s="242">
        <f t="shared" si="9"/>
        <v>43962.173000000003</v>
      </c>
      <c r="OZ12" s="239">
        <v>0</v>
      </c>
      <c r="PA12" s="239">
        <v>0</v>
      </c>
      <c r="PB12" s="239">
        <v>0</v>
      </c>
      <c r="PC12" s="239">
        <v>0</v>
      </c>
      <c r="PD12" s="239">
        <v>0</v>
      </c>
      <c r="PE12" s="239">
        <v>0</v>
      </c>
      <c r="PF12" s="239">
        <v>0</v>
      </c>
      <c r="PG12" s="239">
        <v>0</v>
      </c>
      <c r="PH12" s="238">
        <v>7311.7070000000003</v>
      </c>
      <c r="PI12" s="239">
        <v>0</v>
      </c>
      <c r="PJ12" s="238">
        <v>7321.875</v>
      </c>
      <c r="PK12" s="239">
        <v>0</v>
      </c>
      <c r="PL12" s="239">
        <v>0</v>
      </c>
      <c r="PM12" s="239">
        <v>0</v>
      </c>
      <c r="PN12" s="239">
        <v>0</v>
      </c>
      <c r="PO12" s="239">
        <v>0</v>
      </c>
      <c r="PP12" s="239">
        <v>0</v>
      </c>
      <c r="PQ12" s="258">
        <v>7313.6200000000008</v>
      </c>
      <c r="PR12" s="239">
        <v>0</v>
      </c>
      <c r="PS12" s="239">
        <v>0</v>
      </c>
      <c r="PT12" s="239">
        <v>0</v>
      </c>
      <c r="PU12" s="239">
        <v>0</v>
      </c>
      <c r="PV12" s="239">
        <v>0</v>
      </c>
      <c r="PW12" s="239">
        <v>0</v>
      </c>
      <c r="PX12" s="258">
        <v>7314.2539999999999</v>
      </c>
      <c r="PY12" s="239">
        <v>0</v>
      </c>
      <c r="PZ12" s="239">
        <v>0</v>
      </c>
      <c r="QA12" s="239">
        <v>0</v>
      </c>
      <c r="QB12" s="239">
        <v>0</v>
      </c>
      <c r="QC12" s="239">
        <v>0</v>
      </c>
      <c r="QD12" s="242">
        <f t="shared" si="10"/>
        <v>29261.456000000002</v>
      </c>
      <c r="QE12" s="239">
        <v>0</v>
      </c>
      <c r="QF12" s="239">
        <v>0</v>
      </c>
      <c r="QG12" s="258">
        <v>7333.7289999999994</v>
      </c>
      <c r="QH12" s="239">
        <v>0</v>
      </c>
      <c r="QI12" s="239">
        <v>0</v>
      </c>
      <c r="QJ12" s="239">
        <v>0</v>
      </c>
      <c r="QK12" s="239">
        <v>0</v>
      </c>
      <c r="QL12" s="239">
        <v>0</v>
      </c>
      <c r="QM12" s="239">
        <v>0</v>
      </c>
      <c r="QN12" s="239">
        <v>0</v>
      </c>
      <c r="QO12" s="258">
        <v>7340.808</v>
      </c>
      <c r="QP12" s="258">
        <v>7352.1570000000002</v>
      </c>
      <c r="QQ12" s="239">
        <v>0</v>
      </c>
      <c r="QR12" s="239">
        <v>0</v>
      </c>
      <c r="QS12" s="239">
        <v>0</v>
      </c>
      <c r="QT12" s="239">
        <v>0</v>
      </c>
      <c r="QU12" s="239">
        <v>0</v>
      </c>
      <c r="QV12" s="258">
        <v>7325.2669999999998</v>
      </c>
      <c r="QW12" s="239">
        <v>0</v>
      </c>
      <c r="QX12" s="239">
        <v>0</v>
      </c>
      <c r="QY12" s="239">
        <v>0</v>
      </c>
      <c r="QZ12" s="239">
        <v>0</v>
      </c>
      <c r="RA12" s="239">
        <v>0</v>
      </c>
      <c r="RB12" s="239">
        <v>0</v>
      </c>
      <c r="RC12" s="239">
        <v>0</v>
      </c>
      <c r="RD12" s="239">
        <v>0</v>
      </c>
      <c r="RE12" s="238">
        <v>7316.5949999999993</v>
      </c>
      <c r="RF12" s="239">
        <v>0</v>
      </c>
      <c r="RG12" s="239">
        <v>0</v>
      </c>
      <c r="RH12" s="239">
        <v>0</v>
      </c>
      <c r="RI12" s="239">
        <v>0</v>
      </c>
      <c r="RJ12" s="242">
        <v>36668.555999999997</v>
      </c>
      <c r="RK12" s="239">
        <v>0</v>
      </c>
      <c r="RL12" s="239">
        <v>0</v>
      </c>
      <c r="RM12" s="239">
        <v>0</v>
      </c>
      <c r="RN12" s="239">
        <v>0</v>
      </c>
      <c r="RO12" s="239">
        <v>0</v>
      </c>
      <c r="RP12" s="239">
        <v>0</v>
      </c>
      <c r="RQ12" s="239">
        <v>0</v>
      </c>
      <c r="RR12" s="239">
        <v>0</v>
      </c>
      <c r="RS12" s="239">
        <v>0</v>
      </c>
      <c r="RT12" s="239">
        <v>0</v>
      </c>
      <c r="RU12" s="239">
        <v>0</v>
      </c>
      <c r="RV12" s="239">
        <v>0</v>
      </c>
      <c r="RW12" s="239">
        <v>0</v>
      </c>
      <c r="RX12" s="239">
        <v>0</v>
      </c>
      <c r="RY12" s="239">
        <v>0</v>
      </c>
      <c r="RZ12" s="239">
        <v>0</v>
      </c>
      <c r="SA12" s="239">
        <v>0</v>
      </c>
      <c r="SB12" s="239">
        <v>0</v>
      </c>
      <c r="SC12" s="442">
        <v>7306.8540000000003</v>
      </c>
      <c r="SD12" s="266">
        <v>0</v>
      </c>
      <c r="SE12" s="266">
        <v>0</v>
      </c>
      <c r="SF12" s="266">
        <v>0</v>
      </c>
      <c r="SG12" s="266">
        <v>0</v>
      </c>
      <c r="SH12" s="266">
        <v>0</v>
      </c>
      <c r="SI12" s="266">
        <v>0</v>
      </c>
      <c r="SJ12" s="266">
        <v>0</v>
      </c>
      <c r="SK12" s="442">
        <v>7314.8019999999997</v>
      </c>
      <c r="SL12" s="266">
        <v>0</v>
      </c>
      <c r="SM12" s="266">
        <v>0</v>
      </c>
      <c r="SN12" s="442">
        <v>7316.1009999999997</v>
      </c>
      <c r="SO12" s="235">
        <f>SUM(RP12:SN12)</f>
        <v>21937.756999999998</v>
      </c>
      <c r="SP12" s="239">
        <v>0</v>
      </c>
      <c r="SQ12" s="239">
        <v>0</v>
      </c>
      <c r="SR12" s="239">
        <v>0</v>
      </c>
      <c r="SS12" s="239">
        <v>0</v>
      </c>
      <c r="ST12" s="239">
        <v>0</v>
      </c>
      <c r="SU12" s="239">
        <v>0</v>
      </c>
      <c r="SV12" s="239">
        <v>0</v>
      </c>
      <c r="SW12" s="239">
        <v>0</v>
      </c>
      <c r="SX12" s="239">
        <v>0</v>
      </c>
      <c r="SY12" s="239">
        <v>0</v>
      </c>
      <c r="SZ12" s="239">
        <v>0</v>
      </c>
      <c r="TA12" s="239">
        <v>0</v>
      </c>
      <c r="TB12" s="239">
        <v>0</v>
      </c>
      <c r="TC12" s="238">
        <v>7398.6419999999998</v>
      </c>
      <c r="TD12" s="238">
        <v>7324.5050000000001</v>
      </c>
      <c r="TE12" s="238">
        <v>7305.085</v>
      </c>
      <c r="TF12" s="239">
        <v>0</v>
      </c>
      <c r="TG12" s="239">
        <v>0</v>
      </c>
      <c r="TH12" s="239">
        <v>0</v>
      </c>
      <c r="TI12" s="238">
        <v>7329.2280000000001</v>
      </c>
      <c r="TJ12" s="239">
        <v>0</v>
      </c>
      <c r="TK12" s="239">
        <v>0</v>
      </c>
      <c r="TL12" s="238">
        <v>7302.2969999999996</v>
      </c>
      <c r="TM12" s="239">
        <v>0</v>
      </c>
      <c r="TN12" s="239">
        <v>0</v>
      </c>
      <c r="TO12" s="239">
        <v>0</v>
      </c>
      <c r="TP12" s="239">
        <v>0</v>
      </c>
      <c r="TQ12" s="239">
        <v>0</v>
      </c>
      <c r="TR12" s="239">
        <v>0</v>
      </c>
      <c r="TS12" s="239">
        <v>0</v>
      </c>
      <c r="TT12" s="239">
        <v>0</v>
      </c>
      <c r="TU12" s="235">
        <v>36659.756999999998</v>
      </c>
      <c r="TV12" s="239">
        <v>0</v>
      </c>
      <c r="TW12" s="239">
        <v>0</v>
      </c>
      <c r="TX12" s="239">
        <v>0</v>
      </c>
      <c r="TY12" s="239">
        <v>0</v>
      </c>
      <c r="TZ12" s="239">
        <v>0</v>
      </c>
      <c r="UA12" s="239">
        <v>0</v>
      </c>
      <c r="UB12" s="239">
        <v>0</v>
      </c>
      <c r="UC12" s="239">
        <v>0</v>
      </c>
      <c r="UD12" s="239">
        <v>0</v>
      </c>
      <c r="UE12" s="239">
        <v>0</v>
      </c>
      <c r="UF12" s="239">
        <v>0</v>
      </c>
      <c r="UG12" s="239">
        <v>0</v>
      </c>
      <c r="UH12" s="239">
        <v>0</v>
      </c>
      <c r="UI12" s="238">
        <v>7312.2269999999999</v>
      </c>
      <c r="UJ12" s="238">
        <v>7339.9790000000003</v>
      </c>
      <c r="UK12" s="239">
        <v>0</v>
      </c>
      <c r="UL12" s="239">
        <v>0</v>
      </c>
      <c r="UM12" s="239">
        <v>0</v>
      </c>
      <c r="UN12" s="238">
        <v>7315.8360000000002</v>
      </c>
      <c r="UO12" s="239">
        <v>0</v>
      </c>
      <c r="UP12" s="239">
        <v>0</v>
      </c>
      <c r="UQ12" s="238">
        <v>7324.0380000000005</v>
      </c>
      <c r="UR12" s="239">
        <v>0</v>
      </c>
      <c r="US12" s="239">
        <v>0</v>
      </c>
      <c r="UT12" s="238">
        <v>7324.1750000000002</v>
      </c>
      <c r="UU12" s="238">
        <v>7324.5279999999993</v>
      </c>
      <c r="UV12" s="239">
        <v>0</v>
      </c>
      <c r="UW12" s="239">
        <v>0</v>
      </c>
      <c r="UX12" s="239">
        <v>0</v>
      </c>
      <c r="UY12" s="239">
        <v>0</v>
      </c>
      <c r="UZ12" s="238">
        <v>7331.4790000000003</v>
      </c>
      <c r="VA12" s="235">
        <v>51272.262000000002</v>
      </c>
      <c r="VB12" s="239">
        <v>0</v>
      </c>
      <c r="VC12" s="239">
        <v>0</v>
      </c>
      <c r="VD12" s="238">
        <v>7343.0110000000004</v>
      </c>
      <c r="VE12" s="238">
        <v>7343.0659999999998</v>
      </c>
      <c r="VF12" s="239">
        <v>0</v>
      </c>
      <c r="VG12" s="238">
        <v>7325.4369999999999</v>
      </c>
      <c r="VH12" s="239">
        <v>0</v>
      </c>
      <c r="VI12" s="239">
        <v>0</v>
      </c>
      <c r="VJ12" s="239">
        <v>0</v>
      </c>
      <c r="VK12" s="238">
        <v>7347.4940000000006</v>
      </c>
      <c r="VL12" s="239">
        <v>0</v>
      </c>
      <c r="VM12" s="238">
        <v>7326.8729999999996</v>
      </c>
      <c r="VN12" s="238">
        <v>7316.0079999999998</v>
      </c>
      <c r="VO12" s="239">
        <v>0</v>
      </c>
      <c r="VP12" s="239">
        <v>0</v>
      </c>
      <c r="VQ12" s="239">
        <v>0</v>
      </c>
      <c r="VR12" s="238">
        <v>7349.1500000000005</v>
      </c>
      <c r="VS12" s="239">
        <v>0</v>
      </c>
      <c r="VT12" s="239">
        <v>0</v>
      </c>
      <c r="VU12" s="239">
        <v>0</v>
      </c>
      <c r="VV12" s="238">
        <v>7348.34</v>
      </c>
      <c r="VW12" s="239">
        <v>0</v>
      </c>
      <c r="VX12" s="238">
        <v>7328.607</v>
      </c>
      <c r="VY12" s="239">
        <v>0</v>
      </c>
      <c r="VZ12" s="238">
        <v>7377.7279999999992</v>
      </c>
      <c r="WA12" s="239">
        <v>0</v>
      </c>
      <c r="WB12" s="239">
        <v>0</v>
      </c>
      <c r="WC12" s="239">
        <v>0</v>
      </c>
      <c r="WD12" s="238">
        <v>7350.8850000000002</v>
      </c>
      <c r="WE12" s="239">
        <v>0</v>
      </c>
      <c r="WF12" s="235">
        <v>51272.262000000002</v>
      </c>
      <c r="WG12" s="238">
        <v>7319.6470000000008</v>
      </c>
      <c r="WH12" s="239">
        <v>0</v>
      </c>
      <c r="WI12" s="239">
        <v>0</v>
      </c>
      <c r="WJ12" s="239">
        <v>0</v>
      </c>
      <c r="WK12" s="239">
        <v>0</v>
      </c>
      <c r="WL12" s="239">
        <v>0</v>
      </c>
      <c r="WM12" s="238">
        <v>7307.616</v>
      </c>
      <c r="WN12" s="239">
        <v>0</v>
      </c>
      <c r="WO12" s="239">
        <v>0</v>
      </c>
      <c r="WP12" s="239">
        <v>0</v>
      </c>
      <c r="WQ12" s="238">
        <v>7326.6639999999998</v>
      </c>
      <c r="WR12" s="238">
        <v>7374.6869999999999</v>
      </c>
      <c r="WS12" s="239">
        <v>0</v>
      </c>
      <c r="WT12" s="239">
        <v>0</v>
      </c>
      <c r="WU12" s="239">
        <v>0</v>
      </c>
      <c r="WV12" s="238">
        <v>7332.433</v>
      </c>
      <c r="WW12" s="239">
        <v>0</v>
      </c>
      <c r="WX12" s="239">
        <v>0</v>
      </c>
      <c r="WY12" s="239">
        <v>0</v>
      </c>
      <c r="WZ12" s="239">
        <v>0</v>
      </c>
      <c r="XA12" s="239">
        <v>0</v>
      </c>
      <c r="XB12" s="239">
        <v>0</v>
      </c>
      <c r="XC12" s="239">
        <v>0</v>
      </c>
      <c r="XD12" s="238">
        <v>7309.0569999999998</v>
      </c>
      <c r="XE12" s="238">
        <v>7323.6210000000001</v>
      </c>
      <c r="XF12" s="239">
        <v>0</v>
      </c>
      <c r="XG12" s="239">
        <v>0</v>
      </c>
      <c r="XH12" s="239">
        <v>0</v>
      </c>
      <c r="XI12" s="238">
        <v>7334.1859999999997</v>
      </c>
      <c r="XJ12" s="239">
        <v>0</v>
      </c>
      <c r="XK12" s="238">
        <v>7337.3060000000005</v>
      </c>
      <c r="XL12" s="235">
        <v>65965.217000000004</v>
      </c>
      <c r="XM12" s="239">
        <v>0</v>
      </c>
      <c r="XN12" s="238">
        <v>7374.7290000000003</v>
      </c>
      <c r="XO12" s="239">
        <v>0</v>
      </c>
      <c r="XP12" s="239">
        <v>0</v>
      </c>
      <c r="XQ12" s="239">
        <v>0</v>
      </c>
      <c r="XR12" s="238">
        <v>14682.273999999999</v>
      </c>
      <c r="XS12" s="239">
        <v>0</v>
      </c>
      <c r="XT12" s="239">
        <v>0</v>
      </c>
      <c r="XU12" s="238">
        <v>7369.5340000000006</v>
      </c>
      <c r="XV12" s="239">
        <v>0</v>
      </c>
      <c r="XW12" s="239">
        <v>0</v>
      </c>
      <c r="XX12" s="238">
        <v>7324.7709999999997</v>
      </c>
      <c r="XY12" s="239">
        <v>0</v>
      </c>
      <c r="XZ12" s="239">
        <v>0</v>
      </c>
      <c r="YA12" s="239">
        <v>0</v>
      </c>
      <c r="YB12" s="239">
        <v>0</v>
      </c>
      <c r="YC12" s="239">
        <v>0</v>
      </c>
      <c r="YD12" s="239">
        <v>0</v>
      </c>
      <c r="YE12" s="239">
        <v>0</v>
      </c>
      <c r="YF12" s="239">
        <v>0</v>
      </c>
      <c r="YG12" s="239">
        <v>0</v>
      </c>
      <c r="YH12" s="239">
        <v>0</v>
      </c>
      <c r="YI12" s="239">
        <v>0</v>
      </c>
      <c r="YJ12" s="239">
        <v>0</v>
      </c>
      <c r="YK12" s="239">
        <v>0</v>
      </c>
      <c r="YL12" s="239">
        <v>0</v>
      </c>
      <c r="YM12" s="239">
        <v>0</v>
      </c>
      <c r="YN12" s="238">
        <v>7309.4440000000004</v>
      </c>
      <c r="YO12" s="238">
        <v>7328.0899999999992</v>
      </c>
      <c r="YP12" s="238">
        <v>7307.0469999999996</v>
      </c>
      <c r="YQ12" s="239">
        <v>0</v>
      </c>
      <c r="YR12" s="235">
        <v>58695.888999999996</v>
      </c>
      <c r="YS12" s="238">
        <f>Actual!F204</f>
        <v>0</v>
      </c>
      <c r="YT12" s="239">
        <f>Actual!G204</f>
        <v>0</v>
      </c>
      <c r="YU12" s="238">
        <f>Actual!H204</f>
        <v>0</v>
      </c>
      <c r="YV12" s="239">
        <f>Actual!I204</f>
        <v>0</v>
      </c>
      <c r="YW12" s="239">
        <f>Actual!J204</f>
        <v>0</v>
      </c>
      <c r="YX12" s="239">
        <f>Actual!K204</f>
        <v>0</v>
      </c>
      <c r="YY12" s="239">
        <f>Actual!L204</f>
        <v>0</v>
      </c>
      <c r="YZ12" s="239">
        <f>Actual!M204</f>
        <v>0</v>
      </c>
      <c r="ZA12" s="239">
        <f>Actual!N204</f>
        <v>0</v>
      </c>
      <c r="ZB12" s="239">
        <f>Actual!O204</f>
        <v>0</v>
      </c>
      <c r="ZC12" s="238">
        <f>Actual!P204</f>
        <v>0</v>
      </c>
      <c r="ZD12" s="238">
        <f>Actual!Q204</f>
        <v>0</v>
      </c>
      <c r="ZE12" s="239">
        <f>Actual!R204</f>
        <v>0</v>
      </c>
      <c r="ZF12" s="239">
        <f>Actual!S204</f>
        <v>0</v>
      </c>
      <c r="ZG12" s="238">
        <f>Actual!T204</f>
        <v>0</v>
      </c>
      <c r="ZH12" s="239">
        <f>Actual!U204</f>
        <v>0</v>
      </c>
      <c r="ZI12" s="239">
        <f>Actual!V204</f>
        <v>0</v>
      </c>
      <c r="ZJ12" s="239">
        <f>Actual!W204</f>
        <v>0</v>
      </c>
      <c r="ZK12" s="239">
        <f>Actual!X204</f>
        <v>0</v>
      </c>
      <c r="ZL12" s="239">
        <f>Actual!Y204</f>
        <v>0</v>
      </c>
      <c r="ZM12" s="239">
        <f>Actual!Z204</f>
        <v>0</v>
      </c>
      <c r="ZN12" s="239">
        <f>Actual!AA204</f>
        <v>0</v>
      </c>
      <c r="ZO12" s="239">
        <f>Actual!AB204</f>
        <v>0</v>
      </c>
      <c r="ZP12" s="239">
        <f>Actual!AC204</f>
        <v>0</v>
      </c>
      <c r="ZQ12" s="239">
        <f>Actual!AD204</f>
        <v>0</v>
      </c>
      <c r="ZR12" s="239">
        <f>Actual!AE204</f>
        <v>0</v>
      </c>
      <c r="ZS12" s="239">
        <f>Actual!AF204</f>
        <v>0</v>
      </c>
      <c r="ZT12" s="239">
        <f>Actual!AG204</f>
        <v>0</v>
      </c>
      <c r="ZU12" s="239">
        <f>Actual!AH204</f>
        <v>0</v>
      </c>
      <c r="ZV12" s="239">
        <f>Actual!AI204</f>
        <v>0</v>
      </c>
      <c r="ZW12" s="239">
        <f>Actual!AJ204</f>
        <v>0</v>
      </c>
      <c r="ZX12" s="235">
        <f>SUM(YS12:ZW12)</f>
        <v>0</v>
      </c>
      <c r="ZY12" s="239">
        <v>0</v>
      </c>
      <c r="ZZ12" s="239">
        <v>0</v>
      </c>
      <c r="AAA12" s="238">
        <v>7355.9210000000003</v>
      </c>
      <c r="AAB12" s="238">
        <v>7319.4249999999993</v>
      </c>
      <c r="AAC12" s="239">
        <v>0</v>
      </c>
      <c r="AAD12" s="239">
        <v>0</v>
      </c>
      <c r="AAE12" s="239">
        <v>0</v>
      </c>
      <c r="AAF12" s="239">
        <v>0</v>
      </c>
      <c r="AAG12" s="239">
        <v>0</v>
      </c>
      <c r="AAH12" s="239">
        <v>0</v>
      </c>
      <c r="AAI12" s="238">
        <v>7313.4870000000001</v>
      </c>
      <c r="AAJ12" s="238">
        <v>7304.0010000000002</v>
      </c>
      <c r="AAK12" s="238">
        <v>7339.357</v>
      </c>
      <c r="AAL12" s="239">
        <v>0</v>
      </c>
      <c r="AAM12" s="239">
        <v>0</v>
      </c>
      <c r="AAN12" s="238">
        <v>7377.8209999999999</v>
      </c>
      <c r="AAO12" s="239">
        <v>0</v>
      </c>
      <c r="AAP12" s="239">
        <v>0</v>
      </c>
      <c r="AAQ12" s="239">
        <v>0</v>
      </c>
      <c r="AAR12" s="238">
        <v>7355.3389999999999</v>
      </c>
      <c r="AAS12" s="239">
        <v>0</v>
      </c>
      <c r="AAT12" s="239">
        <v>0</v>
      </c>
      <c r="AAU12" s="239">
        <v>0</v>
      </c>
      <c r="AAV12" s="238">
        <v>7389.9360000000006</v>
      </c>
      <c r="AAW12" s="238">
        <v>7300.57</v>
      </c>
      <c r="AAX12" s="239">
        <v>0</v>
      </c>
      <c r="AAY12" s="239">
        <v>0</v>
      </c>
      <c r="AAZ12" s="239">
        <v>0</v>
      </c>
      <c r="ABA12" s="242">
        <f t="shared" si="11"/>
        <v>66055.857000000004</v>
      </c>
      <c r="ABB12" s="239">
        <v>0</v>
      </c>
      <c r="ABC12" s="239">
        <v>0</v>
      </c>
      <c r="ABD12" s="238">
        <v>7350.2</v>
      </c>
      <c r="ABE12" s="239">
        <v>0</v>
      </c>
      <c r="ABF12" s="239">
        <v>0</v>
      </c>
      <c r="ABG12" s="238">
        <v>7385.9889999999996</v>
      </c>
      <c r="ABH12" s="239">
        <v>0</v>
      </c>
      <c r="ABI12" s="239">
        <v>0</v>
      </c>
      <c r="ABJ12" s="239">
        <v>0</v>
      </c>
      <c r="ABK12" s="239">
        <v>0</v>
      </c>
      <c r="ABL12" s="239">
        <v>0</v>
      </c>
      <c r="ABM12" s="238">
        <v>7396.1620000000003</v>
      </c>
      <c r="ABN12" s="239">
        <v>0</v>
      </c>
      <c r="ABO12" s="239">
        <v>0</v>
      </c>
      <c r="ABP12" s="239">
        <v>0</v>
      </c>
      <c r="ABQ12" s="239">
        <v>0</v>
      </c>
      <c r="ABR12" s="238">
        <v>7392.0559999999996</v>
      </c>
      <c r="ABS12" s="239">
        <v>0</v>
      </c>
      <c r="ABT12" s="239">
        <v>0</v>
      </c>
      <c r="ABU12" s="239">
        <v>0</v>
      </c>
      <c r="ABV12" s="239">
        <v>0</v>
      </c>
      <c r="ABW12" s="239">
        <v>0</v>
      </c>
      <c r="ABX12" s="239">
        <v>0</v>
      </c>
      <c r="ABY12" s="238">
        <v>7322.6779999999999</v>
      </c>
      <c r="ABZ12" s="239">
        <v>0</v>
      </c>
      <c r="ACA12" s="238">
        <v>7373.2290000000003</v>
      </c>
      <c r="ACB12" s="239">
        <v>0</v>
      </c>
      <c r="ACC12" s="239">
        <v>0</v>
      </c>
      <c r="ACD12" s="238">
        <v>7364.9889999999996</v>
      </c>
      <c r="ACE12" s="239">
        <v>0</v>
      </c>
      <c r="ACF12" s="239">
        <v>0</v>
      </c>
      <c r="ACG12" s="242">
        <v>51585.303</v>
      </c>
      <c r="ACH12" s="384">
        <v>0</v>
      </c>
      <c r="ACI12" s="384">
        <v>0</v>
      </c>
      <c r="ACJ12" s="384">
        <v>0</v>
      </c>
      <c r="ACK12" s="384">
        <v>0</v>
      </c>
      <c r="ACL12" s="384">
        <v>0</v>
      </c>
      <c r="ACM12" s="384">
        <v>0</v>
      </c>
      <c r="ACN12" s="384">
        <v>0</v>
      </c>
      <c r="ACO12" s="384">
        <v>0</v>
      </c>
      <c r="ACP12" s="384">
        <v>0</v>
      </c>
      <c r="ACQ12" s="384">
        <v>0</v>
      </c>
      <c r="ACR12" s="384">
        <v>0</v>
      </c>
      <c r="ACS12" s="384">
        <v>0</v>
      </c>
      <c r="ACT12" s="384">
        <v>0</v>
      </c>
      <c r="ACU12" s="384">
        <v>0</v>
      </c>
      <c r="ACV12" s="486">
        <v>7314.3620000000001</v>
      </c>
      <c r="ACW12" s="486">
        <v>7353.3509999999997</v>
      </c>
      <c r="ACX12" s="384">
        <v>0</v>
      </c>
      <c r="ACY12" s="486">
        <v>7395.9189999999999</v>
      </c>
      <c r="ACZ12" s="486">
        <v>7334.4250000000002</v>
      </c>
      <c r="ADA12" s="384">
        <v>0</v>
      </c>
      <c r="ADB12" s="486">
        <v>7341.1110000000008</v>
      </c>
      <c r="ADC12" s="384">
        <v>0</v>
      </c>
      <c r="ADD12" s="384">
        <v>0</v>
      </c>
      <c r="ADE12" s="384">
        <v>0</v>
      </c>
      <c r="ADF12" s="486">
        <v>7315.4350000000004</v>
      </c>
      <c r="ADG12" s="384">
        <v>0</v>
      </c>
      <c r="ADH12" s="384">
        <v>0</v>
      </c>
      <c r="ADI12" s="384">
        <v>0</v>
      </c>
      <c r="ADJ12" s="384">
        <v>0</v>
      </c>
      <c r="ADK12" s="384">
        <v>0</v>
      </c>
      <c r="ADL12" s="239">
        <v>0</v>
      </c>
      <c r="ADM12" s="242">
        <v>44054.602999999996</v>
      </c>
      <c r="ADN12" s="384">
        <v>0</v>
      </c>
      <c r="ADO12" s="384">
        <v>0</v>
      </c>
      <c r="ADP12" s="384">
        <v>0</v>
      </c>
      <c r="ADQ12" s="384">
        <v>0</v>
      </c>
      <c r="ADR12" s="384">
        <v>0</v>
      </c>
      <c r="ADS12" s="486">
        <v>7377.8689999999997</v>
      </c>
      <c r="ADT12" s="486">
        <v>7357.7470000000003</v>
      </c>
      <c r="ADU12" s="486">
        <v>7384.2470000000003</v>
      </c>
      <c r="ADV12" s="384">
        <v>0</v>
      </c>
      <c r="ADW12" s="384">
        <v>0</v>
      </c>
      <c r="ADX12" s="384">
        <v>0</v>
      </c>
      <c r="ADY12" s="384">
        <v>0</v>
      </c>
      <c r="ADZ12" s="384">
        <v>0</v>
      </c>
      <c r="AEA12" s="384">
        <v>0</v>
      </c>
      <c r="AEB12" s="384">
        <v>0</v>
      </c>
      <c r="AEC12" s="384">
        <v>0</v>
      </c>
      <c r="AED12" s="486">
        <v>7308.7110000000002</v>
      </c>
      <c r="AEE12" s="384">
        <v>0</v>
      </c>
      <c r="AEF12" s="384">
        <v>0</v>
      </c>
      <c r="AEG12" s="384">
        <v>0</v>
      </c>
      <c r="AEH12" s="486">
        <v>7363.2519999999995</v>
      </c>
      <c r="AEI12" s="384">
        <v>0</v>
      </c>
      <c r="AEJ12" s="384">
        <v>0</v>
      </c>
      <c r="AEK12" s="486">
        <v>7134.6059999999998</v>
      </c>
      <c r="AEL12" s="384">
        <v>0</v>
      </c>
      <c r="AEM12" s="384">
        <v>0</v>
      </c>
      <c r="AEN12" s="486">
        <v>7316.7420000000002</v>
      </c>
      <c r="AEO12" s="384">
        <v>0</v>
      </c>
      <c r="AEP12" s="384">
        <v>0</v>
      </c>
      <c r="AEQ12" s="486">
        <v>7531.7750000000015</v>
      </c>
      <c r="AER12" s="384">
        <v>0</v>
      </c>
      <c r="AES12" s="242">
        <v>44054.602999999996</v>
      </c>
      <c r="AET12" s="384">
        <v>0</v>
      </c>
      <c r="AEU12" s="384">
        <v>0</v>
      </c>
      <c r="AEV12" s="384">
        <v>0</v>
      </c>
      <c r="AEW12" s="384">
        <v>0</v>
      </c>
      <c r="AEX12" s="384">
        <v>0</v>
      </c>
      <c r="AEY12" s="384">
        <v>0</v>
      </c>
      <c r="AEZ12" s="384">
        <v>0</v>
      </c>
      <c r="AFA12" s="384">
        <v>0</v>
      </c>
      <c r="AFB12" s="486">
        <v>7301.6019999999999</v>
      </c>
      <c r="AFC12" s="486">
        <v>7309.43</v>
      </c>
      <c r="AFD12" s="384">
        <v>0</v>
      </c>
      <c r="AFE12" s="384">
        <v>0</v>
      </c>
      <c r="AFF12" s="384">
        <v>0</v>
      </c>
      <c r="AFG12" s="486">
        <v>7304.11</v>
      </c>
      <c r="AFH12" s="486">
        <v>7364.9229999999998</v>
      </c>
      <c r="AFI12" s="384">
        <v>0</v>
      </c>
      <c r="AFJ12" s="384">
        <v>0</v>
      </c>
      <c r="AFK12" s="384">
        <v>0</v>
      </c>
      <c r="AFL12" s="486">
        <v>7364.2449999999999</v>
      </c>
      <c r="AFM12" s="384">
        <v>0</v>
      </c>
      <c r="AFN12" s="384">
        <v>0</v>
      </c>
      <c r="AFO12" s="384">
        <v>0</v>
      </c>
      <c r="AFP12" s="384">
        <v>0</v>
      </c>
      <c r="AFQ12" s="384">
        <v>0</v>
      </c>
      <c r="AFR12" s="384">
        <v>0</v>
      </c>
      <c r="AFS12" s="384">
        <v>0</v>
      </c>
      <c r="AFT12" s="384">
        <v>0</v>
      </c>
      <c r="AFU12" s="384">
        <v>0</v>
      </c>
      <c r="AFV12" s="486">
        <v>7397.8549999999996</v>
      </c>
      <c r="AFW12" s="384">
        <v>0</v>
      </c>
      <c r="AFX12" s="242">
        <v>44042.164999999994</v>
      </c>
      <c r="AFY12" s="220">
        <v>0</v>
      </c>
      <c r="AFZ12" s="220">
        <v>0</v>
      </c>
      <c r="AGA12" s="220">
        <v>0</v>
      </c>
      <c r="AGB12" s="220">
        <v>0</v>
      </c>
      <c r="AGC12" s="220">
        <v>0</v>
      </c>
      <c r="AGD12" s="220">
        <v>0</v>
      </c>
      <c r="AGE12" s="220">
        <v>0</v>
      </c>
      <c r="AGF12" s="220">
        <v>0</v>
      </c>
      <c r="AGG12" s="220">
        <v>0</v>
      </c>
      <c r="AGH12" s="220">
        <v>0</v>
      </c>
      <c r="AGI12" s="220">
        <v>0</v>
      </c>
      <c r="AGJ12" s="220">
        <v>0</v>
      </c>
      <c r="AGK12" s="220">
        <v>0</v>
      </c>
      <c r="AGL12" s="220">
        <v>0</v>
      </c>
      <c r="AGM12" s="220">
        <v>0</v>
      </c>
      <c r="AGN12" s="220">
        <v>0</v>
      </c>
      <c r="AGO12" s="220">
        <v>0</v>
      </c>
      <c r="AGP12" s="220">
        <v>0</v>
      </c>
      <c r="AGQ12" s="220">
        <v>0</v>
      </c>
      <c r="AGR12" s="220">
        <v>0</v>
      </c>
      <c r="AGS12" s="193">
        <v>7301.33</v>
      </c>
      <c r="AGT12" s="220">
        <v>0</v>
      </c>
      <c r="AGU12" s="193">
        <v>7301.0159999999996</v>
      </c>
      <c r="AGV12" s="220">
        <v>0</v>
      </c>
      <c r="AGW12" s="193">
        <v>7302.0429999999997</v>
      </c>
      <c r="AGX12" s="193">
        <v>7355.8530000000001</v>
      </c>
      <c r="AGY12" s="220">
        <v>0</v>
      </c>
      <c r="AGZ12" s="220">
        <v>0</v>
      </c>
      <c r="AHA12" s="220">
        <v>0</v>
      </c>
      <c r="AHB12" s="220">
        <v>0</v>
      </c>
      <c r="AHC12" s="193">
        <v>7302.8050000000003</v>
      </c>
      <c r="AHD12" s="242">
        <v>36563.046999999999</v>
      </c>
      <c r="AHE12" s="220">
        <v>0</v>
      </c>
      <c r="AHF12" s="220">
        <v>0</v>
      </c>
      <c r="AHG12" s="220">
        <v>0</v>
      </c>
      <c r="AHH12" s="220">
        <v>0</v>
      </c>
      <c r="AHI12" s="220">
        <v>0</v>
      </c>
      <c r="AHJ12" s="220">
        <v>0</v>
      </c>
      <c r="AHK12" s="220">
        <v>0</v>
      </c>
      <c r="AHL12" s="220">
        <v>0</v>
      </c>
      <c r="AHM12" s="220">
        <v>0</v>
      </c>
      <c r="AHN12" s="193">
        <v>7304.1760000000004</v>
      </c>
      <c r="AHO12" s="193">
        <v>7308.3159999999998</v>
      </c>
      <c r="AHP12" s="220">
        <v>0</v>
      </c>
      <c r="AHQ12" s="220">
        <v>0</v>
      </c>
      <c r="AHR12" s="220">
        <v>0</v>
      </c>
      <c r="AHS12" s="220">
        <v>0</v>
      </c>
      <c r="AHT12" s="220">
        <v>0</v>
      </c>
      <c r="AHU12" s="220">
        <v>0</v>
      </c>
      <c r="AHV12" s="220">
        <v>0</v>
      </c>
      <c r="AHW12" s="220">
        <v>0</v>
      </c>
      <c r="AHX12" s="220">
        <v>0</v>
      </c>
      <c r="AHY12" s="220">
        <v>0</v>
      </c>
      <c r="AHZ12" s="220">
        <v>0</v>
      </c>
      <c r="AIA12" s="220">
        <v>0</v>
      </c>
      <c r="AIB12" s="220">
        <v>0</v>
      </c>
      <c r="AIC12" s="220">
        <v>0</v>
      </c>
      <c r="AID12" s="220">
        <v>0</v>
      </c>
      <c r="AIE12" s="220">
        <v>0</v>
      </c>
      <c r="AIF12" s="220">
        <v>0</v>
      </c>
      <c r="AIG12" s="220">
        <v>0</v>
      </c>
      <c r="AIH12" s="220">
        <v>0</v>
      </c>
      <c r="AII12" s="220">
        <v>0</v>
      </c>
      <c r="AIJ12" s="235">
        <v>14612.492</v>
      </c>
      <c r="AIK12" s="479">
        <v>0</v>
      </c>
      <c r="AIL12" s="498">
        <v>7101.3149999999996</v>
      </c>
      <c r="AIM12" s="479">
        <v>0</v>
      </c>
      <c r="AIN12" s="479">
        <v>0</v>
      </c>
      <c r="AIO12" s="479">
        <v>0</v>
      </c>
      <c r="AIP12" s="479">
        <v>0</v>
      </c>
      <c r="AIQ12" s="479">
        <v>0</v>
      </c>
      <c r="AIR12" s="479">
        <v>0</v>
      </c>
      <c r="AIS12" s="479">
        <v>0</v>
      </c>
      <c r="AIT12" s="479">
        <v>0</v>
      </c>
      <c r="AIU12" s="479">
        <v>0</v>
      </c>
      <c r="AIV12" s="479">
        <v>0</v>
      </c>
      <c r="AIW12" s="479">
        <v>0</v>
      </c>
      <c r="AIX12" s="479">
        <v>0</v>
      </c>
      <c r="AIY12" s="479">
        <v>0</v>
      </c>
      <c r="AIZ12" s="479">
        <v>0</v>
      </c>
      <c r="AJA12" s="498">
        <v>7108.6670000000004</v>
      </c>
      <c r="AJB12" s="498">
        <v>7106.29</v>
      </c>
      <c r="AJC12" s="479">
        <v>0</v>
      </c>
      <c r="AJD12" s="479">
        <v>0</v>
      </c>
      <c r="AJE12" s="479">
        <v>0</v>
      </c>
      <c r="AJF12" s="479">
        <v>0</v>
      </c>
      <c r="AJG12" s="479">
        <v>0</v>
      </c>
      <c r="AJH12" s="479">
        <v>0</v>
      </c>
      <c r="AJI12" s="479">
        <v>0</v>
      </c>
      <c r="AJJ12" s="479">
        <v>0</v>
      </c>
      <c r="AJK12" s="498">
        <v>7312.6759999999995</v>
      </c>
      <c r="AJL12" s="479">
        <v>0</v>
      </c>
      <c r="AJM12" s="498">
        <v>7300.8590000000004</v>
      </c>
      <c r="AJN12" s="479">
        <v>0</v>
      </c>
      <c r="AJO12" s="235">
        <v>35929.807000000001</v>
      </c>
      <c r="AJP12" s="479">
        <v>0</v>
      </c>
      <c r="AJQ12" s="479">
        <v>0</v>
      </c>
      <c r="AJR12" s="479">
        <v>0</v>
      </c>
      <c r="AJS12" s="479">
        <v>0</v>
      </c>
      <c r="AJT12" s="479">
        <v>0</v>
      </c>
      <c r="AJU12" s="479">
        <v>0</v>
      </c>
      <c r="AJV12" s="479">
        <v>0</v>
      </c>
      <c r="AJW12" s="479">
        <v>0</v>
      </c>
      <c r="AJX12" s="479">
        <v>0</v>
      </c>
      <c r="AJY12" s="498">
        <v>7302.6559999999999</v>
      </c>
      <c r="AJZ12" s="479">
        <v>0</v>
      </c>
      <c r="AKA12" s="498">
        <v>7317.4979999999996</v>
      </c>
      <c r="AKB12" s="479">
        <v>0</v>
      </c>
      <c r="AKC12" s="479">
        <v>0</v>
      </c>
      <c r="AKD12" s="479">
        <v>0</v>
      </c>
      <c r="AKE12" s="479">
        <v>0</v>
      </c>
      <c r="AKF12" s="479">
        <v>0</v>
      </c>
      <c r="AKG12" s="479">
        <v>0</v>
      </c>
      <c r="AKH12" s="479">
        <v>0</v>
      </c>
      <c r="AKI12" s="479">
        <v>0</v>
      </c>
      <c r="AKJ12" s="479">
        <v>0</v>
      </c>
      <c r="AKK12" s="479">
        <v>0</v>
      </c>
      <c r="AKL12" s="479">
        <v>0</v>
      </c>
      <c r="AKM12" s="479">
        <v>0</v>
      </c>
      <c r="AKN12" s="479">
        <v>0</v>
      </c>
      <c r="AKO12" s="479">
        <v>0</v>
      </c>
      <c r="AKP12" s="479">
        <v>0</v>
      </c>
      <c r="AKQ12" s="479">
        <v>0</v>
      </c>
      <c r="AKR12" s="498">
        <v>7301.777</v>
      </c>
      <c r="AKS12" s="479">
        <v>0</v>
      </c>
      <c r="AKT12" s="479">
        <v>0</v>
      </c>
      <c r="AKU12" s="235">
        <v>21921.930999999997</v>
      </c>
      <c r="AKV12" s="479">
        <v>0</v>
      </c>
      <c r="AKW12" s="479">
        <v>0</v>
      </c>
      <c r="AKX12" s="479">
        <v>0</v>
      </c>
      <c r="AKY12" s="479">
        <v>0</v>
      </c>
      <c r="AKZ12" s="479">
        <v>0</v>
      </c>
      <c r="ALA12" s="479">
        <v>0</v>
      </c>
      <c r="ALB12" s="479">
        <v>0</v>
      </c>
      <c r="ALC12" s="479">
        <v>0</v>
      </c>
      <c r="ALD12" s="479">
        <v>0</v>
      </c>
      <c r="ALE12" s="479">
        <v>0</v>
      </c>
      <c r="ALF12" s="479">
        <v>0</v>
      </c>
      <c r="ALG12" s="479">
        <v>0</v>
      </c>
      <c r="ALH12" s="498">
        <v>7347.6</v>
      </c>
      <c r="ALI12" s="498">
        <v>7300.487000000001</v>
      </c>
      <c r="ALJ12" s="498">
        <v>7301.7370000000001</v>
      </c>
      <c r="ALK12" s="479">
        <v>0</v>
      </c>
      <c r="ALL12" s="479">
        <v>0</v>
      </c>
      <c r="ALM12" s="479">
        <v>0</v>
      </c>
      <c r="ALN12" s="479">
        <v>0</v>
      </c>
      <c r="ALO12" s="479">
        <v>0</v>
      </c>
      <c r="ALP12" s="479">
        <v>0</v>
      </c>
      <c r="ALQ12" s="479">
        <v>0</v>
      </c>
      <c r="ALR12" s="479">
        <v>0</v>
      </c>
      <c r="ALS12" s="479">
        <v>0</v>
      </c>
      <c r="ALT12" s="479">
        <v>0</v>
      </c>
      <c r="ALU12" s="479">
        <v>0</v>
      </c>
      <c r="ALV12" s="479">
        <v>0</v>
      </c>
      <c r="ALW12" s="479">
        <v>0</v>
      </c>
      <c r="ALX12" s="479">
        <v>0</v>
      </c>
      <c r="ALY12" s="479">
        <v>0</v>
      </c>
      <c r="ALZ12" s="235">
        <v>21949.824000000001</v>
      </c>
      <c r="AMA12" s="479">
        <f>Actual!F204</f>
        <v>0</v>
      </c>
      <c r="AMB12" s="479">
        <f>Actual!G204</f>
        <v>0</v>
      </c>
      <c r="AMC12" s="479">
        <f>Actual!H204</f>
        <v>0</v>
      </c>
      <c r="AMD12" s="479">
        <f>Actual!I204</f>
        <v>0</v>
      </c>
      <c r="AME12" s="479">
        <f>Actual!J204</f>
        <v>0</v>
      </c>
      <c r="AMF12" s="479">
        <f>Actual!K204</f>
        <v>0</v>
      </c>
      <c r="AMG12" s="479">
        <f>Actual!L204</f>
        <v>0</v>
      </c>
      <c r="AMH12" s="479">
        <f>Actual!M204</f>
        <v>0</v>
      </c>
      <c r="AMI12" s="498">
        <f>Actual!N204</f>
        <v>0</v>
      </c>
      <c r="AMJ12" s="498">
        <f>Actual!O204</f>
        <v>0</v>
      </c>
      <c r="AMK12" s="479">
        <f>Actual!P204</f>
        <v>0</v>
      </c>
      <c r="AML12" s="498">
        <f>Actual!Q204</f>
        <v>0</v>
      </c>
      <c r="AMM12" s="479">
        <f>Actual!R204</f>
        <v>0</v>
      </c>
      <c r="AMN12" s="479">
        <f>Actual!S204</f>
        <v>0</v>
      </c>
      <c r="AMO12" s="479">
        <f>Actual!T204</f>
        <v>0</v>
      </c>
      <c r="AMP12" s="479">
        <f>Actual!U204</f>
        <v>0</v>
      </c>
      <c r="AMQ12" s="479">
        <f>Actual!V204</f>
        <v>0</v>
      </c>
      <c r="AMR12" s="479">
        <f>Actual!W204</f>
        <v>0</v>
      </c>
      <c r="AMS12" s="479">
        <f>Actual!X204</f>
        <v>0</v>
      </c>
      <c r="AMT12" s="479">
        <f>Actual!Y204</f>
        <v>0</v>
      </c>
      <c r="AMU12" s="479">
        <f>Actual!Z204</f>
        <v>0</v>
      </c>
      <c r="AMV12" s="498">
        <f>Actual!AA204</f>
        <v>0</v>
      </c>
      <c r="AMW12" s="479">
        <f>Actual!AB204</f>
        <v>0</v>
      </c>
      <c r="AMX12" s="479">
        <f>Actual!AC204</f>
        <v>0</v>
      </c>
      <c r="AMY12" s="479">
        <f>Actual!AD204</f>
        <v>0</v>
      </c>
      <c r="AMZ12" s="479">
        <f>Actual!AE204</f>
        <v>0</v>
      </c>
      <c r="ANA12" s="479">
        <f>Actual!AF204</f>
        <v>0</v>
      </c>
      <c r="ANB12" s="479">
        <f>Actual!AG204</f>
        <v>0</v>
      </c>
      <c r="ANC12" s="479">
        <f>Actual!AH204</f>
        <v>0</v>
      </c>
      <c r="AND12" s="479">
        <f>Actual!AI204</f>
        <v>0</v>
      </c>
      <c r="ANE12" s="479">
        <f>Actual!AJ204</f>
        <v>0</v>
      </c>
      <c r="ANF12" s="235">
        <f t="shared" si="2"/>
        <v>0</v>
      </c>
      <c r="ANG12" s="239">
        <v>0</v>
      </c>
      <c r="ANH12" s="239">
        <v>0</v>
      </c>
      <c r="ANI12" s="239">
        <v>0</v>
      </c>
      <c r="ANJ12" s="239">
        <v>0</v>
      </c>
      <c r="ANK12" s="239">
        <v>0</v>
      </c>
      <c r="ANL12" s="239">
        <v>0</v>
      </c>
      <c r="ANM12" s="239">
        <v>0</v>
      </c>
      <c r="ANN12" s="239">
        <v>0</v>
      </c>
      <c r="ANO12" s="239">
        <v>0</v>
      </c>
      <c r="ANP12" s="239">
        <v>0</v>
      </c>
      <c r="ANQ12" s="239">
        <v>0</v>
      </c>
      <c r="ANR12" s="239">
        <v>0</v>
      </c>
      <c r="ANS12" s="239">
        <v>0</v>
      </c>
      <c r="ANT12" s="239">
        <v>0</v>
      </c>
      <c r="ANU12" s="239">
        <v>0</v>
      </c>
      <c r="ANV12" s="239">
        <v>0</v>
      </c>
      <c r="ANW12" s="239">
        <v>0</v>
      </c>
      <c r="ANX12" s="239">
        <v>0</v>
      </c>
      <c r="ANY12" s="239">
        <v>0</v>
      </c>
      <c r="ANZ12" s="239">
        <v>0</v>
      </c>
      <c r="AOA12" s="239">
        <v>0</v>
      </c>
      <c r="AOB12" s="239">
        <v>0</v>
      </c>
      <c r="AOC12" s="238">
        <v>7300.4739999999993</v>
      </c>
      <c r="AOD12" s="239">
        <v>0</v>
      </c>
      <c r="AOE12" s="239">
        <v>0</v>
      </c>
      <c r="AOF12" s="239">
        <v>0</v>
      </c>
      <c r="AOG12" s="239">
        <v>0</v>
      </c>
      <c r="AOH12" s="238">
        <v>7302.26</v>
      </c>
      <c r="AOI12" s="242">
        <v>14602.734</v>
      </c>
      <c r="AOJ12" s="239">
        <v>0</v>
      </c>
      <c r="AOK12" s="239">
        <v>0</v>
      </c>
      <c r="AOL12" s="239">
        <v>0</v>
      </c>
      <c r="AOM12" s="239">
        <v>0</v>
      </c>
      <c r="AON12" s="239">
        <v>0</v>
      </c>
      <c r="AOO12" s="239">
        <v>0</v>
      </c>
      <c r="AOP12" s="239">
        <v>0</v>
      </c>
      <c r="AOQ12" s="239">
        <v>0</v>
      </c>
      <c r="AOR12" s="239">
        <v>0</v>
      </c>
      <c r="AOS12" s="239">
        <v>0</v>
      </c>
      <c r="AOT12" s="239">
        <v>0</v>
      </c>
      <c r="AOU12" s="239">
        <v>0</v>
      </c>
      <c r="AOV12" s="239">
        <v>0</v>
      </c>
      <c r="AOW12" s="239">
        <v>0</v>
      </c>
      <c r="AOX12" s="239">
        <v>0</v>
      </c>
      <c r="AOY12" s="239">
        <v>0</v>
      </c>
      <c r="AOZ12" s="239">
        <v>0</v>
      </c>
      <c r="APA12" s="239">
        <v>0</v>
      </c>
      <c r="APB12" s="238">
        <v>7351.3230000000003</v>
      </c>
      <c r="APC12" s="238">
        <v>7336.0920000000006</v>
      </c>
      <c r="APD12" s="239">
        <v>0</v>
      </c>
      <c r="APE12" s="239">
        <v>0</v>
      </c>
      <c r="APF12" s="239">
        <v>0</v>
      </c>
      <c r="APG12" s="239">
        <v>0</v>
      </c>
      <c r="APH12" s="238">
        <v>7326.884</v>
      </c>
      <c r="API12" s="239">
        <v>0</v>
      </c>
      <c r="APJ12" s="239">
        <v>0</v>
      </c>
      <c r="APK12" s="238">
        <v>7357.4290000000001</v>
      </c>
      <c r="APL12" s="239">
        <v>0</v>
      </c>
      <c r="APM12" s="238">
        <v>7373.9589999999998</v>
      </c>
      <c r="APN12" s="239">
        <v>0</v>
      </c>
      <c r="APO12" s="242">
        <v>36745.686999999998</v>
      </c>
      <c r="APP12" s="239">
        <v>0</v>
      </c>
      <c r="APQ12" s="239">
        <v>0</v>
      </c>
      <c r="APR12" s="239">
        <v>0</v>
      </c>
      <c r="APS12" s="239">
        <v>0</v>
      </c>
      <c r="APT12" s="239">
        <v>0</v>
      </c>
      <c r="APU12" s="516">
        <v>7347.4859999999999</v>
      </c>
      <c r="APV12" s="239">
        <v>0</v>
      </c>
      <c r="APW12" s="239">
        <v>0</v>
      </c>
      <c r="APX12" s="239">
        <v>0</v>
      </c>
      <c r="APY12" s="239">
        <v>0</v>
      </c>
      <c r="APZ12" s="239">
        <v>0</v>
      </c>
      <c r="AQA12" s="239">
        <v>0</v>
      </c>
      <c r="AQB12" s="239">
        <v>0</v>
      </c>
      <c r="AQC12" s="239">
        <v>0</v>
      </c>
      <c r="AQD12" s="239">
        <v>0</v>
      </c>
      <c r="AQE12" s="239">
        <v>0</v>
      </c>
      <c r="AQF12" s="239">
        <v>0</v>
      </c>
      <c r="AQG12" s="239">
        <v>0</v>
      </c>
      <c r="AQH12" s="239">
        <v>0</v>
      </c>
      <c r="AQI12" s="239">
        <v>0</v>
      </c>
      <c r="AQJ12" s="239">
        <v>0</v>
      </c>
      <c r="AQK12" s="239">
        <v>0</v>
      </c>
      <c r="AQL12" s="239">
        <v>0</v>
      </c>
      <c r="AQM12" s="239">
        <v>0</v>
      </c>
      <c r="AQN12" s="239">
        <v>0</v>
      </c>
      <c r="AQO12" s="239">
        <v>0</v>
      </c>
      <c r="AQP12" s="239">
        <v>0</v>
      </c>
      <c r="AQQ12" s="239">
        <v>0</v>
      </c>
      <c r="AQR12" s="516">
        <v>7308.357</v>
      </c>
      <c r="AQS12" s="516">
        <v>7314.47</v>
      </c>
      <c r="AQT12" s="242">
        <f t="shared" si="12"/>
        <v>21970.313000000002</v>
      </c>
      <c r="AQU12" s="239">
        <v>0</v>
      </c>
      <c r="AQV12" s="239">
        <v>0</v>
      </c>
      <c r="AQW12" s="239">
        <v>0</v>
      </c>
      <c r="AQX12" s="516">
        <v>7305.4809999999998</v>
      </c>
      <c r="AQY12" s="239">
        <v>0</v>
      </c>
      <c r="AQZ12" s="239">
        <v>0</v>
      </c>
      <c r="ARA12" s="239">
        <v>0</v>
      </c>
      <c r="ARB12" s="239">
        <v>0</v>
      </c>
      <c r="ARC12" s="239">
        <v>0</v>
      </c>
      <c r="ARD12" s="239">
        <v>0</v>
      </c>
      <c r="ARE12" s="239">
        <v>0</v>
      </c>
      <c r="ARF12" s="239">
        <v>0</v>
      </c>
      <c r="ARG12" s="239">
        <v>0</v>
      </c>
      <c r="ARH12" s="239">
        <v>0</v>
      </c>
      <c r="ARI12" s="239">
        <v>0</v>
      </c>
      <c r="ARJ12" s="239">
        <v>0</v>
      </c>
      <c r="ARK12" s="516">
        <v>7343.6890000000003</v>
      </c>
      <c r="ARL12" s="239">
        <v>0</v>
      </c>
      <c r="ARM12" s="239">
        <v>0</v>
      </c>
      <c r="ARN12" s="239">
        <v>0</v>
      </c>
      <c r="ARO12" s="239">
        <v>0</v>
      </c>
      <c r="ARP12" s="239">
        <v>0</v>
      </c>
      <c r="ARQ12" s="239">
        <v>0</v>
      </c>
      <c r="ARR12" s="239">
        <v>0</v>
      </c>
      <c r="ARS12" s="239">
        <v>0</v>
      </c>
      <c r="ART12" s="239">
        <v>0</v>
      </c>
      <c r="ARU12" s="239">
        <v>0</v>
      </c>
      <c r="ARV12" s="239">
        <v>0</v>
      </c>
      <c r="ARW12" s="239">
        <v>0</v>
      </c>
      <c r="ARX12" s="239">
        <v>0</v>
      </c>
      <c r="ARY12" s="239">
        <v>0</v>
      </c>
      <c r="ARZ12" s="242">
        <f t="shared" si="13"/>
        <v>14649.17</v>
      </c>
      <c r="ASA12" s="239">
        <v>0</v>
      </c>
      <c r="ASB12" s="239">
        <v>0</v>
      </c>
      <c r="ASC12" s="239">
        <v>0</v>
      </c>
      <c r="ASD12" s="239">
        <v>0</v>
      </c>
      <c r="ASE12" s="239">
        <v>0</v>
      </c>
      <c r="ASF12" s="239">
        <v>0</v>
      </c>
      <c r="ASG12" s="239">
        <v>0</v>
      </c>
      <c r="ASH12" s="516">
        <v>14632.361000000001</v>
      </c>
      <c r="ASI12" s="239">
        <v>0</v>
      </c>
      <c r="ASJ12" s="239">
        <v>0</v>
      </c>
      <c r="ASK12" s="239">
        <v>0</v>
      </c>
      <c r="ASL12" s="239">
        <v>0</v>
      </c>
      <c r="ASM12" s="239">
        <v>0</v>
      </c>
      <c r="ASN12" s="239">
        <v>0</v>
      </c>
      <c r="ASO12" s="239">
        <v>0</v>
      </c>
      <c r="ASP12" s="239">
        <v>0</v>
      </c>
      <c r="ASQ12" s="239">
        <v>0</v>
      </c>
      <c r="ASR12" s="516">
        <v>7346.6940000000004</v>
      </c>
      <c r="ASS12" s="239">
        <v>0</v>
      </c>
      <c r="AST12" s="239">
        <v>0</v>
      </c>
      <c r="ASU12" s="239">
        <v>0</v>
      </c>
      <c r="ASV12" s="239">
        <v>0</v>
      </c>
      <c r="ASW12" s="239">
        <v>0</v>
      </c>
      <c r="ASX12" s="239">
        <v>0</v>
      </c>
      <c r="ASY12" s="239">
        <v>0</v>
      </c>
      <c r="ASZ12" s="239">
        <v>0</v>
      </c>
      <c r="ATA12" s="239">
        <v>0</v>
      </c>
      <c r="ATB12" s="239">
        <v>0</v>
      </c>
      <c r="ATC12" s="239">
        <v>0</v>
      </c>
      <c r="ATD12" s="239">
        <v>0</v>
      </c>
      <c r="ATE12" s="242">
        <v>21979.055</v>
      </c>
      <c r="ATF12" s="239">
        <v>0</v>
      </c>
      <c r="ATG12" s="239">
        <v>0</v>
      </c>
      <c r="ATH12" s="239">
        <v>0</v>
      </c>
      <c r="ATI12" s="239">
        <v>0</v>
      </c>
      <c r="ATJ12" s="239">
        <v>0</v>
      </c>
      <c r="ATK12" s="239">
        <v>0</v>
      </c>
      <c r="ATL12" s="239">
        <v>0</v>
      </c>
      <c r="ATM12" s="239">
        <v>0</v>
      </c>
      <c r="ATN12" s="516">
        <v>7393.2709999999997</v>
      </c>
      <c r="ATO12" s="516">
        <v>7382.72</v>
      </c>
      <c r="ATP12" s="239">
        <v>0</v>
      </c>
      <c r="ATQ12" s="239">
        <v>0</v>
      </c>
      <c r="ATR12" s="516">
        <v>7336.9179999999997</v>
      </c>
      <c r="ATS12" s="239">
        <v>0</v>
      </c>
      <c r="ATT12" s="239">
        <v>0</v>
      </c>
      <c r="ATU12" s="239">
        <v>0</v>
      </c>
      <c r="ATV12" s="239">
        <v>0</v>
      </c>
      <c r="ATW12" s="239">
        <v>0</v>
      </c>
      <c r="ATX12" s="239">
        <v>0</v>
      </c>
      <c r="ATY12" s="239">
        <v>0</v>
      </c>
      <c r="ATZ12" s="239">
        <v>0</v>
      </c>
      <c r="AUA12" s="239">
        <v>0</v>
      </c>
      <c r="AUB12" s="239">
        <v>0</v>
      </c>
      <c r="AUC12" s="239">
        <v>0</v>
      </c>
      <c r="AUD12" s="239">
        <v>0</v>
      </c>
      <c r="AUE12" s="239">
        <v>0</v>
      </c>
      <c r="AUF12" s="239">
        <v>0</v>
      </c>
      <c r="AUG12" s="239">
        <v>0</v>
      </c>
      <c r="AUH12" s="239">
        <v>0</v>
      </c>
      <c r="AUI12" s="239">
        <v>0</v>
      </c>
      <c r="AUJ12" s="239"/>
      <c r="AUK12" s="242">
        <v>22112.909</v>
      </c>
      <c r="AUL12" s="239">
        <v>0</v>
      </c>
      <c r="AUM12" s="239">
        <v>0</v>
      </c>
      <c r="AUN12" s="239">
        <v>0</v>
      </c>
      <c r="AUO12" s="239">
        <v>0</v>
      </c>
      <c r="AUP12" s="516">
        <v>7312.2129999999997</v>
      </c>
      <c r="AUQ12" s="516">
        <v>7353.9049999999997</v>
      </c>
      <c r="AUR12" s="239">
        <v>0</v>
      </c>
      <c r="AUS12" s="239">
        <v>0</v>
      </c>
      <c r="AUT12" s="239">
        <v>0</v>
      </c>
      <c r="AUU12" s="239">
        <v>0</v>
      </c>
      <c r="AUV12" s="516">
        <v>7309.4939999999997</v>
      </c>
      <c r="AUW12" s="239">
        <v>0</v>
      </c>
      <c r="AUX12" s="239">
        <v>0</v>
      </c>
      <c r="AUY12" s="239">
        <v>0</v>
      </c>
      <c r="AUZ12" s="239">
        <v>0</v>
      </c>
      <c r="AVA12" s="239">
        <v>0</v>
      </c>
      <c r="AVB12" s="239">
        <v>0</v>
      </c>
      <c r="AVC12" s="239">
        <v>0</v>
      </c>
      <c r="AVD12" s="239">
        <v>0</v>
      </c>
      <c r="AVE12" s="239">
        <v>0</v>
      </c>
      <c r="AVF12" s="239">
        <v>0</v>
      </c>
      <c r="AVG12" s="239">
        <v>0</v>
      </c>
      <c r="AVH12" s="239">
        <v>0</v>
      </c>
      <c r="AVI12" s="239">
        <v>0</v>
      </c>
      <c r="AVJ12" s="239">
        <v>0</v>
      </c>
      <c r="AVK12" s="239">
        <v>0</v>
      </c>
      <c r="AVL12" s="239">
        <v>0</v>
      </c>
      <c r="AVM12" s="239">
        <v>0</v>
      </c>
      <c r="AVN12" s="239">
        <v>0</v>
      </c>
      <c r="AVO12" s="239">
        <v>0</v>
      </c>
      <c r="AVP12" s="239">
        <v>0</v>
      </c>
      <c r="AVQ12" s="235">
        <f t="shared" si="3"/>
        <v>21975.611999999997</v>
      </c>
      <c r="AVR12" s="239">
        <v>0</v>
      </c>
      <c r="AVS12" s="239">
        <v>0</v>
      </c>
      <c r="AVT12" s="239">
        <v>0</v>
      </c>
      <c r="AVU12" s="239">
        <v>0</v>
      </c>
      <c r="AVV12" s="239">
        <v>0</v>
      </c>
      <c r="AVW12" s="239">
        <v>0</v>
      </c>
      <c r="AVX12" s="239">
        <v>0</v>
      </c>
      <c r="AVY12" s="239">
        <v>0</v>
      </c>
      <c r="AVZ12" s="239">
        <v>0</v>
      </c>
      <c r="AWA12" s="239">
        <v>0</v>
      </c>
      <c r="AWB12" s="239">
        <v>0</v>
      </c>
      <c r="AWC12" s="239">
        <v>0</v>
      </c>
      <c r="AWD12" s="239">
        <v>0</v>
      </c>
      <c r="AWE12" s="239">
        <v>0</v>
      </c>
      <c r="AWF12" s="516">
        <v>7395.7</v>
      </c>
      <c r="AWG12" s="239">
        <v>0</v>
      </c>
      <c r="AWH12" s="239">
        <v>0</v>
      </c>
      <c r="AWI12" s="239">
        <v>0</v>
      </c>
      <c r="AWJ12" s="239">
        <v>0</v>
      </c>
      <c r="AWK12" s="239">
        <v>0</v>
      </c>
      <c r="AWL12" s="239">
        <v>0</v>
      </c>
      <c r="AWM12" s="239">
        <v>0</v>
      </c>
      <c r="AWN12" s="239">
        <v>0</v>
      </c>
      <c r="AWO12" s="239">
        <v>0</v>
      </c>
      <c r="AWP12" s="239">
        <v>0</v>
      </c>
      <c r="AWQ12" s="239">
        <v>0</v>
      </c>
      <c r="AWR12" s="239">
        <v>0</v>
      </c>
      <c r="AWS12" s="239">
        <v>0</v>
      </c>
      <c r="AWT12" s="239">
        <v>0</v>
      </c>
      <c r="AWU12" s="239">
        <v>0</v>
      </c>
      <c r="AWV12" s="235">
        <v>7395.7</v>
      </c>
      <c r="AWW12" s="239">
        <v>0</v>
      </c>
      <c r="AWX12" s="239">
        <v>0</v>
      </c>
      <c r="AWY12" s="239">
        <v>0</v>
      </c>
      <c r="AWZ12" s="239">
        <v>0</v>
      </c>
      <c r="AXA12" s="239">
        <v>0</v>
      </c>
      <c r="AXB12" s="239">
        <v>0</v>
      </c>
      <c r="AXC12" s="239">
        <v>0</v>
      </c>
      <c r="AXD12" s="516">
        <v>7326.2460000000001</v>
      </c>
      <c r="AXE12" s="239">
        <v>0</v>
      </c>
      <c r="AXF12" s="239">
        <v>0</v>
      </c>
      <c r="AXG12" s="239">
        <v>0</v>
      </c>
      <c r="AXH12" s="239">
        <v>0</v>
      </c>
      <c r="AXI12" s="239">
        <v>0</v>
      </c>
      <c r="AXJ12" s="239">
        <v>0</v>
      </c>
      <c r="AXK12" s="516">
        <v>7374.451</v>
      </c>
      <c r="AXL12" s="239">
        <v>0</v>
      </c>
      <c r="AXM12" s="239">
        <v>0</v>
      </c>
      <c r="AXN12" s="239">
        <v>0</v>
      </c>
      <c r="AXO12" s="239">
        <v>0</v>
      </c>
      <c r="AXP12" s="239">
        <v>0</v>
      </c>
      <c r="AXQ12" s="239">
        <v>0</v>
      </c>
      <c r="AXR12" s="239">
        <v>0</v>
      </c>
      <c r="AXS12" s="239">
        <v>0</v>
      </c>
      <c r="AXT12" s="239">
        <v>0</v>
      </c>
      <c r="AXU12" s="516">
        <v>7320.2569999999996</v>
      </c>
      <c r="AXV12" s="239">
        <v>0</v>
      </c>
      <c r="AXW12" s="239">
        <v>0</v>
      </c>
      <c r="AXX12" s="239">
        <v>0</v>
      </c>
      <c r="AXY12" s="239">
        <v>0</v>
      </c>
      <c r="AXZ12" s="239">
        <v>0</v>
      </c>
      <c r="AYA12" s="239">
        <v>0</v>
      </c>
      <c r="AYB12" s="235">
        <v>22020.953999999998</v>
      </c>
      <c r="AYC12" s="239">
        <v>0</v>
      </c>
      <c r="AYD12" s="239">
        <v>0</v>
      </c>
      <c r="AYE12" s="239">
        <v>0</v>
      </c>
      <c r="AYF12" s="239">
        <v>0</v>
      </c>
      <c r="AYG12" s="239">
        <v>0</v>
      </c>
      <c r="AYH12" s="239">
        <v>0</v>
      </c>
      <c r="AYI12" s="239">
        <v>0</v>
      </c>
      <c r="AYJ12" s="239">
        <v>0</v>
      </c>
      <c r="AYK12" s="239">
        <v>0</v>
      </c>
      <c r="AYL12" s="239">
        <v>0</v>
      </c>
      <c r="AYM12" s="239">
        <v>0</v>
      </c>
      <c r="AYN12" s="239">
        <v>0</v>
      </c>
      <c r="AYO12" s="516">
        <v>7314.143</v>
      </c>
      <c r="AYP12" s="239">
        <v>0</v>
      </c>
      <c r="AYQ12" s="239">
        <v>0</v>
      </c>
      <c r="AYR12" s="239">
        <v>0</v>
      </c>
      <c r="AYS12" s="239">
        <v>0</v>
      </c>
      <c r="AYT12" s="239">
        <v>0</v>
      </c>
      <c r="AYU12" s="239">
        <v>0</v>
      </c>
      <c r="AYV12" s="239">
        <v>0</v>
      </c>
      <c r="AYW12" s="239">
        <v>0</v>
      </c>
      <c r="AYX12" s="239">
        <v>0</v>
      </c>
      <c r="AYY12" s="239">
        <v>0</v>
      </c>
      <c r="AYZ12" s="239">
        <v>0</v>
      </c>
      <c r="AZA12" s="239">
        <v>0</v>
      </c>
      <c r="AZB12" s="239">
        <v>0</v>
      </c>
      <c r="AZC12" s="239">
        <v>0</v>
      </c>
      <c r="AZD12" s="239">
        <v>0</v>
      </c>
      <c r="AZE12" s="239">
        <v>0</v>
      </c>
      <c r="AZF12" s="239">
        <v>0</v>
      </c>
      <c r="AZG12" s="235">
        <v>7314.143</v>
      </c>
      <c r="AZH12" s="239">
        <f>Actual!F204</f>
        <v>0</v>
      </c>
      <c r="AZI12" s="239">
        <f>Actual!G204</f>
        <v>0</v>
      </c>
      <c r="AZJ12" s="239">
        <f>Actual!H204</f>
        <v>0</v>
      </c>
      <c r="AZK12" s="239">
        <f>Actual!I204</f>
        <v>0</v>
      </c>
      <c r="AZL12" s="239">
        <f>Actual!J204</f>
        <v>0</v>
      </c>
      <c r="AZM12" s="239">
        <f>Actual!K204</f>
        <v>0</v>
      </c>
      <c r="AZN12" s="239">
        <f>Actual!L204</f>
        <v>0</v>
      </c>
      <c r="AZO12" s="239">
        <f>Actual!M204</f>
        <v>0</v>
      </c>
      <c r="AZP12" s="239">
        <f>Actual!N204</f>
        <v>0</v>
      </c>
      <c r="AZQ12" s="239">
        <f>Actual!O204</f>
        <v>0</v>
      </c>
      <c r="AZR12" s="239">
        <f>Actual!P204</f>
        <v>0</v>
      </c>
      <c r="AZS12" s="239">
        <f>Actual!Q204</f>
        <v>0</v>
      </c>
      <c r="AZT12" s="239">
        <f>Actual!R204</f>
        <v>0</v>
      </c>
      <c r="AZU12" s="239">
        <f>Actual!S204</f>
        <v>0</v>
      </c>
      <c r="AZV12" s="239">
        <f>Actual!T204</f>
        <v>0</v>
      </c>
      <c r="AZW12" s="239">
        <f>Actual!U204</f>
        <v>0</v>
      </c>
      <c r="AZX12" s="239">
        <f>Actual!V204</f>
        <v>0</v>
      </c>
      <c r="AZY12" s="239">
        <f>Actual!W204</f>
        <v>0</v>
      </c>
      <c r="AZZ12" s="239">
        <f>Actual!X204</f>
        <v>0</v>
      </c>
      <c r="BAA12" s="239">
        <f>Actual!Y204</f>
        <v>0</v>
      </c>
      <c r="BAB12" s="239">
        <f>Actual!Z204</f>
        <v>0</v>
      </c>
      <c r="BAC12" s="239">
        <f>Actual!AA204</f>
        <v>0</v>
      </c>
      <c r="BAD12" s="239">
        <f>Actual!AB204</f>
        <v>0</v>
      </c>
      <c r="BAE12" s="239">
        <f>Actual!AC204</f>
        <v>0</v>
      </c>
      <c r="BAF12" s="239">
        <f>Actual!AD204</f>
        <v>0</v>
      </c>
      <c r="BAG12" s="239">
        <f>Actual!AE204</f>
        <v>0</v>
      </c>
      <c r="BAH12" s="239">
        <f>Actual!AF204</f>
        <v>0</v>
      </c>
      <c r="BAI12" s="239">
        <f>Actual!AG204</f>
        <v>0</v>
      </c>
      <c r="BAJ12" s="239">
        <f>Actual!AH204</f>
        <v>0</v>
      </c>
      <c r="BAK12" s="239">
        <f>Actual!AI204</f>
        <v>0</v>
      </c>
      <c r="BAL12" s="239">
        <f>Actual!AJ204</f>
        <v>0</v>
      </c>
      <c r="BAM12" s="235">
        <f>SUM(AZH12:BAL12)</f>
        <v>0</v>
      </c>
    </row>
    <row r="13" spans="2:1392" ht="14.65" hidden="1" customHeight="1">
      <c r="B13" s="279" t="s">
        <v>361</v>
      </c>
      <c r="C13" s="266">
        <v>0</v>
      </c>
      <c r="D13" s="266">
        <v>0</v>
      </c>
      <c r="E13" s="266">
        <v>0</v>
      </c>
      <c r="F13" s="266">
        <v>0</v>
      </c>
      <c r="G13" s="266">
        <v>0</v>
      </c>
      <c r="H13" s="266">
        <v>0</v>
      </c>
      <c r="I13" s="266">
        <v>0</v>
      </c>
      <c r="J13" s="266">
        <v>0</v>
      </c>
      <c r="K13" s="266">
        <v>0</v>
      </c>
      <c r="L13" s="266">
        <v>0</v>
      </c>
      <c r="M13" s="266">
        <v>0</v>
      </c>
      <c r="N13" s="266">
        <v>0</v>
      </c>
      <c r="O13" s="266">
        <v>0</v>
      </c>
      <c r="P13" s="266">
        <v>0</v>
      </c>
      <c r="Q13" s="266">
        <v>0</v>
      </c>
      <c r="R13" s="266">
        <v>0</v>
      </c>
      <c r="S13" s="266">
        <v>0</v>
      </c>
      <c r="T13" s="266">
        <v>0</v>
      </c>
      <c r="U13" s="266">
        <v>0</v>
      </c>
      <c r="V13" s="266">
        <v>0</v>
      </c>
      <c r="W13" s="266">
        <v>0</v>
      </c>
      <c r="X13" s="266">
        <v>0</v>
      </c>
      <c r="Y13" s="266">
        <v>0</v>
      </c>
      <c r="Z13" s="266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35">
        <f t="shared" ref="AH13:AH20" si="26">SUM(C13:AG13)</f>
        <v>0</v>
      </c>
      <c r="AI13" s="266"/>
      <c r="AK13" s="266"/>
      <c r="AL13" s="266"/>
      <c r="AM13" s="266"/>
      <c r="AN13" s="266"/>
      <c r="AO13" s="266"/>
      <c r="AP13" s="239"/>
      <c r="AQ13" s="239"/>
      <c r="AR13" s="239"/>
      <c r="AS13" s="239"/>
      <c r="AT13" s="239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35">
        <f t="shared" si="8"/>
        <v>0</v>
      </c>
      <c r="BL13" s="220"/>
      <c r="BN13" s="220"/>
      <c r="BO13" s="220"/>
      <c r="BP13" s="220"/>
      <c r="BQ13" s="220"/>
      <c r="BR13" s="220"/>
      <c r="BS13" s="239"/>
      <c r="BT13" s="239"/>
      <c r="BU13" s="220"/>
      <c r="BV13" s="239"/>
      <c r="BW13" s="220"/>
      <c r="BX13" s="220"/>
      <c r="BY13" s="220"/>
      <c r="BZ13" s="220"/>
      <c r="CA13" s="220"/>
      <c r="CB13" s="220"/>
      <c r="CC13" s="220"/>
      <c r="CD13" s="220"/>
      <c r="CE13" s="220"/>
      <c r="CF13" s="220"/>
      <c r="CG13" s="220"/>
      <c r="CH13" s="220"/>
      <c r="CI13" s="220"/>
      <c r="CJ13" s="220"/>
      <c r="CK13" s="220"/>
      <c r="CL13" s="220"/>
      <c r="CM13" s="220"/>
      <c r="CN13" s="220"/>
      <c r="CO13" s="220"/>
      <c r="CP13" s="220"/>
      <c r="CQ13" s="235">
        <f t="shared" si="16"/>
        <v>0</v>
      </c>
      <c r="CR13" s="220"/>
      <c r="CT13" s="220"/>
      <c r="CU13" s="220"/>
      <c r="CV13" s="220"/>
      <c r="CW13" s="220"/>
      <c r="CX13" s="220"/>
      <c r="CY13" s="239"/>
      <c r="CZ13" s="239"/>
      <c r="DA13" s="220"/>
      <c r="DB13" s="239"/>
      <c r="DC13" s="220"/>
      <c r="DD13" s="220"/>
      <c r="DE13" s="239"/>
      <c r="DF13" s="220"/>
      <c r="DG13" s="251">
        <v>7000</v>
      </c>
      <c r="DH13" s="251">
        <v>7000</v>
      </c>
      <c r="DI13" s="220"/>
      <c r="DJ13" s="220"/>
      <c r="DK13" s="220"/>
      <c r="DL13" s="251">
        <v>7000</v>
      </c>
      <c r="DM13" s="251">
        <v>7000</v>
      </c>
      <c r="DN13" s="220"/>
      <c r="DO13" s="220"/>
      <c r="DP13" s="220"/>
      <c r="DQ13" s="251">
        <v>7000</v>
      </c>
      <c r="DR13" s="251">
        <v>7000</v>
      </c>
      <c r="DS13" s="251">
        <v>7000</v>
      </c>
      <c r="DT13" s="220"/>
      <c r="DU13" s="220"/>
      <c r="DV13" s="220"/>
      <c r="DW13" s="235">
        <f t="shared" si="17"/>
        <v>49000</v>
      </c>
      <c r="DX13" s="220"/>
      <c r="DZ13" s="220"/>
      <c r="EA13" s="220"/>
      <c r="EB13" s="220"/>
      <c r="EC13" s="220"/>
      <c r="ED13" s="220"/>
      <c r="EE13" s="239"/>
      <c r="EF13" s="239"/>
      <c r="EG13" s="220"/>
      <c r="EH13" s="239"/>
      <c r="EI13" s="220"/>
      <c r="EJ13" s="220"/>
      <c r="EK13" s="239"/>
      <c r="EL13" s="220"/>
      <c r="EM13" s="220"/>
      <c r="EN13" s="251">
        <v>7000</v>
      </c>
      <c r="EO13" s="251">
        <v>12500</v>
      </c>
      <c r="EP13" s="220"/>
      <c r="EQ13" s="220"/>
      <c r="ER13" s="251">
        <v>6000</v>
      </c>
      <c r="ES13" s="251">
        <v>6000</v>
      </c>
      <c r="ET13" s="251">
        <v>6000</v>
      </c>
      <c r="EU13" s="251">
        <v>5000</v>
      </c>
      <c r="EV13" s="251">
        <v>7000</v>
      </c>
      <c r="EW13" s="220"/>
      <c r="EX13" s="220"/>
      <c r="EY13" s="220"/>
      <c r="EZ13" s="220"/>
      <c r="FA13" s="220"/>
      <c r="FB13" s="220"/>
      <c r="FC13" s="235">
        <f t="shared" si="18"/>
        <v>49500</v>
      </c>
      <c r="FD13" s="220"/>
      <c r="FF13" s="220"/>
      <c r="FG13" s="220"/>
      <c r="FH13" s="220"/>
      <c r="FI13" s="220"/>
      <c r="FJ13" s="220"/>
      <c r="FK13" s="239"/>
      <c r="FL13" s="239"/>
      <c r="FM13" s="220"/>
      <c r="FN13" s="239"/>
      <c r="FO13" s="220"/>
      <c r="FP13" s="220"/>
      <c r="FQ13" s="239"/>
      <c r="FR13" s="220"/>
      <c r="FS13" s="220"/>
      <c r="FT13" s="220"/>
      <c r="FU13" s="220"/>
      <c r="FV13" s="220"/>
      <c r="FW13" s="220"/>
      <c r="FX13" s="220"/>
      <c r="FY13" s="220"/>
      <c r="FZ13" s="220"/>
      <c r="GA13" s="220"/>
      <c r="GB13" s="220"/>
      <c r="GC13" s="251">
        <v>6000</v>
      </c>
      <c r="GD13" s="251">
        <v>5000</v>
      </c>
      <c r="GE13" s="251">
        <v>12000</v>
      </c>
      <c r="GF13" s="251">
        <v>7000</v>
      </c>
      <c r="GG13" s="251">
        <v>7000</v>
      </c>
      <c r="GH13" s="220"/>
      <c r="GI13" s="235">
        <f t="shared" si="19"/>
        <v>37000</v>
      </c>
      <c r="GJ13" s="251">
        <v>5500</v>
      </c>
      <c r="GK13" s="251">
        <v>7000</v>
      </c>
      <c r="GL13" s="220"/>
      <c r="GM13" s="220"/>
      <c r="GN13" s="220"/>
      <c r="GO13" s="220"/>
      <c r="GP13" s="220"/>
      <c r="GQ13" s="220"/>
      <c r="GR13" s="220"/>
      <c r="GS13" s="220"/>
      <c r="GT13" s="220"/>
      <c r="GU13" s="220"/>
      <c r="GV13" s="220"/>
      <c r="GW13" s="220"/>
      <c r="GX13" s="220"/>
      <c r="GY13" s="220"/>
      <c r="GZ13" s="220"/>
      <c r="HA13" s="220"/>
      <c r="HB13" s="220"/>
      <c r="HC13" s="220"/>
      <c r="HD13" s="220"/>
      <c r="HE13" s="220"/>
      <c r="HF13" s="220"/>
      <c r="HG13" s="220"/>
      <c r="HH13" s="220"/>
      <c r="HI13" s="220"/>
      <c r="HJ13" s="220"/>
      <c r="HK13" s="220"/>
      <c r="HL13" s="220"/>
      <c r="HM13" s="220"/>
      <c r="HN13" s="220"/>
      <c r="HO13" s="235">
        <f t="shared" si="20"/>
        <v>12500</v>
      </c>
      <c r="HP13" s="220"/>
      <c r="HR13" s="220"/>
      <c r="HS13" s="220"/>
      <c r="HT13" s="220"/>
      <c r="HU13" s="220"/>
      <c r="HV13" s="220"/>
      <c r="HW13" s="220"/>
      <c r="HX13" s="220"/>
      <c r="HY13" s="220"/>
      <c r="HZ13" s="220"/>
      <c r="IA13" s="220"/>
      <c r="IB13" s="220"/>
      <c r="IC13" s="220"/>
      <c r="ID13" s="220"/>
      <c r="IE13" s="220"/>
      <c r="IF13" s="220"/>
      <c r="IG13" s="220"/>
      <c r="IH13" s="220"/>
      <c r="II13" s="220"/>
      <c r="IJ13" s="220"/>
      <c r="IK13" s="220"/>
      <c r="IL13" s="220"/>
      <c r="IM13" s="220"/>
      <c r="IN13" s="220"/>
      <c r="IO13" s="220"/>
      <c r="IP13" s="220"/>
      <c r="IQ13" s="220"/>
      <c r="IR13" s="220"/>
      <c r="IS13" s="220"/>
      <c r="IT13" s="220"/>
      <c r="IU13" s="235">
        <f t="shared" si="21"/>
        <v>0</v>
      </c>
      <c r="IV13" s="266"/>
      <c r="IW13" s="266"/>
      <c r="IX13" s="266"/>
      <c r="IY13" s="271">
        <v>6000</v>
      </c>
      <c r="IZ13" s="271">
        <v>5500</v>
      </c>
      <c r="JA13" s="271">
        <v>10000</v>
      </c>
      <c r="JB13" s="271">
        <v>7000</v>
      </c>
      <c r="JC13" s="271">
        <v>7000</v>
      </c>
      <c r="JD13" s="271">
        <v>7000</v>
      </c>
      <c r="JE13" s="271">
        <v>7000</v>
      </c>
      <c r="JF13" s="266"/>
      <c r="JG13" s="266"/>
      <c r="JH13" s="266"/>
      <c r="JI13" s="266"/>
      <c r="JJ13" s="266"/>
      <c r="JK13" s="266"/>
      <c r="JL13" s="266"/>
      <c r="JM13" s="266"/>
      <c r="JN13" s="266"/>
      <c r="JO13" s="266"/>
      <c r="JP13" s="266"/>
      <c r="JQ13" s="266"/>
      <c r="JR13" s="266"/>
      <c r="JS13" s="266"/>
      <c r="JT13" s="266"/>
      <c r="JU13" s="266"/>
      <c r="JV13" s="266"/>
      <c r="JW13" s="266"/>
      <c r="JX13" s="266"/>
      <c r="JY13" s="266"/>
      <c r="JZ13" s="220"/>
      <c r="KA13" s="235">
        <f t="shared" si="22"/>
        <v>49500</v>
      </c>
      <c r="KB13" s="266"/>
      <c r="KC13" s="266"/>
      <c r="KD13" s="266"/>
      <c r="KE13" s="266"/>
      <c r="KF13" s="266"/>
      <c r="KG13" s="266"/>
      <c r="KH13" s="266"/>
      <c r="KI13" s="266"/>
      <c r="KJ13" s="266"/>
      <c r="KK13" s="266"/>
      <c r="KL13" s="266"/>
      <c r="KM13" s="266"/>
      <c r="KN13" s="266"/>
      <c r="KO13" s="266"/>
      <c r="KP13" s="266"/>
      <c r="KQ13" s="266"/>
      <c r="KR13" s="266"/>
      <c r="KS13" s="266"/>
      <c r="KT13" s="266"/>
      <c r="KU13" s="266"/>
      <c r="KV13" s="266"/>
      <c r="KW13" s="266"/>
      <c r="KX13" s="266"/>
      <c r="KY13" s="308">
        <v>5500</v>
      </c>
      <c r="KZ13" s="308">
        <v>10000</v>
      </c>
      <c r="LA13" s="308">
        <v>7000</v>
      </c>
      <c r="LB13" s="308">
        <v>7000</v>
      </c>
      <c r="LC13" s="308">
        <v>7000</v>
      </c>
      <c r="LD13" s="308">
        <v>7000</v>
      </c>
      <c r="LE13" s="308">
        <v>6000</v>
      </c>
      <c r="LF13" s="266"/>
      <c r="LG13" s="235">
        <f t="shared" si="23"/>
        <v>49500</v>
      </c>
      <c r="LH13" s="220"/>
      <c r="LI13" s="220"/>
      <c r="LJ13" s="220"/>
      <c r="LK13" s="220"/>
      <c r="LL13" s="220"/>
      <c r="LM13" s="220"/>
      <c r="LN13" s="220"/>
      <c r="LO13" s="220"/>
      <c r="LP13" s="220"/>
      <c r="LQ13" s="220"/>
      <c r="LR13" s="220"/>
      <c r="LS13" s="220"/>
      <c r="LT13" s="220"/>
      <c r="LU13" s="220"/>
      <c r="LV13" s="220"/>
      <c r="LW13" s="220"/>
      <c r="LX13" s="220"/>
      <c r="LY13" s="220"/>
      <c r="LZ13" s="220"/>
      <c r="MA13" s="220"/>
      <c r="MB13" s="220"/>
      <c r="MC13" s="220"/>
      <c r="MD13" s="220"/>
      <c r="ME13" s="220"/>
      <c r="MF13" s="220"/>
      <c r="MG13" s="220"/>
      <c r="MH13" s="220"/>
      <c r="MI13" s="220"/>
      <c r="MJ13" s="220"/>
      <c r="MK13" s="220"/>
      <c r="ML13" s="220"/>
      <c r="MM13" s="235">
        <f t="shared" si="24"/>
        <v>0</v>
      </c>
      <c r="MN13" s="207">
        <v>28500</v>
      </c>
      <c r="MO13" s="207">
        <v>7000</v>
      </c>
      <c r="MP13" s="207">
        <v>7000</v>
      </c>
      <c r="MQ13" s="207">
        <v>7000</v>
      </c>
      <c r="MR13" s="220"/>
      <c r="MS13" s="220"/>
      <c r="MT13" s="220"/>
      <c r="MU13" s="220"/>
      <c r="MV13" s="220"/>
      <c r="MW13" s="220"/>
      <c r="MX13" s="220"/>
      <c r="MY13" s="220"/>
      <c r="MZ13" s="220"/>
      <c r="NA13" s="220"/>
      <c r="NB13" s="220"/>
      <c r="NC13" s="220"/>
      <c r="ND13" s="220"/>
      <c r="NE13" s="220"/>
      <c r="NF13" s="220"/>
      <c r="NG13" s="220"/>
      <c r="NH13" s="220"/>
      <c r="NI13" s="220"/>
      <c r="NJ13" s="220"/>
      <c r="NK13" s="207">
        <v>5500</v>
      </c>
      <c r="NL13" s="207">
        <v>10000</v>
      </c>
      <c r="NM13" s="207">
        <v>7000</v>
      </c>
      <c r="NN13" s="207">
        <v>7000</v>
      </c>
      <c r="NO13" s="207">
        <v>7000</v>
      </c>
      <c r="NP13" s="207">
        <v>7000</v>
      </c>
      <c r="NQ13" s="207">
        <v>6000</v>
      </c>
      <c r="NR13" s="220"/>
      <c r="NS13" s="235">
        <f t="shared" si="25"/>
        <v>99000</v>
      </c>
      <c r="NT13" s="266">
        <v>0</v>
      </c>
      <c r="NU13" s="266">
        <v>0</v>
      </c>
      <c r="NV13" s="266">
        <v>0</v>
      </c>
      <c r="NW13" s="266">
        <v>0</v>
      </c>
      <c r="NX13" s="266">
        <v>0</v>
      </c>
      <c r="NY13" s="266">
        <v>0</v>
      </c>
      <c r="NZ13" s="266">
        <v>0</v>
      </c>
      <c r="OA13" s="266">
        <v>0</v>
      </c>
      <c r="OB13" s="266">
        <v>0</v>
      </c>
      <c r="OC13" s="266">
        <v>0</v>
      </c>
      <c r="OD13" s="266">
        <v>0</v>
      </c>
      <c r="OE13" s="266">
        <v>0</v>
      </c>
      <c r="OF13" s="266">
        <v>0</v>
      </c>
      <c r="OG13" s="266">
        <v>0</v>
      </c>
      <c r="OH13" s="266">
        <v>0</v>
      </c>
      <c r="OI13" s="266">
        <v>0</v>
      </c>
      <c r="OJ13" s="266">
        <v>0</v>
      </c>
      <c r="OK13" s="266">
        <v>0</v>
      </c>
      <c r="OL13" s="266">
        <v>0</v>
      </c>
      <c r="OM13" s="266">
        <v>0</v>
      </c>
      <c r="ON13" s="266">
        <v>0</v>
      </c>
      <c r="OO13" s="266">
        <v>0</v>
      </c>
      <c r="OP13" s="266">
        <v>0</v>
      </c>
      <c r="OQ13" s="266">
        <v>0</v>
      </c>
      <c r="OR13" s="266">
        <v>0</v>
      </c>
      <c r="OS13" s="266">
        <v>0</v>
      </c>
      <c r="OT13" s="266">
        <v>0</v>
      </c>
      <c r="OU13" s="266">
        <v>0</v>
      </c>
      <c r="OV13" s="266">
        <v>0</v>
      </c>
      <c r="OW13" s="266">
        <v>0</v>
      </c>
      <c r="OX13" s="266">
        <v>0</v>
      </c>
      <c r="OY13" s="235">
        <f t="shared" si="9"/>
        <v>0</v>
      </c>
      <c r="OZ13" s="266">
        <v>0</v>
      </c>
      <c r="PA13" s="266">
        <v>0</v>
      </c>
      <c r="PB13" s="266">
        <v>0</v>
      </c>
      <c r="PC13" s="266">
        <v>0</v>
      </c>
      <c r="PD13" s="266">
        <v>0</v>
      </c>
      <c r="PE13" s="266">
        <v>0</v>
      </c>
      <c r="PF13" s="266">
        <v>0</v>
      </c>
      <c r="PG13" s="266">
        <v>0</v>
      </c>
      <c r="PH13" s="266">
        <v>0</v>
      </c>
      <c r="PI13" s="266">
        <v>0</v>
      </c>
      <c r="PJ13" s="266">
        <v>0</v>
      </c>
      <c r="PK13" s="266">
        <v>0</v>
      </c>
      <c r="PL13" s="266">
        <v>0</v>
      </c>
      <c r="PM13" s="266">
        <v>0</v>
      </c>
      <c r="PN13" s="266">
        <v>0</v>
      </c>
      <c r="PO13" s="266">
        <v>0</v>
      </c>
      <c r="PP13" s="266">
        <v>0</v>
      </c>
      <c r="PQ13" s="266">
        <v>0</v>
      </c>
      <c r="PR13" s="266">
        <v>0</v>
      </c>
      <c r="PS13" s="266">
        <v>0</v>
      </c>
      <c r="PT13" s="266">
        <v>0</v>
      </c>
      <c r="PU13" s="266">
        <v>0</v>
      </c>
      <c r="PV13" s="266">
        <v>0</v>
      </c>
      <c r="PW13" s="266">
        <v>0</v>
      </c>
      <c r="PX13" s="266">
        <v>0</v>
      </c>
      <c r="PY13" s="266">
        <v>0</v>
      </c>
      <c r="PZ13" s="266">
        <v>0</v>
      </c>
      <c r="QA13" s="266">
        <v>0</v>
      </c>
      <c r="QB13" s="266">
        <v>0</v>
      </c>
      <c r="QC13" s="266">
        <v>0</v>
      </c>
      <c r="QD13" s="235">
        <f t="shared" si="10"/>
        <v>0</v>
      </c>
      <c r="QE13" s="266">
        <v>0</v>
      </c>
      <c r="QF13" s="266">
        <v>0</v>
      </c>
      <c r="QG13" s="266">
        <v>0</v>
      </c>
      <c r="QH13" s="266">
        <v>0</v>
      </c>
      <c r="QI13" s="266">
        <v>0</v>
      </c>
      <c r="QJ13" s="266">
        <v>0</v>
      </c>
      <c r="QK13" s="266">
        <v>0</v>
      </c>
      <c r="QL13" s="266">
        <v>0</v>
      </c>
      <c r="QM13" s="266">
        <v>0</v>
      </c>
      <c r="QN13" s="266">
        <v>0</v>
      </c>
      <c r="QO13" s="266">
        <v>0</v>
      </c>
      <c r="QP13" s="266">
        <v>0</v>
      </c>
      <c r="QQ13" s="266">
        <v>0</v>
      </c>
      <c r="QR13" s="266">
        <v>0</v>
      </c>
      <c r="QS13" s="266">
        <v>0</v>
      </c>
      <c r="QT13" s="266">
        <v>0</v>
      </c>
      <c r="QU13" s="266">
        <v>0</v>
      </c>
      <c r="QV13" s="266">
        <v>0</v>
      </c>
      <c r="QW13" s="266">
        <v>0</v>
      </c>
      <c r="QX13" s="266">
        <v>0</v>
      </c>
      <c r="QY13" s="266">
        <v>0</v>
      </c>
      <c r="QZ13" s="266">
        <v>0</v>
      </c>
      <c r="RA13" s="266">
        <v>0</v>
      </c>
      <c r="RB13" s="266">
        <v>0</v>
      </c>
      <c r="RC13" s="266">
        <v>0</v>
      </c>
      <c r="RD13" s="266">
        <v>0</v>
      </c>
      <c r="RE13" s="266">
        <v>0</v>
      </c>
      <c r="RF13" s="266">
        <v>0</v>
      </c>
      <c r="RG13" s="266">
        <v>0</v>
      </c>
      <c r="RH13" s="266">
        <v>0</v>
      </c>
      <c r="RI13" s="266">
        <v>0</v>
      </c>
      <c r="RJ13" s="235">
        <v>0</v>
      </c>
      <c r="RK13" s="266">
        <v>0</v>
      </c>
      <c r="RL13" s="266">
        <v>0</v>
      </c>
      <c r="RM13" s="266">
        <v>0</v>
      </c>
      <c r="RN13" s="266">
        <v>0</v>
      </c>
      <c r="RO13" s="266">
        <v>0</v>
      </c>
      <c r="RP13" s="266">
        <v>0</v>
      </c>
      <c r="RQ13" s="266">
        <v>0</v>
      </c>
      <c r="RR13" s="266">
        <v>0</v>
      </c>
      <c r="RS13" s="266">
        <v>0</v>
      </c>
      <c r="RT13" s="266">
        <v>0</v>
      </c>
      <c r="RU13" s="266">
        <v>0</v>
      </c>
      <c r="RV13" s="266">
        <v>0</v>
      </c>
      <c r="RW13" s="266">
        <v>0</v>
      </c>
      <c r="RX13" s="266">
        <v>0</v>
      </c>
      <c r="RY13" s="266">
        <v>0</v>
      </c>
      <c r="RZ13" s="266">
        <v>0</v>
      </c>
      <c r="SA13" s="266">
        <v>0</v>
      </c>
      <c r="SB13" s="266">
        <v>0</v>
      </c>
      <c r="SC13" s="266">
        <v>0</v>
      </c>
      <c r="SD13" s="266">
        <v>0</v>
      </c>
      <c r="SE13" s="266">
        <v>0</v>
      </c>
      <c r="SF13" s="266">
        <v>0</v>
      </c>
      <c r="SG13" s="266">
        <v>0</v>
      </c>
      <c r="SH13" s="266">
        <v>0</v>
      </c>
      <c r="SI13" s="266">
        <v>0</v>
      </c>
      <c r="SJ13" s="266">
        <v>0</v>
      </c>
      <c r="SK13" s="266">
        <v>0</v>
      </c>
      <c r="SL13" s="266">
        <v>0</v>
      </c>
      <c r="SM13" s="266">
        <v>0</v>
      </c>
      <c r="SN13" s="266">
        <v>0</v>
      </c>
      <c r="SO13" s="235">
        <v>0</v>
      </c>
      <c r="SP13" s="266">
        <v>0</v>
      </c>
      <c r="SQ13" s="266">
        <v>0</v>
      </c>
      <c r="SR13" s="266">
        <v>0</v>
      </c>
      <c r="SS13" s="266">
        <v>0</v>
      </c>
      <c r="ST13" s="266">
        <v>0</v>
      </c>
      <c r="SU13" s="266">
        <v>0</v>
      </c>
      <c r="SV13" s="266">
        <v>0</v>
      </c>
      <c r="SW13" s="266">
        <v>0</v>
      </c>
      <c r="SX13" s="266">
        <v>0</v>
      </c>
      <c r="SY13" s="266">
        <v>0</v>
      </c>
      <c r="SZ13" s="266">
        <v>0</v>
      </c>
      <c r="TA13" s="266">
        <v>0</v>
      </c>
      <c r="TB13" s="266">
        <v>0</v>
      </c>
      <c r="TC13" s="266">
        <v>0</v>
      </c>
      <c r="TD13" s="266">
        <v>0</v>
      </c>
      <c r="TE13" s="266">
        <v>0</v>
      </c>
      <c r="TF13" s="266">
        <v>0</v>
      </c>
      <c r="TG13" s="266">
        <v>0</v>
      </c>
      <c r="TH13" s="266">
        <v>0</v>
      </c>
      <c r="TI13" s="266">
        <v>0</v>
      </c>
      <c r="TJ13" s="266">
        <v>0</v>
      </c>
      <c r="TK13" s="266">
        <v>0</v>
      </c>
      <c r="TL13" s="266">
        <v>0</v>
      </c>
      <c r="TM13" s="266">
        <v>0</v>
      </c>
      <c r="TN13" s="266">
        <v>0</v>
      </c>
      <c r="TO13" s="266">
        <v>0</v>
      </c>
      <c r="TP13" s="266">
        <v>0</v>
      </c>
      <c r="TQ13" s="266">
        <v>0</v>
      </c>
      <c r="TR13" s="266">
        <v>0</v>
      </c>
      <c r="TS13" s="266">
        <v>0</v>
      </c>
      <c r="TT13" s="266">
        <v>0</v>
      </c>
      <c r="TU13" s="235">
        <v>0</v>
      </c>
      <c r="TV13" s="266">
        <v>0</v>
      </c>
      <c r="TW13" s="266">
        <v>0</v>
      </c>
      <c r="TX13" s="266">
        <v>0</v>
      </c>
      <c r="TY13" s="266">
        <v>0</v>
      </c>
      <c r="TZ13" s="266">
        <v>0</v>
      </c>
      <c r="UA13" s="266">
        <v>0</v>
      </c>
      <c r="UB13" s="266">
        <v>0</v>
      </c>
      <c r="UC13" s="266">
        <v>0</v>
      </c>
      <c r="UD13" s="266">
        <v>0</v>
      </c>
      <c r="UE13" s="266">
        <v>0</v>
      </c>
      <c r="UF13" s="266">
        <v>0</v>
      </c>
      <c r="UG13" s="266">
        <v>0</v>
      </c>
      <c r="UH13" s="266">
        <v>0</v>
      </c>
      <c r="UI13" s="266">
        <v>0</v>
      </c>
      <c r="UJ13" s="266">
        <v>0</v>
      </c>
      <c r="UK13" s="266">
        <v>0</v>
      </c>
      <c r="UL13" s="266">
        <v>0</v>
      </c>
      <c r="UM13" s="266">
        <v>0</v>
      </c>
      <c r="UN13" s="266">
        <v>0</v>
      </c>
      <c r="UO13" s="266">
        <v>0</v>
      </c>
      <c r="UP13" s="266">
        <v>0</v>
      </c>
      <c r="UQ13" s="266">
        <v>0</v>
      </c>
      <c r="UR13" s="266">
        <v>0</v>
      </c>
      <c r="US13" s="266">
        <v>0</v>
      </c>
      <c r="UT13" s="266">
        <v>0</v>
      </c>
      <c r="UU13" s="266">
        <v>0</v>
      </c>
      <c r="UV13" s="266">
        <v>0</v>
      </c>
      <c r="UW13" s="266">
        <v>0</v>
      </c>
      <c r="UX13" s="266">
        <v>0</v>
      </c>
      <c r="UY13" s="266">
        <v>0</v>
      </c>
      <c r="UZ13" s="266">
        <v>0</v>
      </c>
      <c r="VA13" s="235">
        <v>0</v>
      </c>
      <c r="VB13" s="266">
        <v>0</v>
      </c>
      <c r="VC13" s="266">
        <v>0</v>
      </c>
      <c r="VD13" s="266">
        <v>0</v>
      </c>
      <c r="VE13" s="266">
        <v>0</v>
      </c>
      <c r="VF13" s="266">
        <v>0</v>
      </c>
      <c r="VG13" s="266">
        <v>0</v>
      </c>
      <c r="VH13" s="266">
        <v>0</v>
      </c>
      <c r="VI13" s="266">
        <v>0</v>
      </c>
      <c r="VJ13" s="266">
        <v>0</v>
      </c>
      <c r="VK13" s="266">
        <v>0</v>
      </c>
      <c r="VL13" s="266">
        <v>0</v>
      </c>
      <c r="VM13" s="266">
        <v>0</v>
      </c>
      <c r="VN13" s="266">
        <v>0</v>
      </c>
      <c r="VO13" s="266">
        <v>0</v>
      </c>
      <c r="VP13" s="266">
        <v>0</v>
      </c>
      <c r="VQ13" s="266">
        <v>0</v>
      </c>
      <c r="VR13" s="266">
        <v>0</v>
      </c>
      <c r="VS13" s="266">
        <v>0</v>
      </c>
      <c r="VT13" s="266">
        <v>0</v>
      </c>
      <c r="VU13" s="266">
        <v>0</v>
      </c>
      <c r="VV13" s="266">
        <v>0</v>
      </c>
      <c r="VW13" s="266">
        <v>0</v>
      </c>
      <c r="VX13" s="266">
        <v>0</v>
      </c>
      <c r="VY13" s="266">
        <v>0</v>
      </c>
      <c r="VZ13" s="266">
        <v>0</v>
      </c>
      <c r="WA13" s="266">
        <v>0</v>
      </c>
      <c r="WB13" s="266">
        <v>0</v>
      </c>
      <c r="WC13" s="266">
        <v>0</v>
      </c>
      <c r="WD13" s="266">
        <v>0</v>
      </c>
      <c r="WE13" s="266">
        <v>0</v>
      </c>
      <c r="WF13" s="235">
        <v>0</v>
      </c>
      <c r="WG13" s="266">
        <v>0</v>
      </c>
      <c r="WH13" s="266">
        <v>0</v>
      </c>
      <c r="WI13" s="266">
        <v>0</v>
      </c>
      <c r="WJ13" s="266">
        <v>0</v>
      </c>
      <c r="WK13" s="266">
        <v>0</v>
      </c>
      <c r="WL13" s="266">
        <v>0</v>
      </c>
      <c r="WM13" s="266">
        <v>0</v>
      </c>
      <c r="WN13" s="266">
        <v>0</v>
      </c>
      <c r="WO13" s="266">
        <v>0</v>
      </c>
      <c r="WP13" s="266">
        <v>0</v>
      </c>
      <c r="WQ13" s="266">
        <v>0</v>
      </c>
      <c r="WR13" s="266">
        <v>0</v>
      </c>
      <c r="WS13" s="266">
        <v>0</v>
      </c>
      <c r="WT13" s="266">
        <v>0</v>
      </c>
      <c r="WU13" s="266">
        <v>0</v>
      </c>
      <c r="WV13" s="266">
        <v>0</v>
      </c>
      <c r="WW13" s="266">
        <v>0</v>
      </c>
      <c r="WX13" s="266">
        <v>0</v>
      </c>
      <c r="WY13" s="266">
        <v>0</v>
      </c>
      <c r="WZ13" s="266">
        <v>0</v>
      </c>
      <c r="XA13" s="266">
        <v>0</v>
      </c>
      <c r="XB13" s="266">
        <v>0</v>
      </c>
      <c r="XC13" s="266">
        <v>0</v>
      </c>
      <c r="XD13" s="266">
        <v>0</v>
      </c>
      <c r="XE13" s="266">
        <v>0</v>
      </c>
      <c r="XF13" s="266">
        <v>0</v>
      </c>
      <c r="XG13" s="266">
        <v>0</v>
      </c>
      <c r="XH13" s="266">
        <v>0</v>
      </c>
      <c r="XI13" s="266">
        <v>0</v>
      </c>
      <c r="XJ13" s="266">
        <v>0</v>
      </c>
      <c r="XK13" s="266">
        <v>0</v>
      </c>
      <c r="XL13" s="235">
        <v>0</v>
      </c>
      <c r="XM13" s="266">
        <v>0</v>
      </c>
      <c r="XN13" s="266">
        <v>0</v>
      </c>
      <c r="XO13" s="266">
        <v>0</v>
      </c>
      <c r="XP13" s="266">
        <v>0</v>
      </c>
      <c r="XQ13" s="266">
        <v>0</v>
      </c>
      <c r="XR13" s="266">
        <v>0</v>
      </c>
      <c r="XS13" s="266">
        <v>0</v>
      </c>
      <c r="XT13" s="266">
        <v>0</v>
      </c>
      <c r="XU13" s="266">
        <v>0</v>
      </c>
      <c r="XV13" s="266">
        <v>0</v>
      </c>
      <c r="XW13" s="266">
        <v>0</v>
      </c>
      <c r="XX13" s="266">
        <v>0</v>
      </c>
      <c r="XY13" s="266">
        <v>0</v>
      </c>
      <c r="XZ13" s="266">
        <v>0</v>
      </c>
      <c r="YA13" s="266">
        <v>0</v>
      </c>
      <c r="YB13" s="266">
        <v>0</v>
      </c>
      <c r="YC13" s="266">
        <v>0</v>
      </c>
      <c r="YD13" s="266">
        <v>0</v>
      </c>
      <c r="YE13" s="266">
        <v>0</v>
      </c>
      <c r="YF13" s="266">
        <v>0</v>
      </c>
      <c r="YG13" s="266">
        <v>0</v>
      </c>
      <c r="YH13" s="266">
        <v>0</v>
      </c>
      <c r="YI13" s="266">
        <v>0</v>
      </c>
      <c r="YJ13" s="266">
        <v>0</v>
      </c>
      <c r="YK13" s="266">
        <v>0</v>
      </c>
      <c r="YL13" s="266">
        <v>0</v>
      </c>
      <c r="YM13" s="266">
        <v>0</v>
      </c>
      <c r="YN13" s="266">
        <v>0</v>
      </c>
      <c r="YO13" s="266">
        <v>0</v>
      </c>
      <c r="YP13" s="266">
        <v>0</v>
      </c>
      <c r="YQ13" s="266">
        <v>0</v>
      </c>
      <c r="YR13" s="235">
        <v>0</v>
      </c>
      <c r="YS13" s="266">
        <v>0</v>
      </c>
      <c r="YT13" s="266">
        <v>0</v>
      </c>
      <c r="YU13" s="266">
        <v>0</v>
      </c>
      <c r="YV13" s="266">
        <v>0</v>
      </c>
      <c r="YW13" s="266">
        <v>0</v>
      </c>
      <c r="YX13" s="266">
        <v>0</v>
      </c>
      <c r="YY13" s="266">
        <v>0</v>
      </c>
      <c r="YZ13" s="266">
        <v>0</v>
      </c>
      <c r="ZA13" s="266">
        <v>0</v>
      </c>
      <c r="ZB13" s="266">
        <v>0</v>
      </c>
      <c r="ZC13" s="266">
        <v>0</v>
      </c>
      <c r="ZD13" s="266">
        <v>0</v>
      </c>
      <c r="ZE13" s="266">
        <v>0</v>
      </c>
      <c r="ZF13" s="266">
        <v>0</v>
      </c>
      <c r="ZG13" s="266">
        <v>0</v>
      </c>
      <c r="ZH13" s="266">
        <v>0</v>
      </c>
      <c r="ZI13" s="266">
        <v>0</v>
      </c>
      <c r="ZJ13" s="266">
        <v>0</v>
      </c>
      <c r="ZK13" s="266">
        <v>0</v>
      </c>
      <c r="ZL13" s="266">
        <v>0</v>
      </c>
      <c r="ZM13" s="266">
        <v>0</v>
      </c>
      <c r="ZN13" s="266">
        <v>0</v>
      </c>
      <c r="ZO13" s="266">
        <v>0</v>
      </c>
      <c r="ZP13" s="266">
        <v>0</v>
      </c>
      <c r="ZQ13" s="266">
        <v>0</v>
      </c>
      <c r="ZR13" s="266">
        <v>0</v>
      </c>
      <c r="ZS13" s="266">
        <v>0</v>
      </c>
      <c r="ZT13" s="266">
        <v>0</v>
      </c>
      <c r="ZU13" s="266">
        <v>0</v>
      </c>
      <c r="ZV13" s="266">
        <v>0</v>
      </c>
      <c r="ZW13" s="266">
        <v>0</v>
      </c>
      <c r="ZX13" s="235">
        <v>0</v>
      </c>
      <c r="ZY13" s="266">
        <v>0</v>
      </c>
      <c r="ZZ13" s="266">
        <v>0</v>
      </c>
      <c r="AAA13" s="266">
        <v>0</v>
      </c>
      <c r="AAB13" s="266">
        <v>0</v>
      </c>
      <c r="AAC13" s="266">
        <v>0</v>
      </c>
      <c r="AAD13" s="266">
        <v>0</v>
      </c>
      <c r="AAE13" s="266">
        <v>0</v>
      </c>
      <c r="AAF13" s="266">
        <v>0</v>
      </c>
      <c r="AAG13" s="266">
        <v>0</v>
      </c>
      <c r="AAH13" s="266">
        <v>0</v>
      </c>
      <c r="AAI13" s="266">
        <v>0</v>
      </c>
      <c r="AAJ13" s="266">
        <v>0</v>
      </c>
      <c r="AAK13" s="266">
        <v>0</v>
      </c>
      <c r="AAL13" s="266">
        <v>0</v>
      </c>
      <c r="AAM13" s="266">
        <v>0</v>
      </c>
      <c r="AAN13" s="266">
        <v>0</v>
      </c>
      <c r="AAO13" s="266">
        <v>0</v>
      </c>
      <c r="AAP13" s="266">
        <v>0</v>
      </c>
      <c r="AAQ13" s="266">
        <v>0</v>
      </c>
      <c r="AAR13" s="266">
        <v>0</v>
      </c>
      <c r="AAS13" s="266">
        <v>0</v>
      </c>
      <c r="AAT13" s="266">
        <v>0</v>
      </c>
      <c r="AAU13" s="266">
        <v>0</v>
      </c>
      <c r="AAV13" s="266">
        <v>0</v>
      </c>
      <c r="AAW13" s="266">
        <v>0</v>
      </c>
      <c r="AAX13" s="266">
        <v>0</v>
      </c>
      <c r="AAY13" s="266">
        <v>0</v>
      </c>
      <c r="AAZ13" s="266">
        <v>0</v>
      </c>
      <c r="ABA13" s="235">
        <f t="shared" si="11"/>
        <v>0</v>
      </c>
      <c r="ABB13" s="266">
        <v>0</v>
      </c>
      <c r="ABC13" s="266">
        <v>0</v>
      </c>
      <c r="ABD13" s="266">
        <v>0</v>
      </c>
      <c r="ABE13" s="266">
        <v>0</v>
      </c>
      <c r="ABF13" s="266">
        <v>0</v>
      </c>
      <c r="ABG13" s="266">
        <v>0</v>
      </c>
      <c r="ABH13" s="266">
        <v>0</v>
      </c>
      <c r="ABI13" s="266">
        <v>0</v>
      </c>
      <c r="ABJ13" s="266">
        <v>0</v>
      </c>
      <c r="ABK13" s="266">
        <v>0</v>
      </c>
      <c r="ABL13" s="266">
        <v>0</v>
      </c>
      <c r="ABM13" s="266">
        <v>0</v>
      </c>
      <c r="ABN13" s="266">
        <v>0</v>
      </c>
      <c r="ABO13" s="266">
        <v>0</v>
      </c>
      <c r="ABP13" s="266">
        <v>0</v>
      </c>
      <c r="ABQ13" s="266">
        <v>0</v>
      </c>
      <c r="ABR13" s="266">
        <v>0</v>
      </c>
      <c r="ABS13" s="266">
        <v>0</v>
      </c>
      <c r="ABT13" s="266">
        <v>0</v>
      </c>
      <c r="ABU13" s="266">
        <v>0</v>
      </c>
      <c r="ABV13" s="266">
        <v>0</v>
      </c>
      <c r="ABW13" s="266">
        <v>0</v>
      </c>
      <c r="ABX13" s="266">
        <v>0</v>
      </c>
      <c r="ABY13" s="266">
        <v>0</v>
      </c>
      <c r="ABZ13" s="266">
        <v>0</v>
      </c>
      <c r="ACA13" s="266">
        <v>0</v>
      </c>
      <c r="ACB13" s="266">
        <v>0</v>
      </c>
      <c r="ACC13" s="266">
        <v>0</v>
      </c>
      <c r="ACD13" s="266">
        <v>0</v>
      </c>
      <c r="ACE13" s="266">
        <v>0</v>
      </c>
      <c r="ACF13" s="266">
        <v>0</v>
      </c>
      <c r="ACG13" s="235">
        <v>0</v>
      </c>
      <c r="ACH13" s="266"/>
      <c r="ACI13" s="266">
        <v>0</v>
      </c>
      <c r="ACJ13" s="266">
        <v>0</v>
      </c>
      <c r="ACK13" s="266">
        <v>0</v>
      </c>
      <c r="ACL13" s="266">
        <v>0</v>
      </c>
      <c r="ACM13" s="266">
        <v>0</v>
      </c>
      <c r="ACN13" s="266">
        <v>0</v>
      </c>
      <c r="ACO13" s="266">
        <v>0</v>
      </c>
      <c r="ACP13" s="266">
        <v>0</v>
      </c>
      <c r="ACQ13" s="266">
        <v>0</v>
      </c>
      <c r="ACR13" s="266">
        <v>0</v>
      </c>
      <c r="ACS13" s="266">
        <v>0</v>
      </c>
      <c r="ACT13" s="266">
        <v>0</v>
      </c>
      <c r="ACU13" s="266">
        <v>0</v>
      </c>
      <c r="ACV13" s="266">
        <v>0</v>
      </c>
      <c r="ACW13" s="266">
        <v>0</v>
      </c>
      <c r="ACX13" s="266">
        <v>0</v>
      </c>
      <c r="ACY13" s="266">
        <v>0</v>
      </c>
      <c r="ACZ13" s="266">
        <v>0</v>
      </c>
      <c r="ADA13" s="266">
        <v>0</v>
      </c>
      <c r="ADB13" s="266">
        <v>0</v>
      </c>
      <c r="ADC13" s="266">
        <v>0</v>
      </c>
      <c r="ADD13" s="266">
        <v>0</v>
      </c>
      <c r="ADE13" s="266">
        <v>0</v>
      </c>
      <c r="ADF13" s="266">
        <v>0</v>
      </c>
      <c r="ADG13" s="266">
        <v>0</v>
      </c>
      <c r="ADH13" s="266">
        <v>0</v>
      </c>
      <c r="ADI13" s="266">
        <v>0</v>
      </c>
      <c r="ADJ13" s="266">
        <v>0</v>
      </c>
      <c r="ADK13" s="266">
        <v>0</v>
      </c>
      <c r="ADL13" s="266">
        <v>0</v>
      </c>
      <c r="ADM13" s="235">
        <v>0</v>
      </c>
      <c r="ADN13" s="266"/>
      <c r="ADO13" s="266">
        <v>0</v>
      </c>
      <c r="ADP13" s="266">
        <v>0</v>
      </c>
      <c r="ADQ13" s="266">
        <v>0</v>
      </c>
      <c r="ADR13" s="266">
        <v>0</v>
      </c>
      <c r="ADS13" s="266">
        <v>0</v>
      </c>
      <c r="ADT13" s="266">
        <v>0</v>
      </c>
      <c r="ADU13" s="266">
        <v>0</v>
      </c>
      <c r="ADV13" s="266">
        <v>0</v>
      </c>
      <c r="ADW13" s="220">
        <v>0</v>
      </c>
      <c r="ADX13" s="220">
        <v>0</v>
      </c>
      <c r="ADY13" s="220">
        <v>0</v>
      </c>
      <c r="ADZ13" s="220">
        <v>0</v>
      </c>
      <c r="AEA13" s="220">
        <v>0</v>
      </c>
      <c r="AEB13" s="220">
        <v>0</v>
      </c>
      <c r="AEC13" s="220">
        <v>0</v>
      </c>
      <c r="AED13" s="220">
        <v>0</v>
      </c>
      <c r="AEE13" s="220">
        <v>0</v>
      </c>
      <c r="AEF13" s="220">
        <v>0</v>
      </c>
      <c r="AEG13" s="220">
        <v>0</v>
      </c>
      <c r="AEH13" s="220">
        <v>0</v>
      </c>
      <c r="AEI13" s="220">
        <v>0</v>
      </c>
      <c r="AEJ13" s="220">
        <v>0</v>
      </c>
      <c r="AEK13" s="220">
        <v>0</v>
      </c>
      <c r="AEL13" s="220">
        <v>0</v>
      </c>
      <c r="AEM13" s="266">
        <v>0</v>
      </c>
      <c r="AEN13" s="266">
        <v>0</v>
      </c>
      <c r="AEO13" s="266">
        <v>0</v>
      </c>
      <c r="AEP13" s="266">
        <v>0</v>
      </c>
      <c r="AEQ13" s="266">
        <v>0</v>
      </c>
      <c r="AER13" s="266">
        <v>0</v>
      </c>
      <c r="AES13" s="235">
        <v>0</v>
      </c>
      <c r="AET13" s="266"/>
      <c r="AEU13" s="266"/>
      <c r="AEV13" s="266"/>
      <c r="AEW13" s="266"/>
      <c r="AEX13" s="266"/>
      <c r="AEY13" s="266"/>
      <c r="AEZ13" s="266"/>
      <c r="AFA13" s="266"/>
      <c r="AFB13" s="266"/>
      <c r="AFC13" s="266"/>
      <c r="AFD13" s="266"/>
      <c r="AFE13" s="266"/>
      <c r="AFF13" s="266"/>
      <c r="AFG13" s="266"/>
      <c r="AFH13" s="266"/>
      <c r="AFI13" s="266"/>
      <c r="AFJ13" s="266"/>
      <c r="AFK13" s="266"/>
      <c r="AFL13" s="266"/>
      <c r="AFM13" s="266"/>
      <c r="AFN13" s="266"/>
      <c r="AFO13" s="266"/>
      <c r="AFP13" s="266"/>
      <c r="AFQ13" s="266"/>
      <c r="AFR13" s="266"/>
      <c r="AFS13" s="266"/>
      <c r="AFT13" s="266"/>
      <c r="AFU13" s="266"/>
      <c r="AFV13" s="266"/>
      <c r="AFW13" s="266"/>
      <c r="AFX13" s="235">
        <v>0</v>
      </c>
      <c r="AFY13" s="220">
        <v>0</v>
      </c>
      <c r="AFZ13" s="220">
        <v>0</v>
      </c>
      <c r="AGA13" s="220">
        <v>0</v>
      </c>
      <c r="AGB13" s="220">
        <v>0</v>
      </c>
      <c r="AGC13" s="220">
        <v>0</v>
      </c>
      <c r="AGD13" s="220">
        <v>0</v>
      </c>
      <c r="AGE13" s="220">
        <v>0</v>
      </c>
      <c r="AGF13" s="220">
        <v>0</v>
      </c>
      <c r="AGG13" s="220">
        <v>0</v>
      </c>
      <c r="AGH13" s="220">
        <v>0</v>
      </c>
      <c r="AGI13" s="220">
        <v>0</v>
      </c>
      <c r="AGJ13" s="220">
        <v>0</v>
      </c>
      <c r="AGK13" s="220">
        <v>0</v>
      </c>
      <c r="AGL13" s="220">
        <v>0</v>
      </c>
      <c r="AGM13" s="220">
        <v>0</v>
      </c>
      <c r="AGN13" s="220">
        <v>0</v>
      </c>
      <c r="AGO13" s="220">
        <v>0</v>
      </c>
      <c r="AGP13" s="220">
        <v>0</v>
      </c>
      <c r="AGQ13" s="220">
        <v>0</v>
      </c>
      <c r="AGR13" s="220">
        <v>0</v>
      </c>
      <c r="AGS13" s="220">
        <v>0</v>
      </c>
      <c r="AGT13" s="220">
        <v>0</v>
      </c>
      <c r="AGU13" s="220">
        <v>0</v>
      </c>
      <c r="AGV13" s="220">
        <v>0</v>
      </c>
      <c r="AGW13" s="220">
        <v>0</v>
      </c>
      <c r="AGX13" s="220">
        <v>0</v>
      </c>
      <c r="AGY13" s="220">
        <v>0</v>
      </c>
      <c r="AGZ13" s="220">
        <v>0</v>
      </c>
      <c r="AHA13" s="220">
        <v>0</v>
      </c>
      <c r="AHB13" s="220">
        <v>0</v>
      </c>
      <c r="AHC13" s="220">
        <v>0</v>
      </c>
      <c r="AHD13" s="235">
        <v>0</v>
      </c>
      <c r="AHE13" s="220">
        <v>0</v>
      </c>
      <c r="AHF13" s="220">
        <v>0</v>
      </c>
      <c r="AHG13" s="220">
        <v>0</v>
      </c>
      <c r="AHH13" s="220">
        <v>0</v>
      </c>
      <c r="AHI13" s="220">
        <v>0</v>
      </c>
      <c r="AHJ13" s="220">
        <v>0</v>
      </c>
      <c r="AHK13" s="220">
        <v>0</v>
      </c>
      <c r="AHL13" s="220">
        <v>0</v>
      </c>
      <c r="AHM13" s="220">
        <v>0</v>
      </c>
      <c r="AHN13" s="220">
        <v>0</v>
      </c>
      <c r="AHO13" s="220">
        <v>0</v>
      </c>
      <c r="AHP13" s="220">
        <v>0</v>
      </c>
      <c r="AHQ13" s="220">
        <v>0</v>
      </c>
      <c r="AHR13" s="220">
        <v>0</v>
      </c>
      <c r="AHS13" s="220">
        <v>0</v>
      </c>
      <c r="AHT13" s="220">
        <v>0</v>
      </c>
      <c r="AHU13" s="220">
        <v>0</v>
      </c>
      <c r="AHV13" s="220">
        <v>0</v>
      </c>
      <c r="AHW13" s="220">
        <v>0</v>
      </c>
      <c r="AHX13" s="220">
        <v>0</v>
      </c>
      <c r="AHY13" s="220">
        <v>0</v>
      </c>
      <c r="AHZ13" s="220">
        <v>0</v>
      </c>
      <c r="AIA13" s="220">
        <v>0</v>
      </c>
      <c r="AIB13" s="220">
        <v>0</v>
      </c>
      <c r="AIC13" s="220">
        <v>0</v>
      </c>
      <c r="AID13" s="220">
        <v>0</v>
      </c>
      <c r="AIE13" s="220">
        <v>0</v>
      </c>
      <c r="AIF13" s="220">
        <v>0</v>
      </c>
      <c r="AIG13" s="220">
        <v>0</v>
      </c>
      <c r="AIH13" s="220">
        <v>0</v>
      </c>
      <c r="AII13" s="220">
        <v>0</v>
      </c>
      <c r="AIJ13" s="235">
        <v>0</v>
      </c>
      <c r="AIK13" s="479">
        <v>0</v>
      </c>
      <c r="AIL13" s="479">
        <v>0</v>
      </c>
      <c r="AIM13" s="479">
        <v>0</v>
      </c>
      <c r="AIN13" s="479">
        <v>0</v>
      </c>
      <c r="AIO13" s="479">
        <v>0</v>
      </c>
      <c r="AIP13" s="479">
        <v>0</v>
      </c>
      <c r="AIQ13" s="479">
        <v>0</v>
      </c>
      <c r="AIR13" s="479">
        <v>0</v>
      </c>
      <c r="AIS13" s="479">
        <v>0</v>
      </c>
      <c r="AIT13" s="479">
        <v>0</v>
      </c>
      <c r="AIU13" s="479">
        <v>0</v>
      </c>
      <c r="AIV13" s="479">
        <v>0</v>
      </c>
      <c r="AIW13" s="479">
        <v>0</v>
      </c>
      <c r="AIX13" s="479">
        <v>0</v>
      </c>
      <c r="AIY13" s="479">
        <v>0</v>
      </c>
      <c r="AIZ13" s="479">
        <v>0</v>
      </c>
      <c r="AJA13" s="479">
        <v>0</v>
      </c>
      <c r="AJB13" s="479">
        <v>0</v>
      </c>
      <c r="AJC13" s="479">
        <v>0</v>
      </c>
      <c r="AJD13" s="479">
        <v>0</v>
      </c>
      <c r="AJE13" s="479">
        <v>0</v>
      </c>
      <c r="AJF13" s="479">
        <v>0</v>
      </c>
      <c r="AJG13" s="479">
        <v>0</v>
      </c>
      <c r="AJH13" s="479">
        <v>0</v>
      </c>
      <c r="AJI13" s="479">
        <v>0</v>
      </c>
      <c r="AJJ13" s="479">
        <v>0</v>
      </c>
      <c r="AJK13" s="479">
        <v>0</v>
      </c>
      <c r="AJL13" s="479">
        <v>0</v>
      </c>
      <c r="AJM13" s="479">
        <v>0</v>
      </c>
      <c r="AJN13" s="479">
        <v>0</v>
      </c>
      <c r="AJO13" s="235">
        <v>0</v>
      </c>
      <c r="AJP13" s="479">
        <v>0</v>
      </c>
      <c r="AJQ13" s="479">
        <v>0</v>
      </c>
      <c r="AJR13" s="479">
        <v>0</v>
      </c>
      <c r="AJS13" s="479">
        <v>0</v>
      </c>
      <c r="AJT13" s="479">
        <v>0</v>
      </c>
      <c r="AJU13" s="479">
        <v>0</v>
      </c>
      <c r="AJV13" s="479">
        <v>0</v>
      </c>
      <c r="AJW13" s="479">
        <v>0</v>
      </c>
      <c r="AJX13" s="479">
        <v>0</v>
      </c>
      <c r="AJY13" s="479">
        <v>0</v>
      </c>
      <c r="AJZ13" s="479">
        <v>0</v>
      </c>
      <c r="AKA13" s="479">
        <v>0</v>
      </c>
      <c r="AKB13" s="479">
        <v>0</v>
      </c>
      <c r="AKC13" s="479">
        <v>0</v>
      </c>
      <c r="AKD13" s="479">
        <v>0</v>
      </c>
      <c r="AKE13" s="479">
        <v>0</v>
      </c>
      <c r="AKF13" s="479">
        <v>0</v>
      </c>
      <c r="AKG13" s="479">
        <v>0</v>
      </c>
      <c r="AKH13" s="479">
        <v>0</v>
      </c>
      <c r="AKI13" s="479">
        <v>0</v>
      </c>
      <c r="AKJ13" s="479">
        <v>0</v>
      </c>
      <c r="AKK13" s="479">
        <v>0</v>
      </c>
      <c r="AKL13" s="479">
        <v>0</v>
      </c>
      <c r="AKM13" s="479">
        <v>0</v>
      </c>
      <c r="AKN13" s="479">
        <v>0</v>
      </c>
      <c r="AKO13" s="479">
        <v>0</v>
      </c>
      <c r="AKP13" s="479">
        <v>0</v>
      </c>
      <c r="AKQ13" s="479">
        <v>0</v>
      </c>
      <c r="AKR13" s="479">
        <v>0</v>
      </c>
      <c r="AKS13" s="479"/>
      <c r="AKT13" s="479">
        <v>0</v>
      </c>
      <c r="AKU13" s="235">
        <v>0</v>
      </c>
      <c r="AKV13" s="479">
        <v>0</v>
      </c>
      <c r="AKW13" s="479">
        <v>0</v>
      </c>
      <c r="AKX13" s="479">
        <v>0</v>
      </c>
      <c r="AKY13" s="479">
        <v>0</v>
      </c>
      <c r="AKZ13" s="479">
        <v>0</v>
      </c>
      <c r="ALA13" s="479">
        <v>0</v>
      </c>
      <c r="ALB13" s="479">
        <v>0</v>
      </c>
      <c r="ALC13" s="479">
        <v>0</v>
      </c>
      <c r="ALD13" s="479">
        <v>0</v>
      </c>
      <c r="ALE13" s="479">
        <v>0</v>
      </c>
      <c r="ALF13" s="479">
        <v>0</v>
      </c>
      <c r="ALG13" s="479">
        <v>0</v>
      </c>
      <c r="ALH13" s="479">
        <v>0</v>
      </c>
      <c r="ALI13" s="479">
        <v>0</v>
      </c>
      <c r="ALJ13" s="479">
        <v>0</v>
      </c>
      <c r="ALK13" s="479">
        <v>0</v>
      </c>
      <c r="ALL13" s="479">
        <v>0</v>
      </c>
      <c r="ALM13" s="479">
        <v>0</v>
      </c>
      <c r="ALN13" s="479">
        <v>0</v>
      </c>
      <c r="ALO13" s="479">
        <v>0</v>
      </c>
      <c r="ALP13" s="479">
        <v>0</v>
      </c>
      <c r="ALQ13" s="479">
        <v>0</v>
      </c>
      <c r="ALR13" s="479">
        <v>0</v>
      </c>
      <c r="ALS13" s="479">
        <v>0</v>
      </c>
      <c r="ALT13" s="479">
        <v>0</v>
      </c>
      <c r="ALU13" s="479">
        <v>0</v>
      </c>
      <c r="ALV13" s="479">
        <v>0</v>
      </c>
      <c r="ALW13" s="479">
        <v>0</v>
      </c>
      <c r="ALX13" s="479">
        <v>0</v>
      </c>
      <c r="ALY13" s="479"/>
      <c r="ALZ13" s="235">
        <v>0</v>
      </c>
      <c r="AMA13" s="479">
        <v>0</v>
      </c>
      <c r="AMB13" s="479">
        <v>0</v>
      </c>
      <c r="AMC13" s="479">
        <v>0</v>
      </c>
      <c r="AMD13" s="479">
        <v>0</v>
      </c>
      <c r="AME13" s="479">
        <v>0</v>
      </c>
      <c r="AMF13" s="479">
        <v>0</v>
      </c>
      <c r="AMG13" s="479">
        <v>0</v>
      </c>
      <c r="AMH13" s="479">
        <v>0</v>
      </c>
      <c r="AMI13" s="479">
        <v>0</v>
      </c>
      <c r="AMJ13" s="479">
        <v>0</v>
      </c>
      <c r="AMK13" s="479">
        <v>0</v>
      </c>
      <c r="AML13" s="479">
        <v>0</v>
      </c>
      <c r="AMM13" s="479">
        <v>0</v>
      </c>
      <c r="AMN13" s="479">
        <v>0</v>
      </c>
      <c r="AMO13" s="479">
        <v>0</v>
      </c>
      <c r="AMP13" s="479">
        <v>0</v>
      </c>
      <c r="AMQ13" s="479">
        <v>0</v>
      </c>
      <c r="AMR13" s="479">
        <v>0</v>
      </c>
      <c r="AMS13" s="479">
        <v>0</v>
      </c>
      <c r="AMT13" s="479">
        <v>0</v>
      </c>
      <c r="AMU13" s="479">
        <v>0</v>
      </c>
      <c r="AMV13" s="479">
        <v>0</v>
      </c>
      <c r="AMW13" s="479">
        <v>0</v>
      </c>
      <c r="AMX13" s="479">
        <v>0</v>
      </c>
      <c r="AMY13" s="479">
        <v>0</v>
      </c>
      <c r="AMZ13" s="479">
        <v>0</v>
      </c>
      <c r="ANA13" s="479">
        <v>0</v>
      </c>
      <c r="ANB13" s="479">
        <v>0</v>
      </c>
      <c r="ANC13" s="479">
        <v>0</v>
      </c>
      <c r="AND13" s="479"/>
      <c r="ANE13" s="479"/>
      <c r="ANF13" s="235">
        <f t="shared" si="2"/>
        <v>0</v>
      </c>
      <c r="ANG13" s="266">
        <v>0</v>
      </c>
      <c r="ANH13" s="266">
        <v>0</v>
      </c>
      <c r="ANI13" s="266">
        <v>0</v>
      </c>
      <c r="ANJ13" s="266">
        <v>0</v>
      </c>
      <c r="ANK13" s="266">
        <v>0</v>
      </c>
      <c r="ANL13" s="266">
        <v>0</v>
      </c>
      <c r="ANM13" s="266">
        <v>0</v>
      </c>
      <c r="ANN13" s="266">
        <v>0</v>
      </c>
      <c r="ANO13" s="266">
        <v>0</v>
      </c>
      <c r="ANP13" s="266">
        <v>0</v>
      </c>
      <c r="ANQ13" s="266">
        <v>0</v>
      </c>
      <c r="ANR13" s="266">
        <v>0</v>
      </c>
      <c r="ANS13" s="266">
        <v>0</v>
      </c>
      <c r="ANT13" s="266">
        <v>0</v>
      </c>
      <c r="ANU13" s="266">
        <v>0</v>
      </c>
      <c r="ANV13" s="266">
        <v>0</v>
      </c>
      <c r="ANW13" s="266">
        <v>0</v>
      </c>
      <c r="ANX13" s="266">
        <v>0</v>
      </c>
      <c r="ANY13" s="266">
        <v>0</v>
      </c>
      <c r="ANZ13" s="266">
        <v>0</v>
      </c>
      <c r="AOA13" s="266">
        <v>0</v>
      </c>
      <c r="AOB13" s="266">
        <v>0</v>
      </c>
      <c r="AOC13" s="266">
        <v>0</v>
      </c>
      <c r="AOD13" s="266">
        <v>0</v>
      </c>
      <c r="AOE13" s="266">
        <v>0</v>
      </c>
      <c r="AOF13" s="266">
        <v>0</v>
      </c>
      <c r="AOG13" s="266">
        <v>0</v>
      </c>
      <c r="AOH13" s="266">
        <v>0</v>
      </c>
      <c r="AOI13" s="235">
        <v>0</v>
      </c>
      <c r="AOJ13" s="266">
        <v>0</v>
      </c>
      <c r="AOK13" s="266">
        <v>0</v>
      </c>
      <c r="AOL13" s="266">
        <v>0</v>
      </c>
      <c r="AOM13" s="266">
        <v>0</v>
      </c>
      <c r="AON13" s="266">
        <v>0</v>
      </c>
      <c r="AOO13" s="266">
        <v>0</v>
      </c>
      <c r="AOP13" s="266">
        <v>0</v>
      </c>
      <c r="AOQ13" s="266">
        <v>0</v>
      </c>
      <c r="AOR13" s="266">
        <v>0</v>
      </c>
      <c r="AOS13" s="266">
        <v>0</v>
      </c>
      <c r="AOT13" s="266">
        <v>0</v>
      </c>
      <c r="AOU13" s="266">
        <v>0</v>
      </c>
      <c r="AOV13" s="266">
        <v>0</v>
      </c>
      <c r="AOW13" s="266">
        <v>0</v>
      </c>
      <c r="AOX13" s="266">
        <v>0</v>
      </c>
      <c r="AOY13" s="266">
        <v>0</v>
      </c>
      <c r="AOZ13" s="266">
        <v>0</v>
      </c>
      <c r="APA13" s="266">
        <v>0</v>
      </c>
      <c r="APB13" s="266">
        <v>0</v>
      </c>
      <c r="APC13" s="266">
        <v>0</v>
      </c>
      <c r="APD13" s="266">
        <v>0</v>
      </c>
      <c r="APE13" s="266">
        <v>0</v>
      </c>
      <c r="APF13" s="266">
        <v>0</v>
      </c>
      <c r="APG13" s="266">
        <v>0</v>
      </c>
      <c r="APH13" s="266">
        <v>0</v>
      </c>
      <c r="API13" s="266">
        <v>0</v>
      </c>
      <c r="APJ13" s="266">
        <v>0</v>
      </c>
      <c r="APK13" s="266">
        <v>0</v>
      </c>
      <c r="APL13" s="266">
        <v>0</v>
      </c>
      <c r="APM13" s="266">
        <v>0</v>
      </c>
      <c r="APN13" s="266">
        <v>0</v>
      </c>
      <c r="APO13" s="235">
        <v>0</v>
      </c>
      <c r="APP13" s="266">
        <v>0</v>
      </c>
      <c r="APQ13" s="266">
        <v>0</v>
      </c>
      <c r="APR13" s="266">
        <v>0</v>
      </c>
      <c r="APS13" s="266">
        <v>0</v>
      </c>
      <c r="APT13" s="266">
        <v>0</v>
      </c>
      <c r="APU13" s="266">
        <v>0</v>
      </c>
      <c r="APV13" s="266">
        <v>0</v>
      </c>
      <c r="APW13" s="266">
        <v>0</v>
      </c>
      <c r="APX13" s="266">
        <v>0</v>
      </c>
      <c r="APY13" s="266">
        <v>0</v>
      </c>
      <c r="APZ13" s="266">
        <v>0</v>
      </c>
      <c r="AQA13" s="266">
        <v>0</v>
      </c>
      <c r="AQB13" s="266">
        <v>0</v>
      </c>
      <c r="AQC13" s="266">
        <v>0</v>
      </c>
      <c r="AQD13" s="266">
        <v>0</v>
      </c>
      <c r="AQE13" s="266">
        <v>0</v>
      </c>
      <c r="AQF13" s="266">
        <v>0</v>
      </c>
      <c r="AQG13" s="266">
        <v>0</v>
      </c>
      <c r="AQH13" s="266">
        <v>0</v>
      </c>
      <c r="AQI13" s="266">
        <v>0</v>
      </c>
      <c r="AQJ13" s="266">
        <v>0</v>
      </c>
      <c r="AQK13" s="266">
        <v>0</v>
      </c>
      <c r="AQL13" s="266">
        <v>0</v>
      </c>
      <c r="AQM13" s="266">
        <v>0</v>
      </c>
      <c r="AQN13" s="266">
        <v>0</v>
      </c>
      <c r="AQO13" s="266">
        <v>0</v>
      </c>
      <c r="AQP13" s="266">
        <v>0</v>
      </c>
      <c r="AQQ13" s="266">
        <v>0</v>
      </c>
      <c r="AQR13" s="266">
        <v>0</v>
      </c>
      <c r="AQS13" s="266">
        <v>0</v>
      </c>
      <c r="AQT13" s="235">
        <f t="shared" si="12"/>
        <v>0</v>
      </c>
      <c r="AQU13" s="266">
        <v>0</v>
      </c>
      <c r="AQV13" s="266">
        <v>0</v>
      </c>
      <c r="AQW13" s="266">
        <v>0</v>
      </c>
      <c r="AQX13" s="266">
        <v>0</v>
      </c>
      <c r="AQY13" s="266">
        <v>0</v>
      </c>
      <c r="AQZ13" s="266">
        <v>0</v>
      </c>
      <c r="ARA13" s="266">
        <v>0</v>
      </c>
      <c r="ARB13" s="266">
        <v>0</v>
      </c>
      <c r="ARC13" s="266">
        <v>0</v>
      </c>
      <c r="ARD13" s="266">
        <v>0</v>
      </c>
      <c r="ARE13" s="266">
        <v>0</v>
      </c>
      <c r="ARF13" s="266">
        <v>0</v>
      </c>
      <c r="ARG13" s="266">
        <v>0</v>
      </c>
      <c r="ARH13" s="266">
        <v>0</v>
      </c>
      <c r="ARI13" s="266">
        <v>0</v>
      </c>
      <c r="ARJ13" s="266">
        <v>0</v>
      </c>
      <c r="ARK13" s="266">
        <v>0</v>
      </c>
      <c r="ARL13" s="266">
        <v>0</v>
      </c>
      <c r="ARM13" s="266">
        <v>0</v>
      </c>
      <c r="ARN13" s="266">
        <v>0</v>
      </c>
      <c r="ARO13" s="266">
        <v>0</v>
      </c>
      <c r="ARP13" s="266">
        <v>0</v>
      </c>
      <c r="ARQ13" s="266">
        <v>0</v>
      </c>
      <c r="ARR13" s="266">
        <v>0</v>
      </c>
      <c r="ARS13" s="266">
        <v>0</v>
      </c>
      <c r="ART13" s="266">
        <v>0</v>
      </c>
      <c r="ARU13" s="266">
        <v>0</v>
      </c>
      <c r="ARV13" s="266">
        <v>0</v>
      </c>
      <c r="ARW13" s="266">
        <v>0</v>
      </c>
      <c r="ARX13" s="266"/>
      <c r="ARY13" s="266">
        <v>0</v>
      </c>
      <c r="ARZ13" s="235">
        <f t="shared" si="13"/>
        <v>0</v>
      </c>
      <c r="ASA13" s="266">
        <v>0</v>
      </c>
      <c r="ASB13" s="266">
        <v>0</v>
      </c>
      <c r="ASC13" s="266">
        <v>0</v>
      </c>
      <c r="ASD13" s="266">
        <v>0</v>
      </c>
      <c r="ASE13" s="266">
        <v>0</v>
      </c>
      <c r="ASF13" s="266">
        <v>0</v>
      </c>
      <c r="ASG13" s="266">
        <v>0</v>
      </c>
      <c r="ASH13" s="266">
        <v>0</v>
      </c>
      <c r="ASI13" s="266">
        <v>0</v>
      </c>
      <c r="ASJ13" s="266">
        <v>0</v>
      </c>
      <c r="ASK13" s="266">
        <v>0</v>
      </c>
      <c r="ASL13" s="266">
        <v>0</v>
      </c>
      <c r="ASM13" s="266">
        <v>0</v>
      </c>
      <c r="ASN13" s="266">
        <v>0</v>
      </c>
      <c r="ASO13" s="266">
        <v>0</v>
      </c>
      <c r="ASP13" s="266">
        <v>0</v>
      </c>
      <c r="ASQ13" s="266">
        <v>0</v>
      </c>
      <c r="ASR13" s="266">
        <v>0</v>
      </c>
      <c r="ASS13" s="266">
        <v>0</v>
      </c>
      <c r="AST13" s="266">
        <v>0</v>
      </c>
      <c r="ASU13" s="266">
        <v>0</v>
      </c>
      <c r="ASV13" s="266">
        <v>0</v>
      </c>
      <c r="ASW13" s="266">
        <v>0</v>
      </c>
      <c r="ASX13" s="266">
        <v>0</v>
      </c>
      <c r="ASY13" s="266">
        <v>0</v>
      </c>
      <c r="ASZ13" s="266">
        <v>0</v>
      </c>
      <c r="ATA13" s="266">
        <v>0</v>
      </c>
      <c r="ATB13" s="266">
        <v>0</v>
      </c>
      <c r="ATC13" s="266">
        <v>0</v>
      </c>
      <c r="ATD13" s="266"/>
      <c r="ATE13" s="235">
        <v>0</v>
      </c>
      <c r="ATF13" s="266">
        <v>0</v>
      </c>
      <c r="ATG13" s="266">
        <v>0</v>
      </c>
      <c r="ATH13" s="266">
        <v>0</v>
      </c>
      <c r="ATI13" s="266">
        <v>0</v>
      </c>
      <c r="ATJ13" s="266">
        <v>0</v>
      </c>
      <c r="ATK13" s="266">
        <v>0</v>
      </c>
      <c r="ATL13" s="266">
        <v>0</v>
      </c>
      <c r="ATM13" s="266">
        <v>0</v>
      </c>
      <c r="ATN13" s="266">
        <v>0</v>
      </c>
      <c r="ATO13" s="266">
        <v>0</v>
      </c>
      <c r="ATP13" s="266">
        <v>0</v>
      </c>
      <c r="ATQ13" s="266">
        <v>0</v>
      </c>
      <c r="ATR13" s="266">
        <v>0</v>
      </c>
      <c r="ATS13" s="266">
        <v>0</v>
      </c>
      <c r="ATT13" s="266">
        <v>0</v>
      </c>
      <c r="ATU13" s="266">
        <v>0</v>
      </c>
      <c r="ATV13" s="266">
        <v>0</v>
      </c>
      <c r="ATW13" s="266">
        <v>0</v>
      </c>
      <c r="ATX13" s="266">
        <v>0</v>
      </c>
      <c r="ATY13" s="266">
        <v>0</v>
      </c>
      <c r="ATZ13" s="266">
        <v>0</v>
      </c>
      <c r="AUA13" s="266">
        <v>0</v>
      </c>
      <c r="AUB13" s="266">
        <v>0</v>
      </c>
      <c r="AUC13" s="266">
        <v>0</v>
      </c>
      <c r="AUD13" s="266">
        <v>0</v>
      </c>
      <c r="AUE13" s="266">
        <v>0</v>
      </c>
      <c r="AUF13" s="266">
        <v>0</v>
      </c>
      <c r="AUG13" s="266">
        <v>0</v>
      </c>
      <c r="AUH13" s="266">
        <v>0</v>
      </c>
      <c r="AUI13" s="266">
        <v>0</v>
      </c>
      <c r="AUJ13" s="266"/>
      <c r="AUK13" s="235">
        <v>0</v>
      </c>
      <c r="AUL13" s="266">
        <v>0</v>
      </c>
      <c r="AUM13" s="266">
        <v>0</v>
      </c>
      <c r="AUN13" s="266">
        <v>0</v>
      </c>
      <c r="AUO13" s="266">
        <v>0</v>
      </c>
      <c r="AUP13" s="266">
        <v>0</v>
      </c>
      <c r="AUQ13" s="266">
        <v>0</v>
      </c>
      <c r="AUR13" s="266">
        <v>0</v>
      </c>
      <c r="AUS13" s="266">
        <v>0</v>
      </c>
      <c r="AUT13" s="266">
        <v>0</v>
      </c>
      <c r="AUU13" s="266">
        <v>0</v>
      </c>
      <c r="AUV13" s="266">
        <v>0</v>
      </c>
      <c r="AUW13" s="266">
        <v>0</v>
      </c>
      <c r="AUX13" s="266">
        <v>0</v>
      </c>
      <c r="AUY13" s="266">
        <v>0</v>
      </c>
      <c r="AUZ13" s="266">
        <v>0</v>
      </c>
      <c r="AVA13" s="266">
        <v>0</v>
      </c>
      <c r="AVB13" s="266">
        <v>0</v>
      </c>
      <c r="AVC13" s="266">
        <v>0</v>
      </c>
      <c r="AVD13" s="266">
        <v>0</v>
      </c>
      <c r="AVE13" s="266">
        <v>0</v>
      </c>
      <c r="AVF13" s="266">
        <v>0</v>
      </c>
      <c r="AVG13" s="266">
        <v>0</v>
      </c>
      <c r="AVH13" s="266">
        <v>0</v>
      </c>
      <c r="AVI13" s="266">
        <v>0</v>
      </c>
      <c r="AVJ13" s="266">
        <v>0</v>
      </c>
      <c r="AVK13" s="266">
        <v>0</v>
      </c>
      <c r="AVL13" s="266">
        <v>0</v>
      </c>
      <c r="AVM13" s="266">
        <v>0</v>
      </c>
      <c r="AVN13" s="266">
        <v>0</v>
      </c>
      <c r="AVO13" s="266">
        <v>0</v>
      </c>
      <c r="AVP13" s="266"/>
      <c r="AVQ13" s="235">
        <f t="shared" si="3"/>
        <v>0</v>
      </c>
      <c r="AVR13" s="266">
        <v>0</v>
      </c>
      <c r="AVS13" s="266">
        <v>0</v>
      </c>
      <c r="AVT13" s="266">
        <v>0</v>
      </c>
      <c r="AVU13" s="266">
        <v>0</v>
      </c>
      <c r="AVV13" s="266">
        <v>0</v>
      </c>
      <c r="AVW13" s="266">
        <v>0</v>
      </c>
      <c r="AVX13" s="266">
        <v>0</v>
      </c>
      <c r="AVY13" s="266">
        <v>0</v>
      </c>
      <c r="AVZ13" s="266">
        <v>0</v>
      </c>
      <c r="AWA13" s="266">
        <v>0</v>
      </c>
      <c r="AWB13" s="266">
        <v>0</v>
      </c>
      <c r="AWC13" s="266">
        <v>0</v>
      </c>
      <c r="AWD13" s="266">
        <v>0</v>
      </c>
      <c r="AWE13" s="266">
        <v>0</v>
      </c>
      <c r="AWF13" s="266">
        <v>0</v>
      </c>
      <c r="AWG13" s="266">
        <v>0</v>
      </c>
      <c r="AWH13" s="266">
        <v>0</v>
      </c>
      <c r="AWI13" s="266">
        <v>0</v>
      </c>
      <c r="AWJ13" s="266">
        <v>0</v>
      </c>
      <c r="AWK13" s="266">
        <v>0</v>
      </c>
      <c r="AWL13" s="266">
        <v>0</v>
      </c>
      <c r="AWM13" s="266">
        <v>0</v>
      </c>
      <c r="AWN13" s="266">
        <v>0</v>
      </c>
      <c r="AWO13" s="266">
        <v>0</v>
      </c>
      <c r="AWP13" s="266">
        <v>0</v>
      </c>
      <c r="AWQ13" s="266">
        <v>0</v>
      </c>
      <c r="AWR13" s="266">
        <v>0</v>
      </c>
      <c r="AWS13" s="266">
        <v>0</v>
      </c>
      <c r="AWT13" s="266">
        <v>0</v>
      </c>
      <c r="AWU13" s="266">
        <v>0</v>
      </c>
      <c r="AWV13" s="235">
        <v>0</v>
      </c>
      <c r="AWW13" s="266">
        <v>0</v>
      </c>
      <c r="AWX13" s="266">
        <v>0</v>
      </c>
      <c r="AWY13" s="266">
        <v>0</v>
      </c>
      <c r="AWZ13" s="266">
        <v>0</v>
      </c>
      <c r="AXA13" s="266">
        <v>0</v>
      </c>
      <c r="AXB13" s="266">
        <v>0</v>
      </c>
      <c r="AXC13" s="266">
        <v>0</v>
      </c>
      <c r="AXD13" s="266">
        <v>0</v>
      </c>
      <c r="AXE13" s="266">
        <v>0</v>
      </c>
      <c r="AXF13" s="266">
        <v>0</v>
      </c>
      <c r="AXG13" s="266">
        <v>0</v>
      </c>
      <c r="AXH13" s="266">
        <v>0</v>
      </c>
      <c r="AXI13" s="266">
        <v>0</v>
      </c>
      <c r="AXJ13" s="266">
        <v>0</v>
      </c>
      <c r="AXK13" s="266">
        <v>0</v>
      </c>
      <c r="AXL13" s="266">
        <v>0</v>
      </c>
      <c r="AXM13" s="266">
        <v>0</v>
      </c>
      <c r="AXN13" s="266">
        <v>0</v>
      </c>
      <c r="AXO13" s="266">
        <v>0</v>
      </c>
      <c r="AXP13" s="266">
        <v>0</v>
      </c>
      <c r="AXQ13" s="266">
        <v>0</v>
      </c>
      <c r="AXR13" s="266">
        <v>0</v>
      </c>
      <c r="AXS13" s="266">
        <v>0</v>
      </c>
      <c r="AXT13" s="266">
        <v>0</v>
      </c>
      <c r="AXU13" s="266">
        <v>0</v>
      </c>
      <c r="AXV13" s="266">
        <v>0</v>
      </c>
      <c r="AXW13" s="266">
        <v>0</v>
      </c>
      <c r="AXX13" s="266">
        <v>0</v>
      </c>
      <c r="AXY13" s="266">
        <v>0</v>
      </c>
      <c r="AXZ13" s="266">
        <v>0</v>
      </c>
      <c r="AYA13" s="266">
        <v>0</v>
      </c>
      <c r="AYB13" s="235">
        <v>0</v>
      </c>
      <c r="AYC13" s="266">
        <v>0</v>
      </c>
      <c r="AYD13" s="266">
        <v>0</v>
      </c>
      <c r="AYE13" s="266">
        <v>0</v>
      </c>
      <c r="AYF13" s="266">
        <v>0</v>
      </c>
      <c r="AYG13" s="266">
        <v>0</v>
      </c>
      <c r="AYH13" s="266">
        <v>0</v>
      </c>
      <c r="AYI13" s="266">
        <v>0</v>
      </c>
      <c r="AYJ13" s="266">
        <v>0</v>
      </c>
      <c r="AYK13" s="266">
        <v>0</v>
      </c>
      <c r="AYL13" s="266">
        <v>0</v>
      </c>
      <c r="AYM13" s="266">
        <v>0</v>
      </c>
      <c r="AYN13" s="266">
        <v>0</v>
      </c>
      <c r="AYO13" s="266">
        <v>0</v>
      </c>
      <c r="AYP13" s="266">
        <v>0</v>
      </c>
      <c r="AYQ13" s="266">
        <v>0</v>
      </c>
      <c r="AYR13" s="266">
        <v>0</v>
      </c>
      <c r="AYS13" s="266">
        <v>0</v>
      </c>
      <c r="AYT13" s="266">
        <v>0</v>
      </c>
      <c r="AYU13" s="266">
        <v>0</v>
      </c>
      <c r="AYV13" s="266">
        <v>0</v>
      </c>
      <c r="AYW13" s="266">
        <v>0</v>
      </c>
      <c r="AYX13" s="266">
        <v>0</v>
      </c>
      <c r="AYY13" s="266">
        <v>0</v>
      </c>
      <c r="AYZ13" s="266">
        <v>0</v>
      </c>
      <c r="AZA13" s="266">
        <v>0</v>
      </c>
      <c r="AZB13" s="266">
        <v>0</v>
      </c>
      <c r="AZC13" s="266">
        <v>0</v>
      </c>
      <c r="AZD13" s="266">
        <v>0</v>
      </c>
      <c r="AZE13" s="266">
        <v>0</v>
      </c>
      <c r="AZF13" s="266">
        <v>0</v>
      </c>
      <c r="AZG13" s="235">
        <v>0</v>
      </c>
      <c r="AZH13" s="266">
        <v>0</v>
      </c>
      <c r="AZI13" s="266">
        <v>0</v>
      </c>
      <c r="AZJ13" s="266">
        <v>0</v>
      </c>
      <c r="AZK13" s="266">
        <v>0</v>
      </c>
      <c r="AZL13" s="266">
        <v>0</v>
      </c>
      <c r="AZM13" s="266">
        <v>0</v>
      </c>
      <c r="AZN13" s="266">
        <v>0</v>
      </c>
      <c r="AZO13" s="266">
        <v>0</v>
      </c>
      <c r="AZP13" s="266">
        <v>0</v>
      </c>
      <c r="AZQ13" s="266">
        <v>0</v>
      </c>
      <c r="AZR13" s="266">
        <v>0</v>
      </c>
      <c r="AZS13" s="266">
        <v>0</v>
      </c>
      <c r="AZT13" s="266">
        <v>0</v>
      </c>
      <c r="AZU13" s="266">
        <v>0</v>
      </c>
      <c r="AZV13" s="266">
        <v>0</v>
      </c>
      <c r="AZW13" s="266">
        <v>0</v>
      </c>
      <c r="AZX13" s="266">
        <v>0</v>
      </c>
      <c r="AZY13" s="266">
        <v>0</v>
      </c>
      <c r="AZZ13" s="266">
        <v>0</v>
      </c>
      <c r="BAA13" s="266">
        <v>0</v>
      </c>
      <c r="BAB13" s="266">
        <v>0</v>
      </c>
      <c r="BAC13" s="266">
        <v>0</v>
      </c>
      <c r="BAD13" s="266">
        <v>0</v>
      </c>
      <c r="BAE13" s="266">
        <v>0</v>
      </c>
      <c r="BAF13" s="266">
        <v>0</v>
      </c>
      <c r="BAG13" s="266">
        <v>0</v>
      </c>
      <c r="BAH13" s="266">
        <v>0</v>
      </c>
      <c r="BAI13" s="266">
        <v>0</v>
      </c>
      <c r="BAJ13" s="266">
        <v>0</v>
      </c>
      <c r="BAK13" s="266">
        <v>0</v>
      </c>
      <c r="BAL13" s="266">
        <v>0</v>
      </c>
      <c r="BAM13" s="235">
        <f t="shared" ref="BAM13:BAM20" si="27">SUM(AZH13:BAL13)</f>
        <v>0</v>
      </c>
    </row>
    <row r="14" spans="2:1392" s="243" customFormat="1" ht="14.65" hidden="1" customHeight="1">
      <c r="B14" s="240" t="s">
        <v>362</v>
      </c>
      <c r="C14" s="479">
        <v>0</v>
      </c>
      <c r="D14" s="479">
        <v>0</v>
      </c>
      <c r="E14" s="479">
        <v>0</v>
      </c>
      <c r="F14" s="479">
        <v>0</v>
      </c>
      <c r="G14" s="479">
        <v>0</v>
      </c>
      <c r="H14" s="479">
        <v>0</v>
      </c>
      <c r="I14" s="479">
        <v>0</v>
      </c>
      <c r="J14" s="479">
        <v>0</v>
      </c>
      <c r="K14" s="479">
        <v>0</v>
      </c>
      <c r="L14" s="479">
        <v>0</v>
      </c>
      <c r="M14" s="479">
        <v>0</v>
      </c>
      <c r="N14" s="479">
        <v>0</v>
      </c>
      <c r="O14" s="479">
        <v>0</v>
      </c>
      <c r="P14" s="479">
        <v>0</v>
      </c>
      <c r="Q14" s="479">
        <v>0</v>
      </c>
      <c r="R14" s="479">
        <v>0</v>
      </c>
      <c r="S14" s="479">
        <v>0</v>
      </c>
      <c r="T14" s="479">
        <v>0</v>
      </c>
      <c r="U14" s="479">
        <v>0</v>
      </c>
      <c r="V14" s="479">
        <v>0</v>
      </c>
      <c r="W14" s="479">
        <v>0</v>
      </c>
      <c r="X14" s="479">
        <v>0</v>
      </c>
      <c r="Y14" s="479">
        <v>0</v>
      </c>
      <c r="Z14" s="479">
        <v>0</v>
      </c>
      <c r="AA14" s="479">
        <v>0</v>
      </c>
      <c r="AB14" s="479">
        <v>0</v>
      </c>
      <c r="AC14" s="479">
        <v>0</v>
      </c>
      <c r="AD14" s="479">
        <v>0</v>
      </c>
      <c r="AE14" s="479">
        <v>0</v>
      </c>
      <c r="AF14" s="479">
        <v>0</v>
      </c>
      <c r="AG14" s="479">
        <v>0</v>
      </c>
      <c r="AH14" s="242">
        <f t="shared" si="26"/>
        <v>0</v>
      </c>
      <c r="AI14" s="236"/>
      <c r="AJ14" s="266"/>
      <c r="AK14" s="266"/>
      <c r="AL14" s="266"/>
      <c r="AM14" s="266"/>
      <c r="AN14" s="266"/>
      <c r="AO14" s="266"/>
      <c r="AP14" s="239"/>
      <c r="AQ14" s="239"/>
      <c r="AR14" s="239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6"/>
      <c r="BE14" s="266"/>
      <c r="BF14" s="266"/>
      <c r="BG14" s="266"/>
      <c r="BH14" s="266"/>
      <c r="BI14" s="266"/>
      <c r="BJ14" s="266"/>
      <c r="BK14" s="242">
        <f t="shared" si="8"/>
        <v>0</v>
      </c>
      <c r="BL14" s="236"/>
      <c r="BM14" s="220"/>
      <c r="BN14" s="220"/>
      <c r="BO14" s="220"/>
      <c r="BP14" s="220"/>
      <c r="BQ14" s="220"/>
      <c r="BR14" s="189"/>
      <c r="BS14" s="239"/>
      <c r="BT14" s="239"/>
      <c r="BU14" s="220"/>
      <c r="BV14" s="239"/>
      <c r="BW14" s="220"/>
      <c r="BX14" s="220"/>
      <c r="BY14" s="220"/>
      <c r="BZ14" s="220"/>
      <c r="CA14" s="220"/>
      <c r="CB14" s="220"/>
      <c r="CC14" s="220"/>
      <c r="CD14" s="220"/>
      <c r="CE14" s="220"/>
      <c r="CF14" s="220"/>
      <c r="CG14" s="220"/>
      <c r="CH14" s="220"/>
      <c r="CI14" s="220"/>
      <c r="CJ14" s="220"/>
      <c r="CK14" s="220"/>
      <c r="CL14" s="220"/>
      <c r="CM14" s="220"/>
      <c r="CN14" s="220"/>
      <c r="CO14" s="220"/>
      <c r="CP14" s="220"/>
      <c r="CQ14" s="242">
        <f t="shared" si="16"/>
        <v>0</v>
      </c>
      <c r="CR14" s="236"/>
      <c r="CS14" s="220"/>
      <c r="CT14" s="220"/>
      <c r="CU14" s="220"/>
      <c r="CV14" s="220"/>
      <c r="CW14" s="220"/>
      <c r="CX14" s="189"/>
      <c r="CY14" s="239"/>
      <c r="CZ14" s="239"/>
      <c r="DA14" s="220"/>
      <c r="DB14" s="239"/>
      <c r="DC14" s="220"/>
      <c r="DD14" s="220"/>
      <c r="DE14" s="239"/>
      <c r="DF14" s="220"/>
      <c r="DG14" s="251">
        <v>7172.3829999999998</v>
      </c>
      <c r="DH14" s="251">
        <v>7231.1710000000003</v>
      </c>
      <c r="DI14" s="220"/>
      <c r="DJ14" s="220"/>
      <c r="DK14" s="220"/>
      <c r="DL14" s="251">
        <v>7019.9560000000001</v>
      </c>
      <c r="DM14" s="251">
        <v>6777.1779999999999</v>
      </c>
      <c r="DN14" s="220">
        <v>0</v>
      </c>
      <c r="DO14" s="220">
        <v>0</v>
      </c>
      <c r="DP14" s="220"/>
      <c r="DQ14" s="251">
        <v>7311.7550000000001</v>
      </c>
      <c r="DR14" s="251">
        <v>7517.6579999999994</v>
      </c>
      <c r="DS14" s="251">
        <v>6364.6120000000001</v>
      </c>
      <c r="DT14" s="220"/>
      <c r="DU14" s="220"/>
      <c r="DV14" s="220"/>
      <c r="DW14" s="242">
        <f t="shared" si="17"/>
        <v>49394.712999999996</v>
      </c>
      <c r="DX14" s="236"/>
      <c r="DY14" s="220"/>
      <c r="DZ14" s="220"/>
      <c r="EA14" s="220"/>
      <c r="EB14" s="220"/>
      <c r="EC14" s="220"/>
      <c r="ED14" s="189"/>
      <c r="EE14" s="239"/>
      <c r="EF14" s="239"/>
      <c r="EG14" s="220"/>
      <c r="EH14" s="239"/>
      <c r="EI14" s="220"/>
      <c r="EJ14" s="220"/>
      <c r="EK14" s="239"/>
      <c r="EL14" s="220"/>
      <c r="EM14" s="220"/>
      <c r="EN14" s="251">
        <v>7321.3159999999998</v>
      </c>
      <c r="EO14" s="251">
        <v>12836.2</v>
      </c>
      <c r="EP14" s="220">
        <v>0</v>
      </c>
      <c r="EQ14" s="220"/>
      <c r="ER14" s="251">
        <v>5510.0240000000003</v>
      </c>
      <c r="ES14" s="251">
        <v>7306.1480000000001</v>
      </c>
      <c r="ET14" s="251">
        <v>6973.3469999999998</v>
      </c>
      <c r="EU14" s="251">
        <v>9607.5519999999997</v>
      </c>
      <c r="EV14" s="251">
        <v>0</v>
      </c>
      <c r="EW14" s="220">
        <v>0</v>
      </c>
      <c r="EX14" s="220">
        <v>0</v>
      </c>
      <c r="EY14" s="220">
        <v>0</v>
      </c>
      <c r="EZ14" s="220">
        <v>0</v>
      </c>
      <c r="FA14" s="220">
        <v>0</v>
      </c>
      <c r="FB14" s="220">
        <v>0</v>
      </c>
      <c r="FC14" s="242">
        <f t="shared" si="18"/>
        <v>49554.587</v>
      </c>
      <c r="FD14" s="236"/>
      <c r="FE14" s="220"/>
      <c r="FF14" s="220"/>
      <c r="FG14" s="220"/>
      <c r="FH14" s="220"/>
      <c r="FI14" s="220"/>
      <c r="FJ14" s="189"/>
      <c r="FK14" s="239"/>
      <c r="FL14" s="239"/>
      <c r="FM14" s="220"/>
      <c r="FN14" s="239"/>
      <c r="FO14" s="220"/>
      <c r="FP14" s="220"/>
      <c r="FQ14" s="239"/>
      <c r="FR14" s="220"/>
      <c r="FS14" s="220"/>
      <c r="FT14" s="220"/>
      <c r="FU14" s="220"/>
      <c r="FV14" s="220"/>
      <c r="FW14" s="220"/>
      <c r="FX14" s="220"/>
      <c r="FY14" s="220"/>
      <c r="FZ14" s="220"/>
      <c r="GA14" s="220"/>
      <c r="GB14" s="220"/>
      <c r="GC14" s="251">
        <v>5312.857</v>
      </c>
      <c r="GD14" s="251">
        <v>5368.5680000000002</v>
      </c>
      <c r="GE14" s="251">
        <v>12524.562999999998</v>
      </c>
      <c r="GF14" s="251">
        <v>9564.8479999999981</v>
      </c>
      <c r="GG14" s="251">
        <v>7061.9290000000001</v>
      </c>
      <c r="GH14" s="220"/>
      <c r="GI14" s="242">
        <f t="shared" si="19"/>
        <v>39832.764999999999</v>
      </c>
      <c r="GJ14" s="251">
        <v>4701.7150000000001</v>
      </c>
      <c r="GK14" s="251">
        <v>5061.8440000000001</v>
      </c>
      <c r="GL14" s="220"/>
      <c r="GM14" s="220"/>
      <c r="GN14" s="220"/>
      <c r="GO14" s="220"/>
      <c r="GP14" s="189"/>
      <c r="GQ14" s="220"/>
      <c r="GR14" s="220"/>
      <c r="GS14" s="220"/>
      <c r="GT14" s="220"/>
      <c r="GU14" s="220"/>
      <c r="GV14" s="220"/>
      <c r="GW14" s="220"/>
      <c r="GX14" s="220"/>
      <c r="GY14" s="220"/>
      <c r="GZ14" s="220"/>
      <c r="HA14" s="220"/>
      <c r="HB14" s="220"/>
      <c r="HC14" s="220"/>
      <c r="HD14" s="220"/>
      <c r="HE14" s="220"/>
      <c r="HF14" s="220"/>
      <c r="HG14" s="220"/>
      <c r="HH14" s="220"/>
      <c r="HI14" s="220"/>
      <c r="HJ14" s="220"/>
      <c r="HK14" s="220"/>
      <c r="HL14" s="220"/>
      <c r="HM14" s="220"/>
      <c r="HN14" s="220"/>
      <c r="HO14" s="242">
        <f t="shared" si="20"/>
        <v>9763.5590000000011</v>
      </c>
      <c r="HP14" s="236"/>
      <c r="HQ14" s="220"/>
      <c r="HR14" s="220"/>
      <c r="HS14" s="220"/>
      <c r="HT14" s="220"/>
      <c r="HU14" s="220"/>
      <c r="HV14" s="220"/>
      <c r="HW14" s="220"/>
      <c r="HX14" s="220"/>
      <c r="HY14" s="220"/>
      <c r="HZ14" s="220"/>
      <c r="IA14" s="220"/>
      <c r="IB14" s="220"/>
      <c r="IC14" s="220"/>
      <c r="ID14" s="220"/>
      <c r="IE14" s="220"/>
      <c r="IF14" s="220"/>
      <c r="IG14" s="220"/>
      <c r="IH14" s="220"/>
      <c r="II14" s="220"/>
      <c r="IJ14" s="220"/>
      <c r="IK14" s="220"/>
      <c r="IL14" s="220"/>
      <c r="IM14" s="220"/>
      <c r="IN14" s="220"/>
      <c r="IO14" s="220">
        <v>0</v>
      </c>
      <c r="IP14" s="220">
        <v>0</v>
      </c>
      <c r="IQ14" s="220">
        <v>0</v>
      </c>
      <c r="IR14" s="220">
        <v>0</v>
      </c>
      <c r="IS14" s="220">
        <v>0</v>
      </c>
      <c r="IT14" s="220">
        <v>0</v>
      </c>
      <c r="IU14" s="242">
        <f t="shared" si="21"/>
        <v>0</v>
      </c>
      <c r="IV14" s="266">
        <v>0</v>
      </c>
      <c r="IW14" s="266">
        <v>0</v>
      </c>
      <c r="IX14" s="266">
        <v>0</v>
      </c>
      <c r="IY14" s="271">
        <v>7320.7980000000007</v>
      </c>
      <c r="IZ14" s="271">
        <v>4925.8909999999996</v>
      </c>
      <c r="JA14" s="271">
        <v>7317.482</v>
      </c>
      <c r="JB14" s="271">
        <v>10686.545999999998</v>
      </c>
      <c r="JC14" s="271">
        <v>12345.915000000001</v>
      </c>
      <c r="JD14" s="271">
        <v>6506.6379999999999</v>
      </c>
      <c r="JE14" s="271">
        <v>0</v>
      </c>
      <c r="JF14" s="266">
        <v>0</v>
      </c>
      <c r="JG14" s="266">
        <v>0</v>
      </c>
      <c r="JH14" s="266">
        <v>0</v>
      </c>
      <c r="JI14" s="266">
        <v>0</v>
      </c>
      <c r="JJ14" s="266">
        <v>0</v>
      </c>
      <c r="JK14" s="266">
        <v>0</v>
      </c>
      <c r="JL14" s="266">
        <v>0</v>
      </c>
      <c r="JM14" s="266">
        <v>0</v>
      </c>
      <c r="JN14" s="266">
        <v>0</v>
      </c>
      <c r="JO14" s="266">
        <v>0</v>
      </c>
      <c r="JP14" s="266">
        <v>0</v>
      </c>
      <c r="JQ14" s="266">
        <v>0</v>
      </c>
      <c r="JR14" s="266">
        <v>0</v>
      </c>
      <c r="JS14" s="266">
        <v>0</v>
      </c>
      <c r="JT14" s="266">
        <v>0</v>
      </c>
      <c r="JU14" s="266">
        <v>0</v>
      </c>
      <c r="JV14" s="266">
        <v>0</v>
      </c>
      <c r="JW14" s="266">
        <v>0</v>
      </c>
      <c r="JX14" s="266">
        <v>0</v>
      </c>
      <c r="JY14" s="266">
        <v>0</v>
      </c>
      <c r="JZ14" s="220"/>
      <c r="KA14" s="242">
        <f t="shared" si="22"/>
        <v>49103.27</v>
      </c>
      <c r="KB14" s="266">
        <v>0</v>
      </c>
      <c r="KC14" s="266">
        <v>0</v>
      </c>
      <c r="KD14" s="266">
        <v>0</v>
      </c>
      <c r="KE14" s="266">
        <v>0</v>
      </c>
      <c r="KF14" s="266">
        <v>0</v>
      </c>
      <c r="KG14" s="266">
        <v>0</v>
      </c>
      <c r="KH14" s="266">
        <v>0</v>
      </c>
      <c r="KI14" s="266">
        <v>0</v>
      </c>
      <c r="KJ14" s="266">
        <v>0</v>
      </c>
      <c r="KK14" s="266">
        <v>0</v>
      </c>
      <c r="KL14" s="266">
        <v>0</v>
      </c>
      <c r="KM14" s="266">
        <v>0</v>
      </c>
      <c r="KN14" s="266">
        <v>0</v>
      </c>
      <c r="KO14" s="266">
        <v>0</v>
      </c>
      <c r="KP14" s="266">
        <v>0</v>
      </c>
      <c r="KQ14" s="266">
        <v>0</v>
      </c>
      <c r="KR14" s="266">
        <v>0</v>
      </c>
      <c r="KS14" s="266">
        <v>0</v>
      </c>
      <c r="KT14" s="266">
        <v>0</v>
      </c>
      <c r="KU14" s="266">
        <v>0</v>
      </c>
      <c r="KV14" s="266">
        <v>0</v>
      </c>
      <c r="KW14" s="266">
        <v>0</v>
      </c>
      <c r="KX14" s="266"/>
      <c r="KY14" s="308">
        <v>0</v>
      </c>
      <c r="KZ14" s="308">
        <v>5518.442</v>
      </c>
      <c r="LA14" s="308">
        <v>0</v>
      </c>
      <c r="LB14" s="308">
        <v>12541.129000000001</v>
      </c>
      <c r="LC14" s="308">
        <v>10412.105</v>
      </c>
      <c r="LD14" s="308">
        <v>12375.135999999999</v>
      </c>
      <c r="LE14" s="308">
        <v>8218.9130000000005</v>
      </c>
      <c r="LF14" s="266">
        <v>0</v>
      </c>
      <c r="LG14" s="242">
        <f t="shared" si="23"/>
        <v>49065.724999999999</v>
      </c>
      <c r="LH14" s="220">
        <v>0</v>
      </c>
      <c r="LI14" s="220">
        <v>0</v>
      </c>
      <c r="LJ14" s="220">
        <v>0</v>
      </c>
      <c r="LK14" s="220">
        <v>0</v>
      </c>
      <c r="LL14" s="220">
        <v>0</v>
      </c>
      <c r="LM14" s="220">
        <v>0</v>
      </c>
      <c r="LN14" s="220">
        <v>0</v>
      </c>
      <c r="LO14" s="220">
        <v>0</v>
      </c>
      <c r="LP14" s="220">
        <v>0</v>
      </c>
      <c r="LQ14" s="220">
        <v>0</v>
      </c>
      <c r="LR14" s="220">
        <v>0</v>
      </c>
      <c r="LS14" s="220">
        <v>0</v>
      </c>
      <c r="LT14" s="220">
        <v>0</v>
      </c>
      <c r="LU14" s="220">
        <v>0</v>
      </c>
      <c r="LV14" s="220">
        <v>0</v>
      </c>
      <c r="LW14" s="220">
        <v>0</v>
      </c>
      <c r="LX14" s="220">
        <v>0</v>
      </c>
      <c r="LY14" s="220">
        <v>0</v>
      </c>
      <c r="LZ14" s="220">
        <v>0</v>
      </c>
      <c r="MA14" s="220">
        <v>0</v>
      </c>
      <c r="MB14" s="220">
        <v>0</v>
      </c>
      <c r="MC14" s="220">
        <v>0</v>
      </c>
      <c r="MD14" s="220"/>
      <c r="ME14" s="220">
        <v>0</v>
      </c>
      <c r="MF14" s="220">
        <v>0</v>
      </c>
      <c r="MG14" s="220">
        <v>0</v>
      </c>
      <c r="MH14" s="220">
        <v>0</v>
      </c>
      <c r="MI14" s="220">
        <v>0</v>
      </c>
      <c r="MJ14" s="220">
        <v>0</v>
      </c>
      <c r="MK14" s="220">
        <v>0</v>
      </c>
      <c r="ML14" s="220">
        <v>3</v>
      </c>
      <c r="MM14" s="242">
        <f>SUM(LH14:MJ14)</f>
        <v>0</v>
      </c>
      <c r="MN14" s="207">
        <v>23855.361000000001</v>
      </c>
      <c r="MO14" s="207">
        <v>5531.0420000000004</v>
      </c>
      <c r="MP14" s="207">
        <v>7309.7159999999994</v>
      </c>
      <c r="MQ14" s="207">
        <v>10059.101999999999</v>
      </c>
      <c r="MR14" s="220">
        <v>0</v>
      </c>
      <c r="MS14" s="207">
        <v>3038.19</v>
      </c>
      <c r="MT14" s="220">
        <v>0</v>
      </c>
      <c r="MU14" s="220">
        <v>0</v>
      </c>
      <c r="MV14" s="220">
        <v>0</v>
      </c>
      <c r="MW14" s="220">
        <v>0</v>
      </c>
      <c r="MX14" s="220">
        <v>0</v>
      </c>
      <c r="MY14" s="220">
        <v>0</v>
      </c>
      <c r="MZ14" s="220">
        <v>0</v>
      </c>
      <c r="NA14" s="220">
        <v>0</v>
      </c>
      <c r="NB14" s="220">
        <v>0</v>
      </c>
      <c r="NC14" s="220">
        <v>0</v>
      </c>
      <c r="ND14" s="220">
        <v>0</v>
      </c>
      <c r="NE14" s="220">
        <v>0</v>
      </c>
      <c r="NF14" s="220">
        <v>0</v>
      </c>
      <c r="NG14" s="220">
        <v>0</v>
      </c>
      <c r="NH14" s="220">
        <v>0</v>
      </c>
      <c r="NI14" s="220">
        <v>0</v>
      </c>
      <c r="NJ14" s="220"/>
      <c r="NK14" s="207">
        <v>0</v>
      </c>
      <c r="NL14" s="207">
        <v>0</v>
      </c>
      <c r="NM14" s="207">
        <v>0</v>
      </c>
      <c r="NN14" s="207">
        <v>0</v>
      </c>
      <c r="NO14" s="207">
        <v>0</v>
      </c>
      <c r="NP14" s="207">
        <v>0</v>
      </c>
      <c r="NQ14" s="207">
        <v>0</v>
      </c>
      <c r="NR14" s="220">
        <v>0</v>
      </c>
      <c r="NS14" s="242">
        <f t="shared" si="25"/>
        <v>49793.411</v>
      </c>
      <c r="NT14" s="220">
        <v>0</v>
      </c>
      <c r="NU14" s="220">
        <v>0</v>
      </c>
      <c r="NV14" s="220">
        <v>0</v>
      </c>
      <c r="NW14" s="220">
        <v>0</v>
      </c>
      <c r="NX14" s="220">
        <v>0</v>
      </c>
      <c r="NY14" s="220">
        <v>0</v>
      </c>
      <c r="NZ14" s="220">
        <v>0</v>
      </c>
      <c r="OA14" s="220">
        <v>0</v>
      </c>
      <c r="OB14" s="220">
        <v>0</v>
      </c>
      <c r="OC14" s="220">
        <v>0</v>
      </c>
      <c r="OD14" s="220">
        <v>0</v>
      </c>
      <c r="OE14" s="220">
        <v>0</v>
      </c>
      <c r="OF14" s="220">
        <v>0</v>
      </c>
      <c r="OG14" s="220">
        <v>0</v>
      </c>
      <c r="OH14" s="220">
        <v>0</v>
      </c>
      <c r="OI14" s="220">
        <v>0</v>
      </c>
      <c r="OJ14" s="220">
        <v>0</v>
      </c>
      <c r="OK14" s="220">
        <v>0</v>
      </c>
      <c r="OL14" s="220">
        <v>0</v>
      </c>
      <c r="OM14" s="220">
        <v>0</v>
      </c>
      <c r="ON14" s="220">
        <v>0</v>
      </c>
      <c r="OO14" s="220">
        <v>0</v>
      </c>
      <c r="OP14" s="220">
        <v>0</v>
      </c>
      <c r="OQ14" s="220">
        <v>0</v>
      </c>
      <c r="OR14" s="220">
        <v>0</v>
      </c>
      <c r="OS14" s="220">
        <v>0</v>
      </c>
      <c r="OT14" s="220">
        <v>0</v>
      </c>
      <c r="OU14" s="220">
        <v>0</v>
      </c>
      <c r="OV14" s="220">
        <v>0</v>
      </c>
      <c r="OW14" s="220">
        <v>0</v>
      </c>
      <c r="OX14" s="220">
        <v>0</v>
      </c>
      <c r="OY14" s="242">
        <f t="shared" si="9"/>
        <v>0</v>
      </c>
      <c r="OZ14" s="220">
        <v>0</v>
      </c>
      <c r="PA14" s="220">
        <v>0</v>
      </c>
      <c r="PB14" s="220">
        <v>0</v>
      </c>
      <c r="PC14" s="220">
        <v>0</v>
      </c>
      <c r="PD14" s="220">
        <v>0</v>
      </c>
      <c r="PE14" s="220">
        <v>0</v>
      </c>
      <c r="PF14" s="220">
        <v>0</v>
      </c>
      <c r="PG14" s="220">
        <v>0</v>
      </c>
      <c r="PH14" s="220">
        <v>0</v>
      </c>
      <c r="PI14" s="220">
        <v>0</v>
      </c>
      <c r="PJ14" s="220">
        <v>0</v>
      </c>
      <c r="PK14" s="220">
        <v>0</v>
      </c>
      <c r="PL14" s="220">
        <v>0</v>
      </c>
      <c r="PM14" s="220">
        <v>0</v>
      </c>
      <c r="PN14" s="220">
        <v>0</v>
      </c>
      <c r="PO14" s="220">
        <v>0</v>
      </c>
      <c r="PP14" s="220">
        <v>0</v>
      </c>
      <c r="PQ14" s="220">
        <v>0</v>
      </c>
      <c r="PR14" s="220">
        <v>0</v>
      </c>
      <c r="PS14" s="220">
        <v>0</v>
      </c>
      <c r="PT14" s="220">
        <v>0</v>
      </c>
      <c r="PU14" s="220">
        <v>0</v>
      </c>
      <c r="PV14" s="220">
        <v>0</v>
      </c>
      <c r="PW14" s="220">
        <v>0</v>
      </c>
      <c r="PX14" s="220">
        <v>0</v>
      </c>
      <c r="PY14" s="220">
        <v>0</v>
      </c>
      <c r="PZ14" s="220">
        <v>0</v>
      </c>
      <c r="QA14" s="220">
        <v>0</v>
      </c>
      <c r="QB14" s="220">
        <v>0</v>
      </c>
      <c r="QC14" s="220">
        <v>0</v>
      </c>
      <c r="QD14" s="242">
        <f t="shared" si="10"/>
        <v>0</v>
      </c>
      <c r="QE14" s="220">
        <v>0</v>
      </c>
      <c r="QF14" s="220">
        <v>0</v>
      </c>
      <c r="QG14" s="220">
        <v>0</v>
      </c>
      <c r="QH14" s="220">
        <v>0</v>
      </c>
      <c r="QI14" s="220">
        <v>0</v>
      </c>
      <c r="QJ14" s="220">
        <v>0</v>
      </c>
      <c r="QK14" s="220">
        <v>0</v>
      </c>
      <c r="QL14" s="220">
        <v>0</v>
      </c>
      <c r="QM14" s="220">
        <v>0</v>
      </c>
      <c r="QN14" s="220">
        <v>0</v>
      </c>
      <c r="QO14" s="220">
        <v>0</v>
      </c>
      <c r="QP14" s="220">
        <v>0</v>
      </c>
      <c r="QQ14" s="220">
        <v>0</v>
      </c>
      <c r="QR14" s="220">
        <v>0</v>
      </c>
      <c r="QS14" s="220">
        <v>0</v>
      </c>
      <c r="QT14" s="220">
        <v>0</v>
      </c>
      <c r="QU14" s="220">
        <v>0</v>
      </c>
      <c r="QV14" s="220">
        <v>0</v>
      </c>
      <c r="QW14" s="220">
        <v>0</v>
      </c>
      <c r="QX14" s="220">
        <v>0</v>
      </c>
      <c r="QY14" s="220">
        <v>0</v>
      </c>
      <c r="QZ14" s="220">
        <v>0</v>
      </c>
      <c r="RA14" s="220">
        <v>0</v>
      </c>
      <c r="RB14" s="220">
        <v>0</v>
      </c>
      <c r="RC14" s="220">
        <v>0</v>
      </c>
      <c r="RD14" s="220">
        <v>0</v>
      </c>
      <c r="RE14" s="220">
        <v>0</v>
      </c>
      <c r="RF14" s="220">
        <v>0</v>
      </c>
      <c r="RG14" s="220">
        <v>0</v>
      </c>
      <c r="RH14" s="220">
        <v>0</v>
      </c>
      <c r="RI14" s="220">
        <v>0</v>
      </c>
      <c r="RJ14" s="242">
        <v>0</v>
      </c>
      <c r="RK14" s="220">
        <v>0</v>
      </c>
      <c r="RL14" s="220">
        <v>0</v>
      </c>
      <c r="RM14" s="220">
        <v>0</v>
      </c>
      <c r="RN14" s="220">
        <v>0</v>
      </c>
      <c r="RO14" s="220">
        <v>0</v>
      </c>
      <c r="RP14" s="220">
        <v>0</v>
      </c>
      <c r="RQ14" s="220">
        <v>0</v>
      </c>
      <c r="RR14" s="220">
        <v>0</v>
      </c>
      <c r="RS14" s="220">
        <v>0</v>
      </c>
      <c r="RT14" s="220">
        <v>0</v>
      </c>
      <c r="RU14" s="220">
        <v>0</v>
      </c>
      <c r="RV14" s="220">
        <v>0</v>
      </c>
      <c r="RW14" s="220">
        <v>0</v>
      </c>
      <c r="RX14" s="220">
        <v>0</v>
      </c>
      <c r="RY14" s="220">
        <v>0</v>
      </c>
      <c r="RZ14" s="220">
        <v>0</v>
      </c>
      <c r="SA14" s="220">
        <v>0</v>
      </c>
      <c r="SB14" s="220">
        <v>0</v>
      </c>
      <c r="SC14" s="220">
        <v>0</v>
      </c>
      <c r="SD14" s="220">
        <v>0</v>
      </c>
      <c r="SE14" s="220">
        <v>0</v>
      </c>
      <c r="SF14" s="220">
        <v>0</v>
      </c>
      <c r="SG14" s="220">
        <v>0</v>
      </c>
      <c r="SH14" s="220">
        <v>0</v>
      </c>
      <c r="SI14" s="220">
        <v>0</v>
      </c>
      <c r="SJ14" s="220">
        <v>0</v>
      </c>
      <c r="SK14" s="220">
        <v>0</v>
      </c>
      <c r="SL14" s="220">
        <v>0</v>
      </c>
      <c r="SM14" s="220">
        <v>0</v>
      </c>
      <c r="SN14" s="220">
        <v>0</v>
      </c>
      <c r="SO14" s="235">
        <v>0</v>
      </c>
      <c r="SP14" s="220">
        <v>0</v>
      </c>
      <c r="SQ14" s="220">
        <v>0</v>
      </c>
      <c r="SR14" s="220">
        <v>0</v>
      </c>
      <c r="SS14" s="220">
        <v>0</v>
      </c>
      <c r="ST14" s="220">
        <v>0</v>
      </c>
      <c r="SU14" s="220">
        <v>0</v>
      </c>
      <c r="SV14" s="220">
        <v>0</v>
      </c>
      <c r="SW14" s="220">
        <v>0</v>
      </c>
      <c r="SX14" s="220">
        <v>0</v>
      </c>
      <c r="SY14" s="220">
        <v>0</v>
      </c>
      <c r="SZ14" s="220">
        <v>0</v>
      </c>
      <c r="TA14" s="220">
        <v>0</v>
      </c>
      <c r="TB14" s="220">
        <v>0</v>
      </c>
      <c r="TC14" s="220">
        <v>0</v>
      </c>
      <c r="TD14" s="220">
        <v>0</v>
      </c>
      <c r="TE14" s="220">
        <v>0</v>
      </c>
      <c r="TF14" s="220">
        <v>0</v>
      </c>
      <c r="TG14" s="220">
        <v>0</v>
      </c>
      <c r="TH14" s="220">
        <v>0</v>
      </c>
      <c r="TI14" s="220">
        <v>0</v>
      </c>
      <c r="TJ14" s="220">
        <v>0</v>
      </c>
      <c r="TK14" s="220">
        <v>0</v>
      </c>
      <c r="TL14" s="220">
        <v>0</v>
      </c>
      <c r="TM14" s="220">
        <v>0</v>
      </c>
      <c r="TN14" s="220">
        <v>0</v>
      </c>
      <c r="TO14" s="220">
        <v>0</v>
      </c>
      <c r="TP14" s="220">
        <v>0</v>
      </c>
      <c r="TQ14" s="220">
        <v>0</v>
      </c>
      <c r="TR14" s="220">
        <v>0</v>
      </c>
      <c r="TS14" s="220">
        <v>0</v>
      </c>
      <c r="TT14" s="220">
        <v>0</v>
      </c>
      <c r="TU14" s="235">
        <v>0</v>
      </c>
      <c r="TV14" s="220">
        <v>0</v>
      </c>
      <c r="TW14" s="220">
        <v>0</v>
      </c>
      <c r="TX14" s="220">
        <v>0</v>
      </c>
      <c r="TY14" s="220">
        <v>0</v>
      </c>
      <c r="TZ14" s="220">
        <v>0</v>
      </c>
      <c r="UA14" s="220">
        <v>0</v>
      </c>
      <c r="UB14" s="220">
        <v>0</v>
      </c>
      <c r="UC14" s="220">
        <v>0</v>
      </c>
      <c r="UD14" s="220">
        <v>0</v>
      </c>
      <c r="UE14" s="220">
        <v>0</v>
      </c>
      <c r="UF14" s="220">
        <v>0</v>
      </c>
      <c r="UG14" s="220">
        <v>0</v>
      </c>
      <c r="UH14" s="220">
        <v>0</v>
      </c>
      <c r="UI14" s="220">
        <v>0</v>
      </c>
      <c r="UJ14" s="220">
        <v>0</v>
      </c>
      <c r="UK14" s="220">
        <v>0</v>
      </c>
      <c r="UL14" s="220">
        <v>0</v>
      </c>
      <c r="UM14" s="220">
        <v>0</v>
      </c>
      <c r="UN14" s="220">
        <v>0</v>
      </c>
      <c r="UO14" s="220">
        <v>0</v>
      </c>
      <c r="UP14" s="220">
        <v>0</v>
      </c>
      <c r="UQ14" s="220">
        <v>0</v>
      </c>
      <c r="UR14" s="220">
        <v>0</v>
      </c>
      <c r="US14" s="220">
        <v>0</v>
      </c>
      <c r="UT14" s="220">
        <v>0</v>
      </c>
      <c r="UU14" s="220">
        <v>0</v>
      </c>
      <c r="UV14" s="220">
        <v>0</v>
      </c>
      <c r="UW14" s="220">
        <v>0</v>
      </c>
      <c r="UX14" s="220">
        <v>0</v>
      </c>
      <c r="UY14" s="220">
        <v>0</v>
      </c>
      <c r="UZ14" s="220">
        <v>0</v>
      </c>
      <c r="VA14" s="235">
        <v>0</v>
      </c>
      <c r="VB14" s="220">
        <v>0</v>
      </c>
      <c r="VC14" s="220">
        <v>0</v>
      </c>
      <c r="VD14" s="220">
        <v>0</v>
      </c>
      <c r="VE14" s="220">
        <v>0</v>
      </c>
      <c r="VF14" s="220">
        <v>0</v>
      </c>
      <c r="VG14" s="220">
        <v>0</v>
      </c>
      <c r="VH14" s="220">
        <v>0</v>
      </c>
      <c r="VI14" s="220">
        <v>0</v>
      </c>
      <c r="VJ14" s="220">
        <v>0</v>
      </c>
      <c r="VK14" s="220">
        <v>0</v>
      </c>
      <c r="VL14" s="220">
        <v>0</v>
      </c>
      <c r="VM14" s="220">
        <v>0</v>
      </c>
      <c r="VN14" s="220">
        <v>0</v>
      </c>
      <c r="VO14" s="220">
        <v>0</v>
      </c>
      <c r="VP14" s="220">
        <v>0</v>
      </c>
      <c r="VQ14" s="220">
        <v>0</v>
      </c>
      <c r="VR14" s="220">
        <v>0</v>
      </c>
      <c r="VS14" s="220">
        <v>0</v>
      </c>
      <c r="VT14" s="220">
        <v>0</v>
      </c>
      <c r="VU14" s="220">
        <v>0</v>
      </c>
      <c r="VV14" s="220">
        <v>0</v>
      </c>
      <c r="VW14" s="220">
        <v>0</v>
      </c>
      <c r="VX14" s="220">
        <v>0</v>
      </c>
      <c r="VY14" s="220">
        <v>0</v>
      </c>
      <c r="VZ14" s="220">
        <v>0</v>
      </c>
      <c r="WA14" s="220">
        <v>0</v>
      </c>
      <c r="WB14" s="220">
        <v>0</v>
      </c>
      <c r="WC14" s="220">
        <v>0</v>
      </c>
      <c r="WD14" s="220">
        <v>0</v>
      </c>
      <c r="WE14" s="220">
        <v>0</v>
      </c>
      <c r="WF14" s="235">
        <v>0</v>
      </c>
      <c r="WG14" s="220">
        <v>0</v>
      </c>
      <c r="WH14" s="220">
        <v>0</v>
      </c>
      <c r="WI14" s="220">
        <v>0</v>
      </c>
      <c r="WJ14" s="220">
        <v>0</v>
      </c>
      <c r="WK14" s="220">
        <v>0</v>
      </c>
      <c r="WL14" s="220">
        <v>0</v>
      </c>
      <c r="WM14" s="220">
        <v>0</v>
      </c>
      <c r="WN14" s="220">
        <v>0</v>
      </c>
      <c r="WO14" s="220">
        <v>0</v>
      </c>
      <c r="WP14" s="220">
        <v>0</v>
      </c>
      <c r="WQ14" s="220">
        <v>0</v>
      </c>
      <c r="WR14" s="220">
        <v>0</v>
      </c>
      <c r="WS14" s="220">
        <v>0</v>
      </c>
      <c r="WT14" s="220">
        <v>0</v>
      </c>
      <c r="WU14" s="220">
        <v>0</v>
      </c>
      <c r="WV14" s="220">
        <v>0</v>
      </c>
      <c r="WW14" s="220">
        <v>0</v>
      </c>
      <c r="WX14" s="220">
        <v>0</v>
      </c>
      <c r="WY14" s="220">
        <v>0</v>
      </c>
      <c r="WZ14" s="220">
        <v>0</v>
      </c>
      <c r="XA14" s="220">
        <v>0</v>
      </c>
      <c r="XB14" s="220">
        <v>0</v>
      </c>
      <c r="XC14" s="220">
        <v>0</v>
      </c>
      <c r="XD14" s="220">
        <v>0</v>
      </c>
      <c r="XE14" s="220">
        <v>0</v>
      </c>
      <c r="XF14" s="220">
        <v>0</v>
      </c>
      <c r="XG14" s="220">
        <v>0</v>
      </c>
      <c r="XH14" s="220">
        <v>0</v>
      </c>
      <c r="XI14" s="220">
        <v>0</v>
      </c>
      <c r="XJ14" s="220">
        <v>0</v>
      </c>
      <c r="XK14" s="220">
        <v>0</v>
      </c>
      <c r="XL14" s="235">
        <v>0</v>
      </c>
      <c r="XM14" s="220">
        <v>0</v>
      </c>
      <c r="XN14" s="220">
        <v>0</v>
      </c>
      <c r="XO14" s="220">
        <v>0</v>
      </c>
      <c r="XP14" s="220">
        <v>0</v>
      </c>
      <c r="XQ14" s="220">
        <v>0</v>
      </c>
      <c r="XR14" s="220">
        <v>0</v>
      </c>
      <c r="XS14" s="220">
        <v>0</v>
      </c>
      <c r="XT14" s="220">
        <v>0</v>
      </c>
      <c r="XU14" s="220">
        <v>0</v>
      </c>
      <c r="XV14" s="220">
        <v>0</v>
      </c>
      <c r="XW14" s="220">
        <v>0</v>
      </c>
      <c r="XX14" s="220">
        <v>0</v>
      </c>
      <c r="XY14" s="220">
        <v>0</v>
      </c>
      <c r="XZ14" s="220">
        <v>0</v>
      </c>
      <c r="YA14" s="220">
        <v>0</v>
      </c>
      <c r="YB14" s="220">
        <v>0</v>
      </c>
      <c r="YC14" s="220">
        <v>0</v>
      </c>
      <c r="YD14" s="220">
        <v>0</v>
      </c>
      <c r="YE14" s="220">
        <v>0</v>
      </c>
      <c r="YF14" s="220">
        <v>0</v>
      </c>
      <c r="YG14" s="220">
        <v>0</v>
      </c>
      <c r="YH14" s="220">
        <v>0</v>
      </c>
      <c r="YI14" s="220">
        <v>0</v>
      </c>
      <c r="YJ14" s="220">
        <v>0</v>
      </c>
      <c r="YK14" s="220">
        <v>0</v>
      </c>
      <c r="YL14" s="220">
        <v>0</v>
      </c>
      <c r="YM14" s="220">
        <v>0</v>
      </c>
      <c r="YN14" s="220">
        <v>0</v>
      </c>
      <c r="YO14" s="220">
        <v>0</v>
      </c>
      <c r="YP14" s="220">
        <v>0</v>
      </c>
      <c r="YQ14" s="220">
        <v>0</v>
      </c>
      <c r="YR14" s="235">
        <v>0</v>
      </c>
      <c r="YS14" s="220">
        <v>0</v>
      </c>
      <c r="YT14" s="220">
        <v>0</v>
      </c>
      <c r="YU14" s="220">
        <v>0</v>
      </c>
      <c r="YV14" s="220">
        <v>0</v>
      </c>
      <c r="YW14" s="220">
        <v>0</v>
      </c>
      <c r="YX14" s="220">
        <v>0</v>
      </c>
      <c r="YY14" s="220">
        <v>0</v>
      </c>
      <c r="YZ14" s="220">
        <v>0</v>
      </c>
      <c r="ZA14" s="220">
        <v>0</v>
      </c>
      <c r="ZB14" s="220">
        <v>0</v>
      </c>
      <c r="ZC14" s="220">
        <v>0</v>
      </c>
      <c r="ZD14" s="220">
        <v>0</v>
      </c>
      <c r="ZE14" s="220">
        <v>0</v>
      </c>
      <c r="ZF14" s="220">
        <v>0</v>
      </c>
      <c r="ZG14" s="220">
        <v>0</v>
      </c>
      <c r="ZH14" s="220">
        <v>0</v>
      </c>
      <c r="ZI14" s="220">
        <v>0</v>
      </c>
      <c r="ZJ14" s="220">
        <v>0</v>
      </c>
      <c r="ZK14" s="220">
        <v>0</v>
      </c>
      <c r="ZL14" s="220">
        <v>0</v>
      </c>
      <c r="ZM14" s="220">
        <v>0</v>
      </c>
      <c r="ZN14" s="220">
        <v>0</v>
      </c>
      <c r="ZO14" s="220">
        <v>0</v>
      </c>
      <c r="ZP14" s="220">
        <v>0</v>
      </c>
      <c r="ZQ14" s="220">
        <v>0</v>
      </c>
      <c r="ZR14" s="220">
        <v>0</v>
      </c>
      <c r="ZS14" s="220">
        <v>0</v>
      </c>
      <c r="ZT14" s="220">
        <v>0</v>
      </c>
      <c r="ZU14" s="220">
        <v>0</v>
      </c>
      <c r="ZV14" s="220">
        <v>0</v>
      </c>
      <c r="ZW14" s="220">
        <v>0</v>
      </c>
      <c r="ZX14" s="235">
        <v>0</v>
      </c>
      <c r="ZY14" s="220">
        <v>0</v>
      </c>
      <c r="ZZ14" s="220">
        <v>0</v>
      </c>
      <c r="AAA14" s="220">
        <v>0</v>
      </c>
      <c r="AAB14" s="220">
        <v>0</v>
      </c>
      <c r="AAC14" s="220">
        <v>0</v>
      </c>
      <c r="AAD14" s="220">
        <v>0</v>
      </c>
      <c r="AAE14" s="220">
        <v>0</v>
      </c>
      <c r="AAF14" s="220">
        <v>0</v>
      </c>
      <c r="AAG14" s="220">
        <v>0</v>
      </c>
      <c r="AAH14" s="220">
        <v>0</v>
      </c>
      <c r="AAI14" s="220">
        <v>0</v>
      </c>
      <c r="AAJ14" s="220">
        <v>0</v>
      </c>
      <c r="AAK14" s="220">
        <v>0</v>
      </c>
      <c r="AAL14" s="220">
        <v>0</v>
      </c>
      <c r="AAM14" s="220">
        <v>0</v>
      </c>
      <c r="AAN14" s="220">
        <v>0</v>
      </c>
      <c r="AAO14" s="220">
        <v>0</v>
      </c>
      <c r="AAP14" s="220">
        <v>0</v>
      </c>
      <c r="AAQ14" s="220">
        <v>0</v>
      </c>
      <c r="AAR14" s="220">
        <v>0</v>
      </c>
      <c r="AAS14" s="220">
        <v>0</v>
      </c>
      <c r="AAT14" s="220">
        <v>0</v>
      </c>
      <c r="AAU14" s="220">
        <v>0</v>
      </c>
      <c r="AAV14" s="220">
        <v>0</v>
      </c>
      <c r="AAW14" s="220">
        <v>0</v>
      </c>
      <c r="AAX14" s="220">
        <v>0</v>
      </c>
      <c r="AAY14" s="220">
        <v>0</v>
      </c>
      <c r="AAZ14" s="220">
        <v>0</v>
      </c>
      <c r="ABA14" s="242">
        <f t="shared" si="11"/>
        <v>0</v>
      </c>
      <c r="ABB14" s="220">
        <v>0</v>
      </c>
      <c r="ABC14" s="220">
        <v>0</v>
      </c>
      <c r="ABD14" s="220">
        <v>0</v>
      </c>
      <c r="ABE14" s="220">
        <v>0</v>
      </c>
      <c r="ABF14" s="220">
        <v>0</v>
      </c>
      <c r="ABG14" s="220">
        <v>0</v>
      </c>
      <c r="ABH14" s="220">
        <v>0</v>
      </c>
      <c r="ABI14" s="220">
        <v>0</v>
      </c>
      <c r="ABJ14" s="220">
        <v>0</v>
      </c>
      <c r="ABK14" s="220">
        <v>0</v>
      </c>
      <c r="ABL14" s="220">
        <v>0</v>
      </c>
      <c r="ABM14" s="220">
        <v>0</v>
      </c>
      <c r="ABN14" s="220">
        <v>0</v>
      </c>
      <c r="ABO14" s="220">
        <v>0</v>
      </c>
      <c r="ABP14" s="220">
        <v>0</v>
      </c>
      <c r="ABQ14" s="220">
        <v>0</v>
      </c>
      <c r="ABR14" s="220">
        <v>0</v>
      </c>
      <c r="ABS14" s="220">
        <v>0</v>
      </c>
      <c r="ABT14" s="220">
        <v>0</v>
      </c>
      <c r="ABU14" s="220">
        <v>0</v>
      </c>
      <c r="ABV14" s="220">
        <v>0</v>
      </c>
      <c r="ABW14" s="220">
        <v>0</v>
      </c>
      <c r="ABX14" s="220">
        <v>0</v>
      </c>
      <c r="ABY14" s="479">
        <v>0</v>
      </c>
      <c r="ABZ14" s="479">
        <v>0</v>
      </c>
      <c r="ACA14" s="479">
        <v>0</v>
      </c>
      <c r="ACB14" s="479">
        <v>0</v>
      </c>
      <c r="ACC14" s="479">
        <v>0</v>
      </c>
      <c r="ACD14" s="479">
        <v>0</v>
      </c>
      <c r="ACE14" s="479">
        <v>0</v>
      </c>
      <c r="ACF14" s="479">
        <v>0</v>
      </c>
      <c r="ACG14" s="242">
        <v>0</v>
      </c>
      <c r="ACH14" s="220">
        <v>0</v>
      </c>
      <c r="ACI14" s="220">
        <v>0</v>
      </c>
      <c r="ACJ14" s="220">
        <v>0</v>
      </c>
      <c r="ACK14" s="220">
        <v>0</v>
      </c>
      <c r="ACL14" s="220">
        <v>0</v>
      </c>
      <c r="ACM14" s="220">
        <v>0</v>
      </c>
      <c r="ACN14" s="220">
        <v>0</v>
      </c>
      <c r="ACO14" s="220">
        <v>0</v>
      </c>
      <c r="ACP14" s="220">
        <v>0</v>
      </c>
      <c r="ACQ14" s="220">
        <v>0</v>
      </c>
      <c r="ACR14" s="220">
        <v>0</v>
      </c>
      <c r="ACS14" s="220">
        <v>0</v>
      </c>
      <c r="ACT14" s="220">
        <v>0</v>
      </c>
      <c r="ACU14" s="220">
        <v>0</v>
      </c>
      <c r="ACV14" s="220">
        <v>0</v>
      </c>
      <c r="ACW14" s="220">
        <v>0</v>
      </c>
      <c r="ACX14" s="220">
        <v>0</v>
      </c>
      <c r="ACY14" s="220">
        <v>0</v>
      </c>
      <c r="ACZ14" s="220">
        <v>0</v>
      </c>
      <c r="ADA14" s="220">
        <v>0</v>
      </c>
      <c r="ADB14" s="220">
        <v>0</v>
      </c>
      <c r="ADC14" s="220">
        <v>0</v>
      </c>
      <c r="ADD14" s="220">
        <v>0</v>
      </c>
      <c r="ADE14" s="220">
        <v>0</v>
      </c>
      <c r="ADF14" s="220">
        <v>0</v>
      </c>
      <c r="ADG14" s="220">
        <v>0</v>
      </c>
      <c r="ADH14" s="220">
        <v>0</v>
      </c>
      <c r="ADI14" s="220">
        <v>0</v>
      </c>
      <c r="ADJ14" s="220">
        <v>0</v>
      </c>
      <c r="ADK14" s="220">
        <v>0</v>
      </c>
      <c r="ADL14" s="220">
        <v>0</v>
      </c>
      <c r="ADM14" s="242">
        <v>0</v>
      </c>
      <c r="ADN14" s="220">
        <v>0</v>
      </c>
      <c r="ADO14" s="220">
        <v>0</v>
      </c>
      <c r="ADP14" s="220">
        <v>0</v>
      </c>
      <c r="ADQ14" s="220">
        <v>0</v>
      </c>
      <c r="ADR14" s="220">
        <v>0</v>
      </c>
      <c r="ADS14" s="220">
        <v>0</v>
      </c>
      <c r="ADT14" s="220">
        <v>0</v>
      </c>
      <c r="ADU14" s="220">
        <v>0</v>
      </c>
      <c r="ADV14" s="220">
        <v>0</v>
      </c>
      <c r="ADW14" s="220">
        <v>0</v>
      </c>
      <c r="ADX14" s="220">
        <v>0</v>
      </c>
      <c r="ADY14" s="220">
        <v>0</v>
      </c>
      <c r="ADZ14" s="220">
        <v>0</v>
      </c>
      <c r="AEA14" s="220">
        <v>0</v>
      </c>
      <c r="AEB14" s="220">
        <v>0</v>
      </c>
      <c r="AEC14" s="220">
        <v>0</v>
      </c>
      <c r="AED14" s="220">
        <v>0</v>
      </c>
      <c r="AEE14" s="220">
        <v>0</v>
      </c>
      <c r="AEF14" s="220">
        <v>0</v>
      </c>
      <c r="AEG14" s="220">
        <v>0</v>
      </c>
      <c r="AEH14" s="220">
        <v>0</v>
      </c>
      <c r="AEI14" s="220">
        <v>0</v>
      </c>
      <c r="AEJ14" s="220">
        <v>0</v>
      </c>
      <c r="AEK14" s="220">
        <v>0</v>
      </c>
      <c r="AEL14" s="220">
        <v>0</v>
      </c>
      <c r="AEM14" s="220">
        <v>0</v>
      </c>
      <c r="AEN14" s="220">
        <v>0</v>
      </c>
      <c r="AEO14" s="220">
        <v>0</v>
      </c>
      <c r="AEP14" s="220">
        <v>0</v>
      </c>
      <c r="AEQ14" s="220">
        <v>0</v>
      </c>
      <c r="AER14" s="220">
        <v>0</v>
      </c>
      <c r="AES14" s="242">
        <v>0</v>
      </c>
      <c r="AET14" s="220">
        <v>0</v>
      </c>
      <c r="AEU14" s="220">
        <v>0</v>
      </c>
      <c r="AEV14" s="220">
        <v>0</v>
      </c>
      <c r="AEW14" s="220">
        <v>0</v>
      </c>
      <c r="AEX14" s="220">
        <v>0</v>
      </c>
      <c r="AEY14" s="220">
        <v>0</v>
      </c>
      <c r="AEZ14" s="220">
        <v>0</v>
      </c>
      <c r="AFA14" s="220">
        <v>0</v>
      </c>
      <c r="AFB14" s="220">
        <v>0</v>
      </c>
      <c r="AFC14" s="220">
        <v>0</v>
      </c>
      <c r="AFD14" s="220">
        <v>0</v>
      </c>
      <c r="AFE14" s="220">
        <v>0</v>
      </c>
      <c r="AFF14" s="220">
        <v>0</v>
      </c>
      <c r="AFG14" s="220">
        <v>0</v>
      </c>
      <c r="AFH14" s="220">
        <v>0</v>
      </c>
      <c r="AFI14" s="220">
        <v>0</v>
      </c>
      <c r="AFJ14" s="220">
        <v>0</v>
      </c>
      <c r="AFK14" s="220">
        <v>0</v>
      </c>
      <c r="AFL14" s="220">
        <v>0</v>
      </c>
      <c r="AFM14" s="220">
        <v>0</v>
      </c>
      <c r="AFN14" s="220">
        <v>0</v>
      </c>
      <c r="AFO14" s="220">
        <v>0</v>
      </c>
      <c r="AFP14" s="220">
        <v>0</v>
      </c>
      <c r="AFQ14" s="220">
        <v>0</v>
      </c>
      <c r="AFR14" s="220">
        <v>0</v>
      </c>
      <c r="AFS14" s="220">
        <v>0</v>
      </c>
      <c r="AFT14" s="220">
        <v>0</v>
      </c>
      <c r="AFU14" s="220">
        <v>0</v>
      </c>
      <c r="AFV14" s="220">
        <v>0</v>
      </c>
      <c r="AFW14" s="220">
        <v>0</v>
      </c>
      <c r="AFX14" s="242">
        <v>0</v>
      </c>
      <c r="AFY14" s="220">
        <v>0</v>
      </c>
      <c r="AFZ14" s="220">
        <v>0</v>
      </c>
      <c r="AGA14" s="220">
        <v>0</v>
      </c>
      <c r="AGB14" s="220">
        <v>0</v>
      </c>
      <c r="AGC14" s="220">
        <v>0</v>
      </c>
      <c r="AGD14" s="220">
        <v>0</v>
      </c>
      <c r="AGE14" s="220">
        <v>0</v>
      </c>
      <c r="AGF14" s="220">
        <v>0</v>
      </c>
      <c r="AGG14" s="220">
        <v>0</v>
      </c>
      <c r="AGH14" s="220">
        <v>0</v>
      </c>
      <c r="AGI14" s="220">
        <v>0</v>
      </c>
      <c r="AGJ14" s="220">
        <v>0</v>
      </c>
      <c r="AGK14" s="220">
        <v>0</v>
      </c>
      <c r="AGL14" s="220">
        <v>0</v>
      </c>
      <c r="AGM14" s="220">
        <v>0</v>
      </c>
      <c r="AGN14" s="220">
        <v>0</v>
      </c>
      <c r="AGO14" s="220">
        <v>0</v>
      </c>
      <c r="AGP14" s="220">
        <v>0</v>
      </c>
      <c r="AGQ14" s="220">
        <v>0</v>
      </c>
      <c r="AGR14" s="220">
        <v>0</v>
      </c>
      <c r="AGS14" s="220">
        <v>0</v>
      </c>
      <c r="AGT14" s="220">
        <v>0</v>
      </c>
      <c r="AGU14" s="220">
        <v>0</v>
      </c>
      <c r="AGV14" s="220">
        <v>0</v>
      </c>
      <c r="AGW14" s="220">
        <v>0</v>
      </c>
      <c r="AGX14" s="220">
        <v>0</v>
      </c>
      <c r="AGY14" s="220">
        <v>0</v>
      </c>
      <c r="AGZ14" s="220">
        <v>0</v>
      </c>
      <c r="AHA14" s="220">
        <v>0</v>
      </c>
      <c r="AHB14" s="220">
        <v>0</v>
      </c>
      <c r="AHC14" s="220">
        <v>0</v>
      </c>
      <c r="AHD14" s="242">
        <v>0</v>
      </c>
      <c r="AHE14" s="220">
        <v>0</v>
      </c>
      <c r="AHF14" s="220">
        <v>0</v>
      </c>
      <c r="AHG14" s="220">
        <v>0</v>
      </c>
      <c r="AHH14" s="220">
        <v>0</v>
      </c>
      <c r="AHI14" s="220">
        <v>0</v>
      </c>
      <c r="AHJ14" s="220">
        <v>0</v>
      </c>
      <c r="AHK14" s="220">
        <v>0</v>
      </c>
      <c r="AHL14" s="220">
        <v>0</v>
      </c>
      <c r="AHM14" s="220">
        <v>0</v>
      </c>
      <c r="AHN14" s="220">
        <v>0</v>
      </c>
      <c r="AHO14" s="220">
        <v>0</v>
      </c>
      <c r="AHP14" s="220">
        <v>0</v>
      </c>
      <c r="AHQ14" s="220">
        <v>0</v>
      </c>
      <c r="AHR14" s="220">
        <v>0</v>
      </c>
      <c r="AHS14" s="220">
        <v>0</v>
      </c>
      <c r="AHT14" s="220">
        <v>0</v>
      </c>
      <c r="AHU14" s="220">
        <v>0</v>
      </c>
      <c r="AHV14" s="220">
        <v>0</v>
      </c>
      <c r="AHW14" s="220">
        <v>0</v>
      </c>
      <c r="AHX14" s="220">
        <v>0</v>
      </c>
      <c r="AHY14" s="220">
        <v>0</v>
      </c>
      <c r="AHZ14" s="220">
        <v>0</v>
      </c>
      <c r="AIA14" s="220">
        <v>0</v>
      </c>
      <c r="AIB14" s="220">
        <v>0</v>
      </c>
      <c r="AIC14" s="220">
        <v>0</v>
      </c>
      <c r="AID14" s="220">
        <v>0</v>
      </c>
      <c r="AIE14" s="220">
        <v>0</v>
      </c>
      <c r="AIF14" s="220">
        <v>0</v>
      </c>
      <c r="AIG14" s="220">
        <v>0</v>
      </c>
      <c r="AIH14" s="220">
        <v>0</v>
      </c>
      <c r="AII14" s="220">
        <v>0</v>
      </c>
      <c r="AIJ14" s="235">
        <v>0</v>
      </c>
      <c r="AIK14" s="479">
        <v>0</v>
      </c>
      <c r="AIL14" s="479">
        <v>0</v>
      </c>
      <c r="AIM14" s="479">
        <v>0</v>
      </c>
      <c r="AIN14" s="479">
        <v>0</v>
      </c>
      <c r="AIO14" s="479">
        <v>0</v>
      </c>
      <c r="AIP14" s="479">
        <v>0</v>
      </c>
      <c r="AIQ14" s="479">
        <v>0</v>
      </c>
      <c r="AIR14" s="479">
        <v>0</v>
      </c>
      <c r="AIS14" s="479">
        <v>0</v>
      </c>
      <c r="AIT14" s="479">
        <v>0</v>
      </c>
      <c r="AIU14" s="479">
        <v>0</v>
      </c>
      <c r="AIV14" s="479">
        <v>0</v>
      </c>
      <c r="AIW14" s="479">
        <v>0</v>
      </c>
      <c r="AIX14" s="479">
        <v>0</v>
      </c>
      <c r="AIY14" s="479">
        <v>0</v>
      </c>
      <c r="AIZ14" s="479">
        <v>0</v>
      </c>
      <c r="AJA14" s="479">
        <v>0</v>
      </c>
      <c r="AJB14" s="479">
        <v>0</v>
      </c>
      <c r="AJC14" s="479">
        <v>0</v>
      </c>
      <c r="AJD14" s="479">
        <v>0</v>
      </c>
      <c r="AJE14" s="479">
        <v>0</v>
      </c>
      <c r="AJF14" s="479">
        <v>0</v>
      </c>
      <c r="AJG14" s="479">
        <v>0</v>
      </c>
      <c r="AJH14" s="479">
        <v>0</v>
      </c>
      <c r="AJI14" s="479">
        <v>0</v>
      </c>
      <c r="AJJ14" s="479">
        <v>0</v>
      </c>
      <c r="AJK14" s="479">
        <v>0</v>
      </c>
      <c r="AJL14" s="479">
        <v>0</v>
      </c>
      <c r="AJM14" s="479">
        <v>0</v>
      </c>
      <c r="AJN14" s="479">
        <v>0</v>
      </c>
      <c r="AJO14" s="235">
        <v>0</v>
      </c>
      <c r="AJP14" s="479">
        <v>0</v>
      </c>
      <c r="AJQ14" s="479">
        <v>0</v>
      </c>
      <c r="AJR14" s="479">
        <v>0</v>
      </c>
      <c r="AJS14" s="479">
        <v>0</v>
      </c>
      <c r="AJT14" s="479">
        <v>0</v>
      </c>
      <c r="AJU14" s="479">
        <v>0</v>
      </c>
      <c r="AJV14" s="479">
        <v>0</v>
      </c>
      <c r="AJW14" s="479">
        <v>0</v>
      </c>
      <c r="AJX14" s="479">
        <v>0</v>
      </c>
      <c r="AJY14" s="479">
        <v>0</v>
      </c>
      <c r="AJZ14" s="479">
        <v>0</v>
      </c>
      <c r="AKA14" s="479">
        <v>0</v>
      </c>
      <c r="AKB14" s="479">
        <v>0</v>
      </c>
      <c r="AKC14" s="479">
        <v>0</v>
      </c>
      <c r="AKD14" s="479">
        <v>0</v>
      </c>
      <c r="AKE14" s="479">
        <v>0</v>
      </c>
      <c r="AKF14" s="479">
        <v>0</v>
      </c>
      <c r="AKG14" s="479">
        <v>0</v>
      </c>
      <c r="AKH14" s="479">
        <v>0</v>
      </c>
      <c r="AKI14" s="479">
        <v>0</v>
      </c>
      <c r="AKJ14" s="479">
        <v>0</v>
      </c>
      <c r="AKK14" s="479">
        <v>0</v>
      </c>
      <c r="AKL14" s="479">
        <v>0</v>
      </c>
      <c r="AKM14" s="479">
        <v>0</v>
      </c>
      <c r="AKN14" s="479">
        <v>0</v>
      </c>
      <c r="AKO14" s="479">
        <v>0</v>
      </c>
      <c r="AKP14" s="479">
        <v>0</v>
      </c>
      <c r="AKQ14" s="479">
        <v>0</v>
      </c>
      <c r="AKR14" s="479">
        <v>0</v>
      </c>
      <c r="AKS14" s="479">
        <v>0</v>
      </c>
      <c r="AKT14" s="479">
        <v>0</v>
      </c>
      <c r="AKU14" s="235">
        <v>0</v>
      </c>
      <c r="AKV14" s="479"/>
      <c r="AKW14" s="479">
        <v>0</v>
      </c>
      <c r="AKX14" s="479">
        <v>0</v>
      </c>
      <c r="AKY14" s="479">
        <v>0</v>
      </c>
      <c r="AKZ14" s="479">
        <v>0</v>
      </c>
      <c r="ALA14" s="479">
        <v>0</v>
      </c>
      <c r="ALB14" s="479">
        <v>0</v>
      </c>
      <c r="ALC14" s="479">
        <v>0</v>
      </c>
      <c r="ALD14" s="479">
        <v>0</v>
      </c>
      <c r="ALE14" s="479">
        <v>0</v>
      </c>
      <c r="ALF14" s="479">
        <v>0</v>
      </c>
      <c r="ALG14" s="479">
        <v>0</v>
      </c>
      <c r="ALH14" s="479">
        <v>0</v>
      </c>
      <c r="ALI14" s="479">
        <v>0</v>
      </c>
      <c r="ALJ14" s="479">
        <v>0</v>
      </c>
      <c r="ALK14" s="479">
        <v>0</v>
      </c>
      <c r="ALL14" s="479">
        <v>0</v>
      </c>
      <c r="ALM14" s="479">
        <v>0</v>
      </c>
      <c r="ALN14" s="479">
        <v>0</v>
      </c>
      <c r="ALO14" s="479">
        <v>0</v>
      </c>
      <c r="ALP14" s="479">
        <v>0</v>
      </c>
      <c r="ALQ14" s="479">
        <v>0</v>
      </c>
      <c r="ALR14" s="479">
        <v>0</v>
      </c>
      <c r="ALS14" s="479">
        <v>0</v>
      </c>
      <c r="ALT14" s="479">
        <v>0</v>
      </c>
      <c r="ALU14" s="479">
        <v>0</v>
      </c>
      <c r="ALV14" s="479">
        <v>0</v>
      </c>
      <c r="ALW14" s="479">
        <v>0</v>
      </c>
      <c r="ALX14" s="479">
        <v>0</v>
      </c>
      <c r="ALY14" s="479">
        <v>0</v>
      </c>
      <c r="ALZ14" s="235">
        <v>0</v>
      </c>
      <c r="AMA14" s="479"/>
      <c r="AMB14" s="479">
        <v>0</v>
      </c>
      <c r="AMC14" s="479">
        <v>0</v>
      </c>
      <c r="AMD14" s="479">
        <v>0</v>
      </c>
      <c r="AME14" s="479">
        <v>0</v>
      </c>
      <c r="AMF14" s="479">
        <v>0</v>
      </c>
      <c r="AMG14" s="479">
        <v>0</v>
      </c>
      <c r="AMH14" s="479">
        <v>0</v>
      </c>
      <c r="AMI14" s="479">
        <v>0</v>
      </c>
      <c r="AMJ14" s="479">
        <v>0</v>
      </c>
      <c r="AMK14" s="479">
        <v>0</v>
      </c>
      <c r="AML14" s="479">
        <v>0</v>
      </c>
      <c r="AMM14" s="479">
        <v>0</v>
      </c>
      <c r="AMN14" s="479">
        <v>0</v>
      </c>
      <c r="AMO14" s="479">
        <v>0</v>
      </c>
      <c r="AMP14" s="479">
        <v>0</v>
      </c>
      <c r="AMQ14" s="479">
        <v>0</v>
      </c>
      <c r="AMR14" s="479">
        <v>0</v>
      </c>
      <c r="AMS14" s="479">
        <v>0</v>
      </c>
      <c r="AMT14" s="479">
        <v>0</v>
      </c>
      <c r="AMU14" s="479">
        <v>0</v>
      </c>
      <c r="AMV14" s="479">
        <v>0</v>
      </c>
      <c r="AMW14" s="479">
        <v>0</v>
      </c>
      <c r="AMX14" s="479">
        <v>0</v>
      </c>
      <c r="AMY14" s="479">
        <v>0</v>
      </c>
      <c r="AMZ14" s="479">
        <v>0</v>
      </c>
      <c r="ANA14" s="479">
        <v>0</v>
      </c>
      <c r="ANB14" s="479">
        <v>0</v>
      </c>
      <c r="ANC14" s="479">
        <v>0</v>
      </c>
      <c r="AND14" s="479"/>
      <c r="ANE14" s="479">
        <v>0</v>
      </c>
      <c r="ANF14" s="235">
        <f t="shared" si="2"/>
        <v>0</v>
      </c>
      <c r="ANG14" s="479"/>
      <c r="ANH14" s="479">
        <v>0</v>
      </c>
      <c r="ANI14" s="479">
        <v>0</v>
      </c>
      <c r="ANJ14" s="479">
        <v>0</v>
      </c>
      <c r="ANK14" s="479">
        <v>0</v>
      </c>
      <c r="ANL14" s="479">
        <v>0</v>
      </c>
      <c r="ANM14" s="479">
        <v>0</v>
      </c>
      <c r="ANN14" s="479">
        <v>0</v>
      </c>
      <c r="ANO14" s="479">
        <v>0</v>
      </c>
      <c r="ANP14" s="479">
        <v>0</v>
      </c>
      <c r="ANQ14" s="479">
        <v>0</v>
      </c>
      <c r="ANR14" s="479">
        <v>0</v>
      </c>
      <c r="ANS14" s="479">
        <v>0</v>
      </c>
      <c r="ANT14" s="479">
        <v>0</v>
      </c>
      <c r="ANU14" s="479">
        <v>0</v>
      </c>
      <c r="ANV14" s="479">
        <v>0</v>
      </c>
      <c r="ANW14" s="479">
        <v>0</v>
      </c>
      <c r="ANX14" s="479">
        <v>0</v>
      </c>
      <c r="ANY14" s="479">
        <v>0</v>
      </c>
      <c r="ANZ14" s="479">
        <v>0</v>
      </c>
      <c r="AOA14" s="479">
        <v>0</v>
      </c>
      <c r="AOB14" s="479">
        <v>0</v>
      </c>
      <c r="AOC14" s="479">
        <v>0</v>
      </c>
      <c r="AOD14" s="479">
        <v>0</v>
      </c>
      <c r="AOE14" s="479">
        <v>0</v>
      </c>
      <c r="AOF14" s="479">
        <v>0</v>
      </c>
      <c r="AOG14" s="479">
        <v>0</v>
      </c>
      <c r="AOH14" s="479">
        <v>0</v>
      </c>
      <c r="AOI14" s="242">
        <v>0</v>
      </c>
      <c r="AOJ14" s="479">
        <v>0</v>
      </c>
      <c r="AOK14" s="479">
        <v>0</v>
      </c>
      <c r="AOL14" s="479">
        <v>0</v>
      </c>
      <c r="AOM14" s="479">
        <v>0</v>
      </c>
      <c r="AON14" s="479">
        <v>0</v>
      </c>
      <c r="AOO14" s="479">
        <v>0</v>
      </c>
      <c r="AOP14" s="479">
        <v>0</v>
      </c>
      <c r="AOQ14" s="479">
        <v>0</v>
      </c>
      <c r="AOR14" s="479">
        <v>0</v>
      </c>
      <c r="AOS14" s="479">
        <v>0</v>
      </c>
      <c r="AOT14" s="479">
        <v>0</v>
      </c>
      <c r="AOU14" s="479">
        <v>0</v>
      </c>
      <c r="AOV14" s="479">
        <v>0</v>
      </c>
      <c r="AOW14" s="479">
        <v>0</v>
      </c>
      <c r="AOX14" s="479">
        <v>0</v>
      </c>
      <c r="AOY14" s="479">
        <v>0</v>
      </c>
      <c r="AOZ14" s="479">
        <v>0</v>
      </c>
      <c r="APA14" s="479">
        <v>0</v>
      </c>
      <c r="APB14" s="479">
        <v>0</v>
      </c>
      <c r="APC14" s="479">
        <v>0</v>
      </c>
      <c r="APD14" s="479">
        <v>0</v>
      </c>
      <c r="APE14" s="479">
        <v>0</v>
      </c>
      <c r="APF14" s="479">
        <v>0</v>
      </c>
      <c r="APG14" s="479">
        <v>0</v>
      </c>
      <c r="APH14" s="479">
        <v>0</v>
      </c>
      <c r="API14" s="479">
        <v>0</v>
      </c>
      <c r="APJ14" s="479">
        <v>0</v>
      </c>
      <c r="APK14" s="479">
        <v>0</v>
      </c>
      <c r="APL14" s="479">
        <v>0</v>
      </c>
      <c r="APM14" s="479">
        <v>0</v>
      </c>
      <c r="APN14" s="479">
        <v>0</v>
      </c>
      <c r="APO14" s="242">
        <v>0</v>
      </c>
      <c r="APP14" s="479">
        <v>0</v>
      </c>
      <c r="APQ14" s="479">
        <v>0</v>
      </c>
      <c r="APR14" s="479">
        <v>0</v>
      </c>
      <c r="APS14" s="479">
        <v>0</v>
      </c>
      <c r="APT14" s="479">
        <v>0</v>
      </c>
      <c r="APU14" s="479">
        <v>0</v>
      </c>
      <c r="APV14" s="479">
        <v>0</v>
      </c>
      <c r="APW14" s="479">
        <v>0</v>
      </c>
      <c r="APX14" s="479">
        <v>0</v>
      </c>
      <c r="APY14" s="479">
        <v>0</v>
      </c>
      <c r="APZ14" s="479">
        <v>0</v>
      </c>
      <c r="AQA14" s="479">
        <v>0</v>
      </c>
      <c r="AQB14" s="479">
        <v>0</v>
      </c>
      <c r="AQC14" s="479">
        <v>0</v>
      </c>
      <c r="AQD14" s="479">
        <v>0</v>
      </c>
      <c r="AQE14" s="479">
        <v>0</v>
      </c>
      <c r="AQF14" s="479">
        <v>0</v>
      </c>
      <c r="AQG14" s="479">
        <v>0</v>
      </c>
      <c r="AQH14" s="479">
        <v>0</v>
      </c>
      <c r="AQI14" s="479">
        <v>0</v>
      </c>
      <c r="AQJ14" s="479">
        <v>0</v>
      </c>
      <c r="AQK14" s="479">
        <v>0</v>
      </c>
      <c r="AQL14" s="479">
        <v>0</v>
      </c>
      <c r="AQM14" s="479">
        <v>0</v>
      </c>
      <c r="AQN14" s="479">
        <v>0</v>
      </c>
      <c r="AQO14" s="479">
        <v>0</v>
      </c>
      <c r="AQP14" s="479">
        <v>0</v>
      </c>
      <c r="AQQ14" s="479">
        <v>0</v>
      </c>
      <c r="AQR14" s="479">
        <v>0</v>
      </c>
      <c r="AQS14" s="479">
        <v>0</v>
      </c>
      <c r="AQT14" s="242">
        <f t="shared" si="12"/>
        <v>0</v>
      </c>
      <c r="AQU14" s="479">
        <v>0</v>
      </c>
      <c r="AQV14" s="479">
        <v>0</v>
      </c>
      <c r="AQW14" s="479">
        <v>0</v>
      </c>
      <c r="AQX14" s="479">
        <v>0</v>
      </c>
      <c r="AQY14" s="479">
        <v>0</v>
      </c>
      <c r="AQZ14" s="479">
        <v>0</v>
      </c>
      <c r="ARA14" s="479">
        <v>0</v>
      </c>
      <c r="ARB14" s="479">
        <v>0</v>
      </c>
      <c r="ARC14" s="479">
        <v>0</v>
      </c>
      <c r="ARD14" s="479">
        <v>0</v>
      </c>
      <c r="ARE14" s="479">
        <v>0</v>
      </c>
      <c r="ARF14" s="479">
        <v>0</v>
      </c>
      <c r="ARG14" s="479">
        <v>0</v>
      </c>
      <c r="ARH14" s="479">
        <v>0</v>
      </c>
      <c r="ARI14" s="479">
        <v>0</v>
      </c>
      <c r="ARJ14" s="479">
        <v>0</v>
      </c>
      <c r="ARK14" s="479">
        <v>0</v>
      </c>
      <c r="ARL14" s="479">
        <v>0</v>
      </c>
      <c r="ARM14" s="479">
        <v>0</v>
      </c>
      <c r="ARN14" s="479">
        <v>0</v>
      </c>
      <c r="ARO14" s="479">
        <v>0</v>
      </c>
      <c r="ARP14" s="479">
        <v>0</v>
      </c>
      <c r="ARQ14" s="479">
        <v>0</v>
      </c>
      <c r="ARR14" s="479">
        <v>0</v>
      </c>
      <c r="ARS14" s="479">
        <v>0</v>
      </c>
      <c r="ART14" s="479">
        <v>0</v>
      </c>
      <c r="ARU14" s="479">
        <v>0</v>
      </c>
      <c r="ARV14" s="479">
        <v>0</v>
      </c>
      <c r="ARW14" s="479">
        <v>0</v>
      </c>
      <c r="ARX14" s="479"/>
      <c r="ARY14" s="479">
        <v>0</v>
      </c>
      <c r="ARZ14" s="242">
        <f t="shared" si="13"/>
        <v>0</v>
      </c>
      <c r="ASA14" s="479">
        <v>0</v>
      </c>
      <c r="ASB14" s="479">
        <v>0</v>
      </c>
      <c r="ASC14" s="479">
        <v>0</v>
      </c>
      <c r="ASD14" s="479">
        <v>0</v>
      </c>
      <c r="ASE14" s="479">
        <v>0</v>
      </c>
      <c r="ASF14" s="479">
        <v>0</v>
      </c>
      <c r="ASG14" s="479">
        <v>0</v>
      </c>
      <c r="ASH14" s="479">
        <v>0</v>
      </c>
      <c r="ASI14" s="479">
        <v>0</v>
      </c>
      <c r="ASJ14" s="479">
        <v>0</v>
      </c>
      <c r="ASK14" s="479">
        <v>0</v>
      </c>
      <c r="ASL14" s="479">
        <v>0</v>
      </c>
      <c r="ASM14" s="479">
        <v>0</v>
      </c>
      <c r="ASN14" s="479">
        <v>0</v>
      </c>
      <c r="ASO14" s="479">
        <v>0</v>
      </c>
      <c r="ASP14" s="479">
        <v>0</v>
      </c>
      <c r="ASQ14" s="479">
        <v>0</v>
      </c>
      <c r="ASR14" s="479">
        <v>0</v>
      </c>
      <c r="ASS14" s="479">
        <v>0</v>
      </c>
      <c r="AST14" s="479">
        <v>0</v>
      </c>
      <c r="ASU14" s="479">
        <v>0</v>
      </c>
      <c r="ASV14" s="479">
        <v>0</v>
      </c>
      <c r="ASW14" s="479">
        <v>0</v>
      </c>
      <c r="ASX14" s="479">
        <v>0</v>
      </c>
      <c r="ASY14" s="479">
        <v>0</v>
      </c>
      <c r="ASZ14" s="479">
        <v>0</v>
      </c>
      <c r="ATA14" s="479">
        <v>0</v>
      </c>
      <c r="ATB14" s="479">
        <v>0</v>
      </c>
      <c r="ATC14" s="479">
        <v>0</v>
      </c>
      <c r="ATD14" s="479"/>
      <c r="ATE14" s="242">
        <v>0</v>
      </c>
      <c r="ATF14" s="479">
        <v>0</v>
      </c>
      <c r="ATG14" s="479">
        <v>0</v>
      </c>
      <c r="ATH14" s="479">
        <v>0</v>
      </c>
      <c r="ATI14" s="479">
        <v>0</v>
      </c>
      <c r="ATJ14" s="479">
        <v>0</v>
      </c>
      <c r="ATK14" s="479">
        <v>0</v>
      </c>
      <c r="ATL14" s="479">
        <v>0</v>
      </c>
      <c r="ATM14" s="479">
        <v>0</v>
      </c>
      <c r="ATN14" s="479">
        <v>0</v>
      </c>
      <c r="ATO14" s="479">
        <v>0</v>
      </c>
      <c r="ATP14" s="479">
        <v>0</v>
      </c>
      <c r="ATQ14" s="479">
        <v>0</v>
      </c>
      <c r="ATR14" s="479">
        <v>0</v>
      </c>
      <c r="ATS14" s="479">
        <v>0</v>
      </c>
      <c r="ATT14" s="479">
        <v>0</v>
      </c>
      <c r="ATU14" s="479">
        <v>0</v>
      </c>
      <c r="ATV14" s="479">
        <v>0</v>
      </c>
      <c r="ATW14" s="479">
        <v>0</v>
      </c>
      <c r="ATX14" s="479">
        <v>0</v>
      </c>
      <c r="ATY14" s="479">
        <v>0</v>
      </c>
      <c r="ATZ14" s="479">
        <v>0</v>
      </c>
      <c r="AUA14" s="479">
        <v>0</v>
      </c>
      <c r="AUB14" s="479">
        <v>0</v>
      </c>
      <c r="AUC14" s="479">
        <v>0</v>
      </c>
      <c r="AUD14" s="479">
        <v>0</v>
      </c>
      <c r="AUE14" s="479">
        <v>0</v>
      </c>
      <c r="AUF14" s="479">
        <v>0</v>
      </c>
      <c r="AUG14" s="479">
        <v>0</v>
      </c>
      <c r="AUH14" s="479">
        <v>0</v>
      </c>
      <c r="AUI14" s="479">
        <v>0</v>
      </c>
      <c r="AUJ14" s="479"/>
      <c r="AUK14" s="242">
        <v>0</v>
      </c>
      <c r="AUL14" s="479">
        <v>0</v>
      </c>
      <c r="AUM14" s="479">
        <v>0</v>
      </c>
      <c r="AUN14" s="479">
        <v>0</v>
      </c>
      <c r="AUO14" s="479">
        <v>0</v>
      </c>
      <c r="AUP14" s="479">
        <v>0</v>
      </c>
      <c r="AUQ14" s="479">
        <v>0</v>
      </c>
      <c r="AUR14" s="479">
        <v>0</v>
      </c>
      <c r="AUS14" s="479">
        <v>0</v>
      </c>
      <c r="AUT14" s="479">
        <v>0</v>
      </c>
      <c r="AUU14" s="479">
        <v>0</v>
      </c>
      <c r="AUV14" s="479">
        <v>0</v>
      </c>
      <c r="AUW14" s="479">
        <v>0</v>
      </c>
      <c r="AUX14" s="479">
        <v>0</v>
      </c>
      <c r="AUY14" s="479">
        <v>0</v>
      </c>
      <c r="AUZ14" s="479">
        <v>0</v>
      </c>
      <c r="AVA14" s="479">
        <v>0</v>
      </c>
      <c r="AVB14" s="479">
        <v>0</v>
      </c>
      <c r="AVC14" s="479">
        <v>0</v>
      </c>
      <c r="AVD14" s="479">
        <v>0</v>
      </c>
      <c r="AVE14" s="479">
        <v>0</v>
      </c>
      <c r="AVF14" s="479">
        <v>0</v>
      </c>
      <c r="AVG14" s="479">
        <v>0</v>
      </c>
      <c r="AVH14" s="479">
        <v>0</v>
      </c>
      <c r="AVI14" s="479">
        <v>0</v>
      </c>
      <c r="AVJ14" s="479">
        <v>0</v>
      </c>
      <c r="AVK14" s="479">
        <v>0</v>
      </c>
      <c r="AVL14" s="479">
        <v>0</v>
      </c>
      <c r="AVM14" s="479">
        <v>0</v>
      </c>
      <c r="AVN14" s="479">
        <v>0</v>
      </c>
      <c r="AVO14" s="479">
        <v>0</v>
      </c>
      <c r="AVP14" s="479"/>
      <c r="AVQ14" s="235">
        <f t="shared" si="3"/>
        <v>0</v>
      </c>
      <c r="AVR14" s="479">
        <v>0</v>
      </c>
      <c r="AVS14" s="479">
        <v>0</v>
      </c>
      <c r="AVT14" s="479">
        <v>0</v>
      </c>
      <c r="AVU14" s="479">
        <v>0</v>
      </c>
      <c r="AVV14" s="479">
        <v>0</v>
      </c>
      <c r="AVW14" s="479">
        <v>0</v>
      </c>
      <c r="AVX14" s="479">
        <v>0</v>
      </c>
      <c r="AVY14" s="479">
        <v>0</v>
      </c>
      <c r="AVZ14" s="479">
        <v>0</v>
      </c>
      <c r="AWA14" s="479">
        <v>0</v>
      </c>
      <c r="AWB14" s="479">
        <v>0</v>
      </c>
      <c r="AWC14" s="479">
        <v>0</v>
      </c>
      <c r="AWD14" s="479">
        <v>0</v>
      </c>
      <c r="AWE14" s="479">
        <v>0</v>
      </c>
      <c r="AWF14" s="479">
        <v>0</v>
      </c>
      <c r="AWG14" s="479">
        <v>0</v>
      </c>
      <c r="AWH14" s="479">
        <v>0</v>
      </c>
      <c r="AWI14" s="479">
        <v>0</v>
      </c>
      <c r="AWJ14" s="479">
        <v>0</v>
      </c>
      <c r="AWK14" s="479">
        <v>0</v>
      </c>
      <c r="AWL14" s="479">
        <v>0</v>
      </c>
      <c r="AWM14" s="479">
        <v>0</v>
      </c>
      <c r="AWN14" s="479">
        <v>0</v>
      </c>
      <c r="AWO14" s="479">
        <v>0</v>
      </c>
      <c r="AWP14" s="479">
        <v>0</v>
      </c>
      <c r="AWQ14" s="479">
        <v>0</v>
      </c>
      <c r="AWR14" s="479">
        <v>0</v>
      </c>
      <c r="AWS14" s="479">
        <v>0</v>
      </c>
      <c r="AWT14" s="479">
        <v>0</v>
      </c>
      <c r="AWU14" s="479">
        <v>0</v>
      </c>
      <c r="AWV14" s="235">
        <v>0</v>
      </c>
      <c r="AWW14" s="479">
        <v>0</v>
      </c>
      <c r="AWX14" s="479">
        <v>0</v>
      </c>
      <c r="AWY14" s="479">
        <v>0</v>
      </c>
      <c r="AWZ14" s="479">
        <v>0</v>
      </c>
      <c r="AXA14" s="479">
        <v>0</v>
      </c>
      <c r="AXB14" s="479">
        <v>0</v>
      </c>
      <c r="AXC14" s="479">
        <v>0</v>
      </c>
      <c r="AXD14" s="479">
        <v>0</v>
      </c>
      <c r="AXE14" s="479">
        <v>0</v>
      </c>
      <c r="AXF14" s="479">
        <v>0</v>
      </c>
      <c r="AXG14" s="479">
        <v>0</v>
      </c>
      <c r="AXH14" s="479">
        <v>0</v>
      </c>
      <c r="AXI14" s="479">
        <v>0</v>
      </c>
      <c r="AXJ14" s="479">
        <v>0</v>
      </c>
      <c r="AXK14" s="479">
        <v>0</v>
      </c>
      <c r="AXL14" s="479">
        <v>0</v>
      </c>
      <c r="AXM14" s="479">
        <v>0</v>
      </c>
      <c r="AXN14" s="479">
        <v>0</v>
      </c>
      <c r="AXO14" s="479">
        <v>0</v>
      </c>
      <c r="AXP14" s="479">
        <v>0</v>
      </c>
      <c r="AXQ14" s="479">
        <v>0</v>
      </c>
      <c r="AXR14" s="479">
        <v>0</v>
      </c>
      <c r="AXS14" s="479">
        <v>0</v>
      </c>
      <c r="AXT14" s="479">
        <v>0</v>
      </c>
      <c r="AXU14" s="479">
        <v>0</v>
      </c>
      <c r="AXV14" s="479">
        <v>0</v>
      </c>
      <c r="AXW14" s="479">
        <v>0</v>
      </c>
      <c r="AXX14" s="479">
        <v>0</v>
      </c>
      <c r="AXY14" s="479">
        <v>0</v>
      </c>
      <c r="AXZ14" s="479">
        <v>0</v>
      </c>
      <c r="AYA14" s="479">
        <v>0</v>
      </c>
      <c r="AYB14" s="235">
        <v>0</v>
      </c>
      <c r="AYC14" s="479">
        <v>0</v>
      </c>
      <c r="AYD14" s="479">
        <v>0</v>
      </c>
      <c r="AYE14" s="479">
        <v>0</v>
      </c>
      <c r="AYF14" s="479">
        <v>0</v>
      </c>
      <c r="AYG14" s="479">
        <v>0</v>
      </c>
      <c r="AYH14" s="479">
        <v>0</v>
      </c>
      <c r="AYI14" s="479">
        <v>0</v>
      </c>
      <c r="AYJ14" s="479">
        <v>0</v>
      </c>
      <c r="AYK14" s="479">
        <v>0</v>
      </c>
      <c r="AYL14" s="479">
        <v>0</v>
      </c>
      <c r="AYM14" s="479">
        <v>0</v>
      </c>
      <c r="AYN14" s="479">
        <v>0</v>
      </c>
      <c r="AYO14" s="479">
        <v>0</v>
      </c>
      <c r="AYP14" s="479">
        <v>0</v>
      </c>
      <c r="AYQ14" s="479">
        <v>0</v>
      </c>
      <c r="AYR14" s="479">
        <v>0</v>
      </c>
      <c r="AYS14" s="479">
        <v>0</v>
      </c>
      <c r="AYT14" s="479">
        <v>0</v>
      </c>
      <c r="AYU14" s="479">
        <v>0</v>
      </c>
      <c r="AYV14" s="479">
        <v>0</v>
      </c>
      <c r="AYW14" s="479">
        <v>0</v>
      </c>
      <c r="AYX14" s="479">
        <v>0</v>
      </c>
      <c r="AYY14" s="479">
        <v>0</v>
      </c>
      <c r="AYZ14" s="479">
        <v>0</v>
      </c>
      <c r="AZA14" s="479">
        <v>0</v>
      </c>
      <c r="AZB14" s="479">
        <v>0</v>
      </c>
      <c r="AZC14" s="479">
        <v>0</v>
      </c>
      <c r="AZD14" s="479">
        <v>0</v>
      </c>
      <c r="AZE14" s="479">
        <v>0</v>
      </c>
      <c r="AZF14" s="479">
        <v>0</v>
      </c>
      <c r="AZG14" s="235">
        <v>0</v>
      </c>
      <c r="AZH14" s="479">
        <v>0</v>
      </c>
      <c r="AZI14" s="479">
        <v>0</v>
      </c>
      <c r="AZJ14" s="479">
        <v>0</v>
      </c>
      <c r="AZK14" s="479">
        <v>0</v>
      </c>
      <c r="AZL14" s="479">
        <v>0</v>
      </c>
      <c r="AZM14" s="479">
        <v>0</v>
      </c>
      <c r="AZN14" s="479">
        <v>0</v>
      </c>
      <c r="AZO14" s="479">
        <v>0</v>
      </c>
      <c r="AZP14" s="479">
        <v>0</v>
      </c>
      <c r="AZQ14" s="479">
        <v>0</v>
      </c>
      <c r="AZR14" s="479">
        <v>0</v>
      </c>
      <c r="AZS14" s="479">
        <v>0</v>
      </c>
      <c r="AZT14" s="479">
        <v>0</v>
      </c>
      <c r="AZU14" s="479">
        <v>0</v>
      </c>
      <c r="AZV14" s="479">
        <v>0</v>
      </c>
      <c r="AZW14" s="479">
        <v>0</v>
      </c>
      <c r="AZX14" s="479">
        <v>0</v>
      </c>
      <c r="AZY14" s="479">
        <v>0</v>
      </c>
      <c r="AZZ14" s="479">
        <v>0</v>
      </c>
      <c r="BAA14" s="479">
        <v>0</v>
      </c>
      <c r="BAB14" s="479">
        <v>0</v>
      </c>
      <c r="BAC14" s="479">
        <v>0</v>
      </c>
      <c r="BAD14" s="479">
        <v>0</v>
      </c>
      <c r="BAE14" s="479">
        <v>0</v>
      </c>
      <c r="BAF14" s="479">
        <v>0</v>
      </c>
      <c r="BAG14" s="479">
        <v>0</v>
      </c>
      <c r="BAH14" s="479">
        <v>0</v>
      </c>
      <c r="BAI14" s="479">
        <v>0</v>
      </c>
      <c r="BAJ14" s="479">
        <v>0</v>
      </c>
      <c r="BAK14" s="479">
        <v>0</v>
      </c>
      <c r="BAL14" s="479">
        <v>0</v>
      </c>
      <c r="BAM14" s="235">
        <f t="shared" si="27"/>
        <v>0</v>
      </c>
    </row>
    <row r="15" spans="2:1392" hidden="1">
      <c r="B15" s="237" t="s">
        <v>363</v>
      </c>
      <c r="C15" s="479">
        <v>0</v>
      </c>
      <c r="D15" s="477">
        <v>0</v>
      </c>
      <c r="E15" s="477">
        <v>0</v>
      </c>
      <c r="F15" s="477">
        <v>0</v>
      </c>
      <c r="G15" s="477">
        <v>0</v>
      </c>
      <c r="H15" s="477">
        <v>0</v>
      </c>
      <c r="I15" s="477">
        <v>0</v>
      </c>
      <c r="J15" s="479">
        <v>0</v>
      </c>
      <c r="K15" s="479">
        <v>0</v>
      </c>
      <c r="L15" s="479">
        <v>0</v>
      </c>
      <c r="M15" s="479">
        <v>0</v>
      </c>
      <c r="N15" s="479">
        <v>0</v>
      </c>
      <c r="O15" s="479">
        <v>0</v>
      </c>
      <c r="P15" s="479">
        <v>0</v>
      </c>
      <c r="Q15" s="479">
        <v>0</v>
      </c>
      <c r="R15" s="479">
        <v>0</v>
      </c>
      <c r="S15" s="479">
        <v>0</v>
      </c>
      <c r="T15" s="479">
        <v>0</v>
      </c>
      <c r="U15" s="479">
        <v>0</v>
      </c>
      <c r="V15" s="479">
        <v>0</v>
      </c>
      <c r="W15" s="479">
        <v>0</v>
      </c>
      <c r="X15" s="479">
        <v>0</v>
      </c>
      <c r="Y15" s="479">
        <v>0</v>
      </c>
      <c r="Z15" s="479">
        <v>0</v>
      </c>
      <c r="AA15" s="479">
        <v>0</v>
      </c>
      <c r="AB15" s="479">
        <v>0</v>
      </c>
      <c r="AC15" s="479">
        <v>0</v>
      </c>
      <c r="AD15" s="479">
        <v>0</v>
      </c>
      <c r="AE15" s="479">
        <v>0</v>
      </c>
      <c r="AF15" s="479">
        <v>0</v>
      </c>
      <c r="AG15" s="479">
        <v>0</v>
      </c>
      <c r="AH15" s="235">
        <f t="shared" si="26"/>
        <v>0</v>
      </c>
      <c r="AI15" s="236"/>
      <c r="AJ15" s="236"/>
      <c r="AK15" s="266"/>
      <c r="AL15" s="266"/>
      <c r="AM15" s="266"/>
      <c r="AN15" s="239"/>
      <c r="AO15" s="266"/>
      <c r="AP15" s="239"/>
      <c r="AQ15" s="239"/>
      <c r="AR15" s="239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356">
        <v>4500</v>
      </c>
      <c r="BF15" s="356">
        <v>11000</v>
      </c>
      <c r="BG15" s="356">
        <v>6000</v>
      </c>
      <c r="BH15" s="356">
        <v>4500</v>
      </c>
      <c r="BI15" s="356">
        <v>4500</v>
      </c>
      <c r="BJ15" s="356">
        <v>6500</v>
      </c>
      <c r="BK15" s="235">
        <f t="shared" si="8"/>
        <v>37000</v>
      </c>
      <c r="BL15" s="236"/>
      <c r="BM15" s="236"/>
      <c r="BN15" s="189"/>
      <c r="BO15" s="189"/>
      <c r="BP15" s="189"/>
      <c r="BQ15" s="189"/>
      <c r="BR15" s="220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189"/>
      <c r="CF15" s="220"/>
      <c r="CG15" s="220"/>
      <c r="CH15" s="220"/>
      <c r="CI15" s="220"/>
      <c r="CJ15" s="220"/>
      <c r="CK15" s="220"/>
      <c r="CL15" s="189"/>
      <c r="CM15" s="220"/>
      <c r="CN15" s="239"/>
      <c r="CO15" s="220"/>
      <c r="CP15" s="239"/>
      <c r="CQ15" s="242">
        <f t="shared" si="16"/>
        <v>0</v>
      </c>
      <c r="CR15" s="236"/>
      <c r="CS15" s="236"/>
      <c r="CT15" s="189"/>
      <c r="CU15" s="189"/>
      <c r="CV15" s="189"/>
      <c r="CW15" s="189"/>
      <c r="CX15" s="220"/>
      <c r="CY15" s="239"/>
      <c r="CZ15" s="239"/>
      <c r="DA15" s="239"/>
      <c r="DB15" s="239"/>
      <c r="DC15" s="239"/>
      <c r="DD15" s="239"/>
      <c r="DE15" s="239"/>
      <c r="DF15" s="239"/>
      <c r="DG15" s="239"/>
      <c r="DH15" s="239"/>
      <c r="DI15" s="239"/>
      <c r="DJ15" s="239"/>
      <c r="DK15" s="189"/>
      <c r="DL15" s="220"/>
      <c r="DM15" s="220"/>
      <c r="DN15" s="220"/>
      <c r="DO15" s="220"/>
      <c r="DP15" s="220"/>
      <c r="DQ15" s="220"/>
      <c r="DR15" s="189"/>
      <c r="DS15" s="220"/>
      <c r="DT15" s="239"/>
      <c r="DU15" s="220"/>
      <c r="DV15" s="239"/>
      <c r="DW15" s="242">
        <f t="shared" si="17"/>
        <v>0</v>
      </c>
      <c r="DX15" s="236"/>
      <c r="DY15" s="236"/>
      <c r="DZ15" s="189"/>
      <c r="EA15" s="189"/>
      <c r="EB15" s="189"/>
      <c r="EC15" s="189"/>
      <c r="ED15" s="220"/>
      <c r="EE15" s="239"/>
      <c r="EF15" s="239"/>
      <c r="EG15" s="239"/>
      <c r="EH15" s="239"/>
      <c r="EI15" s="239"/>
      <c r="EJ15" s="239"/>
      <c r="EK15" s="239"/>
      <c r="EL15" s="239"/>
      <c r="EM15" s="239"/>
      <c r="EN15" s="239"/>
      <c r="EO15" s="239"/>
      <c r="EP15" s="239"/>
      <c r="EQ15" s="266"/>
      <c r="ER15" s="239"/>
      <c r="ES15" s="239"/>
      <c r="ET15" s="239"/>
      <c r="EU15" s="224">
        <v>7500</v>
      </c>
      <c r="EV15" s="268">
        <v>5500</v>
      </c>
      <c r="EW15" s="224">
        <v>5000</v>
      </c>
      <c r="EX15" s="224">
        <v>5000</v>
      </c>
      <c r="EY15" s="224">
        <v>7000</v>
      </c>
      <c r="EZ15" s="268">
        <v>4500</v>
      </c>
      <c r="FA15" s="268">
        <v>4500</v>
      </c>
      <c r="FB15" s="239"/>
      <c r="FC15" s="242">
        <f t="shared" si="18"/>
        <v>39000</v>
      </c>
      <c r="FD15" s="236"/>
      <c r="FE15" s="236"/>
      <c r="FF15" s="189"/>
      <c r="FG15" s="189"/>
      <c r="FH15" s="189"/>
      <c r="FI15" s="189"/>
      <c r="FJ15" s="220"/>
      <c r="FK15" s="239"/>
      <c r="FL15" s="239"/>
      <c r="FM15" s="239"/>
      <c r="FN15" s="239"/>
      <c r="FO15" s="239"/>
      <c r="FP15" s="239"/>
      <c r="FQ15" s="239"/>
      <c r="FR15" s="239"/>
      <c r="FS15" s="239"/>
      <c r="FT15" s="239"/>
      <c r="FU15" s="239"/>
      <c r="FV15" s="239"/>
      <c r="FW15" s="189"/>
      <c r="FX15" s="220"/>
      <c r="FY15" s="220"/>
      <c r="FZ15" s="220"/>
      <c r="GA15" s="220"/>
      <c r="GB15" s="220"/>
      <c r="GC15" s="220"/>
      <c r="GD15" s="189"/>
      <c r="GE15" s="220"/>
      <c r="GF15" s="239"/>
      <c r="GG15" s="220"/>
      <c r="GH15" s="239"/>
      <c r="GI15" s="242">
        <f t="shared" si="19"/>
        <v>0</v>
      </c>
      <c r="GJ15" s="236"/>
      <c r="GK15" s="236"/>
      <c r="GL15" s="189"/>
      <c r="GM15" s="189"/>
      <c r="GN15" s="189"/>
      <c r="GO15" s="189"/>
      <c r="GP15" s="220"/>
      <c r="GQ15" s="239"/>
      <c r="GR15" s="266"/>
      <c r="GS15" s="239"/>
      <c r="GT15" s="239"/>
      <c r="GU15" s="239"/>
      <c r="GV15" s="266"/>
      <c r="GW15" s="266"/>
      <c r="GX15" s="239"/>
      <c r="GY15" s="239"/>
      <c r="GZ15" s="239"/>
      <c r="HA15" s="239"/>
      <c r="HB15" s="239"/>
      <c r="HC15" s="189"/>
      <c r="HD15" s="220"/>
      <c r="HE15" s="220"/>
      <c r="HF15" s="220"/>
      <c r="HG15" s="220"/>
      <c r="HH15" s="220"/>
      <c r="HI15" s="220"/>
      <c r="HJ15" s="189"/>
      <c r="HK15" s="220"/>
      <c r="HL15" s="239"/>
      <c r="HM15" s="220"/>
      <c r="HN15" s="239"/>
      <c r="HO15" s="242">
        <f t="shared" si="20"/>
        <v>0</v>
      </c>
      <c r="HP15" s="236"/>
      <c r="HQ15" s="236"/>
      <c r="HR15" s="189"/>
      <c r="HS15" s="189"/>
      <c r="HT15" s="189"/>
      <c r="HU15" s="189"/>
      <c r="HV15" s="220"/>
      <c r="HW15" s="239"/>
      <c r="HX15" s="239"/>
      <c r="HY15" s="239"/>
      <c r="HZ15" s="239"/>
      <c r="IA15" s="239"/>
      <c r="IB15" s="239"/>
      <c r="IC15" s="239"/>
      <c r="ID15" s="239"/>
      <c r="IE15" s="239"/>
      <c r="IF15" s="239"/>
      <c r="IG15" s="239"/>
      <c r="IH15" s="239"/>
      <c r="II15" s="189"/>
      <c r="IJ15" s="220"/>
      <c r="IK15" s="220"/>
      <c r="IL15" s="220"/>
      <c r="IM15" s="220"/>
      <c r="IN15" s="220"/>
      <c r="IO15" s="220"/>
      <c r="IP15" s="189"/>
      <c r="IQ15" s="220"/>
      <c r="IR15" s="239"/>
      <c r="IS15" s="220"/>
      <c r="IT15" s="239"/>
      <c r="IU15" s="242">
        <f t="shared" si="21"/>
        <v>0</v>
      </c>
      <c r="IV15" s="236"/>
      <c r="IW15" s="236"/>
      <c r="IX15" s="267"/>
      <c r="IY15" s="239"/>
      <c r="IZ15" s="266"/>
      <c r="JA15" s="239"/>
      <c r="JB15" s="239"/>
      <c r="JC15" s="239"/>
      <c r="JD15" s="266"/>
      <c r="JE15" s="266"/>
      <c r="JF15" s="239"/>
      <c r="JG15" s="239"/>
      <c r="JH15" s="239"/>
      <c r="JI15" s="266"/>
      <c r="JJ15" s="239"/>
      <c r="JK15" s="239"/>
      <c r="JL15" s="266"/>
      <c r="JM15" s="239"/>
      <c r="JN15" s="239"/>
      <c r="JO15" s="239"/>
      <c r="JP15" s="268">
        <v>4500</v>
      </c>
      <c r="JQ15" s="268">
        <v>4500</v>
      </c>
      <c r="JR15" s="224">
        <v>7500</v>
      </c>
      <c r="JS15" s="268">
        <v>5500</v>
      </c>
      <c r="JT15" s="224">
        <v>5000</v>
      </c>
      <c r="JU15" s="224">
        <v>5000</v>
      </c>
      <c r="JV15" s="239"/>
      <c r="JW15" s="224">
        <v>7000</v>
      </c>
      <c r="JX15" s="239"/>
      <c r="JY15" s="266"/>
      <c r="JZ15" s="239"/>
      <c r="KA15" s="242">
        <f t="shared" si="22"/>
        <v>39000</v>
      </c>
      <c r="KB15" s="236"/>
      <c r="KC15" s="236"/>
      <c r="KD15" s="266"/>
      <c r="KE15" s="239"/>
      <c r="KF15" s="266"/>
      <c r="KG15" s="239"/>
      <c r="KH15" s="239"/>
      <c r="KI15" s="239"/>
      <c r="KJ15" s="266"/>
      <c r="KK15" s="266"/>
      <c r="KL15" s="239"/>
      <c r="KM15" s="239"/>
      <c r="KN15" s="239"/>
      <c r="KO15" s="266"/>
      <c r="KP15" s="239"/>
      <c r="KQ15" s="239"/>
      <c r="KR15" s="266"/>
      <c r="KS15" s="239"/>
      <c r="KT15" s="239"/>
      <c r="KU15" s="239"/>
      <c r="KV15" s="266"/>
      <c r="KW15" s="266"/>
      <c r="KX15" s="266"/>
      <c r="KY15" s="266"/>
      <c r="KZ15" s="266"/>
      <c r="LA15" s="266"/>
      <c r="LB15" s="267"/>
      <c r="LC15" s="266"/>
      <c r="LD15" s="239"/>
      <c r="LE15" s="266"/>
      <c r="LF15" s="239"/>
      <c r="LG15" s="242">
        <f t="shared" si="23"/>
        <v>0</v>
      </c>
      <c r="LH15" s="236"/>
      <c r="LI15" s="236"/>
      <c r="LJ15" s="220"/>
      <c r="LK15" s="239"/>
      <c r="LL15" s="266"/>
      <c r="LM15" s="239"/>
      <c r="LN15" s="239"/>
      <c r="LO15" s="239"/>
      <c r="LP15" s="266"/>
      <c r="LQ15" s="266"/>
      <c r="LR15" s="239"/>
      <c r="LS15" s="239"/>
      <c r="LT15" s="239"/>
      <c r="LU15" s="266"/>
      <c r="LV15" s="239"/>
      <c r="LW15" s="239"/>
      <c r="LX15" s="266"/>
      <c r="LY15" s="239"/>
      <c r="LZ15" s="239"/>
      <c r="MA15" s="239"/>
      <c r="MB15" s="266"/>
      <c r="MC15" s="266"/>
      <c r="MD15" s="220"/>
      <c r="ME15" s="220"/>
      <c r="MF15" s="220"/>
      <c r="MG15" s="220"/>
      <c r="MH15" s="189"/>
      <c r="MI15" s="220"/>
      <c r="MJ15" s="239"/>
      <c r="MK15" s="220"/>
      <c r="ML15" s="239"/>
      <c r="MM15" s="242">
        <f t="shared" si="24"/>
        <v>0</v>
      </c>
      <c r="MN15" s="236"/>
      <c r="MO15" s="236"/>
      <c r="MP15" s="220"/>
      <c r="MQ15" s="239"/>
      <c r="MR15" s="266"/>
      <c r="MS15" s="239"/>
      <c r="MT15" s="239"/>
      <c r="MU15" s="239"/>
      <c r="MV15" s="266"/>
      <c r="MW15" s="313">
        <v>11000</v>
      </c>
      <c r="MX15" s="266">
        <v>0</v>
      </c>
      <c r="MY15" s="313">
        <v>5000</v>
      </c>
      <c r="MZ15" s="313">
        <v>11000</v>
      </c>
      <c r="NA15" s="313">
        <v>6000</v>
      </c>
      <c r="NB15" s="266">
        <v>0</v>
      </c>
      <c r="NC15" s="313">
        <v>3000</v>
      </c>
      <c r="ND15" s="266"/>
      <c r="NE15" s="239"/>
      <c r="NF15" s="239"/>
      <c r="NG15" s="239"/>
      <c r="NH15" s="266"/>
      <c r="NI15" s="266"/>
      <c r="NJ15" s="220"/>
      <c r="NK15" s="220"/>
      <c r="NL15" s="220"/>
      <c r="NM15" s="220"/>
      <c r="NN15" s="189"/>
      <c r="NO15" s="220"/>
      <c r="NP15" s="239"/>
      <c r="NQ15" s="220"/>
      <c r="NR15" s="239"/>
      <c r="NS15" s="242">
        <f t="shared" si="25"/>
        <v>36000</v>
      </c>
      <c r="NT15" s="220">
        <v>0</v>
      </c>
      <c r="NU15" s="220">
        <v>0</v>
      </c>
      <c r="NV15" s="220">
        <v>0</v>
      </c>
      <c r="NW15" s="220">
        <v>0</v>
      </c>
      <c r="NX15" s="220">
        <v>0</v>
      </c>
      <c r="NY15" s="220">
        <v>0</v>
      </c>
      <c r="NZ15" s="220">
        <v>0</v>
      </c>
      <c r="OA15" s="220">
        <v>0</v>
      </c>
      <c r="OB15" s="220">
        <v>0</v>
      </c>
      <c r="OC15" s="220">
        <v>0</v>
      </c>
      <c r="OD15" s="220">
        <v>0</v>
      </c>
      <c r="OE15" s="220">
        <v>0</v>
      </c>
      <c r="OF15" s="220">
        <v>0</v>
      </c>
      <c r="OG15" s="220">
        <v>0</v>
      </c>
      <c r="OH15" s="220">
        <v>0</v>
      </c>
      <c r="OI15" s="220">
        <v>0</v>
      </c>
      <c r="OJ15" s="220">
        <v>0</v>
      </c>
      <c r="OK15" s="220">
        <v>0</v>
      </c>
      <c r="OL15" s="220">
        <v>0</v>
      </c>
      <c r="OM15" s="220">
        <v>0</v>
      </c>
      <c r="ON15" s="220">
        <v>0</v>
      </c>
      <c r="OO15" s="220">
        <v>0</v>
      </c>
      <c r="OP15" s="220">
        <v>0</v>
      </c>
      <c r="OQ15" s="220">
        <v>0</v>
      </c>
      <c r="OR15" s="356">
        <v>4500</v>
      </c>
      <c r="OS15" s="356">
        <v>11000</v>
      </c>
      <c r="OT15" s="356">
        <v>6000</v>
      </c>
      <c r="OU15" s="356">
        <v>4500</v>
      </c>
      <c r="OV15" s="356">
        <v>4500</v>
      </c>
      <c r="OW15" s="356">
        <v>6500</v>
      </c>
      <c r="OX15" s="220">
        <v>0</v>
      </c>
      <c r="OY15" s="235">
        <f t="shared" si="9"/>
        <v>37000</v>
      </c>
      <c r="OZ15" s="220">
        <v>0</v>
      </c>
      <c r="PA15" s="220">
        <v>0</v>
      </c>
      <c r="PB15" s="220">
        <v>0</v>
      </c>
      <c r="PC15" s="220">
        <v>0</v>
      </c>
      <c r="PD15" s="220">
        <v>0</v>
      </c>
      <c r="PE15" s="220">
        <v>0</v>
      </c>
      <c r="PF15" s="220">
        <v>0</v>
      </c>
      <c r="PG15" s="220">
        <v>0</v>
      </c>
      <c r="PH15" s="220">
        <v>0</v>
      </c>
      <c r="PI15" s="220">
        <v>0</v>
      </c>
      <c r="PJ15" s="220">
        <v>0</v>
      </c>
      <c r="PK15" s="220">
        <v>0</v>
      </c>
      <c r="PL15" s="220">
        <v>0</v>
      </c>
      <c r="PM15" s="220">
        <v>0</v>
      </c>
      <c r="PN15" s="220">
        <v>0</v>
      </c>
      <c r="PO15" s="220">
        <v>0</v>
      </c>
      <c r="PP15" s="220">
        <v>0</v>
      </c>
      <c r="PQ15" s="220">
        <v>0</v>
      </c>
      <c r="PR15" s="220">
        <v>0</v>
      </c>
      <c r="PS15" s="220">
        <v>0</v>
      </c>
      <c r="PT15" s="220">
        <v>0</v>
      </c>
      <c r="PU15" s="220">
        <v>0</v>
      </c>
      <c r="PV15" s="220">
        <v>0</v>
      </c>
      <c r="PW15" s="356">
        <v>4500</v>
      </c>
      <c r="PX15" s="356">
        <v>11000</v>
      </c>
      <c r="PY15" s="356">
        <v>6000</v>
      </c>
      <c r="PZ15" s="356">
        <v>4500</v>
      </c>
      <c r="QA15" s="356">
        <v>4500</v>
      </c>
      <c r="QB15" s="356">
        <v>6500</v>
      </c>
      <c r="QC15" s="220">
        <v>0</v>
      </c>
      <c r="QD15" s="235">
        <f t="shared" si="10"/>
        <v>37000</v>
      </c>
      <c r="QE15" s="220">
        <v>0</v>
      </c>
      <c r="QF15" s="220">
        <v>0</v>
      </c>
      <c r="QG15" s="220">
        <v>0</v>
      </c>
      <c r="QH15" s="356">
        <v>5500</v>
      </c>
      <c r="QI15" s="356">
        <v>11000</v>
      </c>
      <c r="QJ15" s="356">
        <v>6000</v>
      </c>
      <c r="QK15" s="356">
        <v>5500</v>
      </c>
      <c r="QL15" s="356">
        <v>5500</v>
      </c>
      <c r="QM15" s="356">
        <v>6500</v>
      </c>
      <c r="QN15" s="266"/>
      <c r="QO15" s="220">
        <v>0</v>
      </c>
      <c r="QP15" s="220">
        <v>0</v>
      </c>
      <c r="QQ15" s="220">
        <v>0</v>
      </c>
      <c r="QR15" s="220">
        <v>0</v>
      </c>
      <c r="QS15" s="220">
        <v>0</v>
      </c>
      <c r="QT15" s="220">
        <v>0</v>
      </c>
      <c r="QU15" s="220">
        <v>0</v>
      </c>
      <c r="QV15" s="220">
        <v>0</v>
      </c>
      <c r="QW15" s="220">
        <v>0</v>
      </c>
      <c r="QX15" s="220">
        <v>0</v>
      </c>
      <c r="QY15" s="220">
        <v>0</v>
      </c>
      <c r="QZ15" s="220">
        <v>0</v>
      </c>
      <c r="RA15" s="220">
        <v>0</v>
      </c>
      <c r="RB15" s="220">
        <v>0</v>
      </c>
      <c r="RC15" s="220">
        <v>0</v>
      </c>
      <c r="RD15" s="356">
        <v>4500</v>
      </c>
      <c r="RE15" s="356">
        <v>6000</v>
      </c>
      <c r="RF15" s="356">
        <v>6000</v>
      </c>
      <c r="RG15" s="356">
        <v>4500</v>
      </c>
      <c r="RH15" s="356">
        <v>4500</v>
      </c>
      <c r="RI15" s="266">
        <v>0</v>
      </c>
      <c r="RJ15" s="235">
        <v>65500</v>
      </c>
      <c r="RK15" s="220">
        <v>0</v>
      </c>
      <c r="RL15" s="220">
        <v>0</v>
      </c>
      <c r="RM15" s="220">
        <v>0</v>
      </c>
      <c r="RN15" s="220">
        <v>0</v>
      </c>
      <c r="RO15" s="220">
        <v>0</v>
      </c>
      <c r="RP15" s="220">
        <v>0</v>
      </c>
      <c r="RQ15" s="220">
        <v>0</v>
      </c>
      <c r="RR15" s="220">
        <v>0</v>
      </c>
      <c r="RS15" s="220">
        <v>0</v>
      </c>
      <c r="RT15" s="220">
        <v>0</v>
      </c>
      <c r="RU15" s="220">
        <v>0</v>
      </c>
      <c r="RV15" s="220">
        <v>0</v>
      </c>
      <c r="RW15" s="220">
        <v>0</v>
      </c>
      <c r="RX15" s="220">
        <v>0</v>
      </c>
      <c r="RY15" s="220">
        <v>0</v>
      </c>
      <c r="RZ15" s="220">
        <v>0</v>
      </c>
      <c r="SA15" s="220">
        <v>0</v>
      </c>
      <c r="SB15" s="220">
        <v>0</v>
      </c>
      <c r="SC15" s="220">
        <v>0</v>
      </c>
      <c r="SD15" s="220">
        <v>0</v>
      </c>
      <c r="SE15" s="220">
        <v>0</v>
      </c>
      <c r="SF15" s="220">
        <v>0</v>
      </c>
      <c r="SG15" s="220">
        <v>0</v>
      </c>
      <c r="SH15" s="220">
        <v>0</v>
      </c>
      <c r="SI15" s="220">
        <v>0</v>
      </c>
      <c r="SJ15" s="220">
        <v>0</v>
      </c>
      <c r="SK15" s="220">
        <v>0</v>
      </c>
      <c r="SL15" s="220">
        <v>0</v>
      </c>
      <c r="SM15" s="220">
        <v>0</v>
      </c>
      <c r="SN15" s="220">
        <v>0</v>
      </c>
      <c r="SO15" s="235">
        <v>0</v>
      </c>
      <c r="SP15" s="220">
        <v>0</v>
      </c>
      <c r="SQ15" s="445">
        <v>7300</v>
      </c>
      <c r="SR15" s="445">
        <v>7300</v>
      </c>
      <c r="SS15" s="445">
        <v>12800</v>
      </c>
      <c r="ST15" s="445">
        <v>7300</v>
      </c>
      <c r="SU15" s="445">
        <v>4500</v>
      </c>
      <c r="SV15" s="220">
        <v>0</v>
      </c>
      <c r="SW15" s="220">
        <v>0</v>
      </c>
      <c r="SX15" s="220">
        <v>0</v>
      </c>
      <c r="SY15" s="220">
        <v>0</v>
      </c>
      <c r="SZ15" s="220">
        <v>0</v>
      </c>
      <c r="TA15" s="220">
        <v>0</v>
      </c>
      <c r="TB15" s="220">
        <v>0</v>
      </c>
      <c r="TC15" s="220">
        <v>0</v>
      </c>
      <c r="TD15" s="220">
        <v>0</v>
      </c>
      <c r="TE15" s="220">
        <v>0</v>
      </c>
      <c r="TF15" s="220">
        <v>0</v>
      </c>
      <c r="TG15" s="220">
        <v>0</v>
      </c>
      <c r="TH15" s="220">
        <v>0</v>
      </c>
      <c r="TI15" s="220">
        <v>0</v>
      </c>
      <c r="TJ15" s="220">
        <v>0</v>
      </c>
      <c r="TK15" s="220">
        <v>0</v>
      </c>
      <c r="TL15" s="220">
        <v>0</v>
      </c>
      <c r="TM15" s="220">
        <v>0</v>
      </c>
      <c r="TN15" s="220">
        <v>0</v>
      </c>
      <c r="TO15" s="220">
        <v>0</v>
      </c>
      <c r="TP15" s="220">
        <v>0</v>
      </c>
      <c r="TQ15" s="220">
        <v>0</v>
      </c>
      <c r="TR15" s="220">
        <v>0</v>
      </c>
      <c r="TS15" s="220">
        <v>0</v>
      </c>
      <c r="TT15" s="220">
        <v>0</v>
      </c>
      <c r="TU15" s="235">
        <v>39200</v>
      </c>
      <c r="TV15" s="220">
        <v>0</v>
      </c>
      <c r="TW15" s="220">
        <v>0</v>
      </c>
      <c r="TX15" s="220">
        <v>0</v>
      </c>
      <c r="TY15" s="220">
        <v>0</v>
      </c>
      <c r="TZ15" s="220">
        <v>0</v>
      </c>
      <c r="UA15" s="220">
        <v>0</v>
      </c>
      <c r="UB15" s="220">
        <v>0</v>
      </c>
      <c r="UC15" s="220">
        <v>0</v>
      </c>
      <c r="UD15" s="220">
        <v>0</v>
      </c>
      <c r="UE15" s="220">
        <v>0</v>
      </c>
      <c r="UF15" s="445">
        <v>7300</v>
      </c>
      <c r="UG15" s="445">
        <v>7300</v>
      </c>
      <c r="UH15" s="445">
        <v>7000</v>
      </c>
      <c r="UI15" s="445">
        <v>7000</v>
      </c>
      <c r="UJ15" s="445">
        <v>3900</v>
      </c>
      <c r="UK15" s="220">
        <v>0</v>
      </c>
      <c r="UL15" s="220">
        <v>0</v>
      </c>
      <c r="UM15" s="220">
        <v>0</v>
      </c>
      <c r="UN15" s="220">
        <v>0</v>
      </c>
      <c r="UO15" s="220">
        <v>0</v>
      </c>
      <c r="UP15" s="445">
        <v>7300</v>
      </c>
      <c r="UQ15" s="445">
        <v>7300</v>
      </c>
      <c r="UR15" s="445">
        <v>6700</v>
      </c>
      <c r="US15" s="445">
        <v>6700</v>
      </c>
      <c r="UT15" s="445">
        <v>3000</v>
      </c>
      <c r="UU15" s="220">
        <v>0</v>
      </c>
      <c r="UV15" s="220">
        <v>0</v>
      </c>
      <c r="UW15" s="220">
        <v>0</v>
      </c>
      <c r="UX15" s="220">
        <v>0</v>
      </c>
      <c r="UY15" s="220">
        <v>0</v>
      </c>
      <c r="UZ15" s="220">
        <v>0</v>
      </c>
      <c r="VA15" s="235">
        <v>32500</v>
      </c>
      <c r="VB15" s="220">
        <v>0</v>
      </c>
      <c r="VC15" s="220">
        <v>0</v>
      </c>
      <c r="VD15" s="220">
        <v>0</v>
      </c>
      <c r="VE15" s="220">
        <v>0</v>
      </c>
      <c r="VF15" s="220">
        <v>0</v>
      </c>
      <c r="VG15" s="220">
        <v>0</v>
      </c>
      <c r="VH15" s="220">
        <v>0</v>
      </c>
      <c r="VI15" s="220">
        <v>0</v>
      </c>
      <c r="VJ15" s="220">
        <v>0</v>
      </c>
      <c r="VK15" s="220">
        <v>0</v>
      </c>
      <c r="VL15" s="220">
        <v>0</v>
      </c>
      <c r="VM15" s="220">
        <v>0</v>
      </c>
      <c r="VN15" s="220">
        <v>0</v>
      </c>
      <c r="VO15" s="220">
        <v>0</v>
      </c>
      <c r="VP15" s="220">
        <v>0</v>
      </c>
      <c r="VQ15" s="220">
        <v>0</v>
      </c>
      <c r="VR15" s="220">
        <v>0</v>
      </c>
      <c r="VS15" s="220">
        <v>0</v>
      </c>
      <c r="VT15" s="220">
        <v>0</v>
      </c>
      <c r="VU15" s="220">
        <v>0</v>
      </c>
      <c r="VV15" s="220">
        <v>0</v>
      </c>
      <c r="VW15" s="220">
        <v>0</v>
      </c>
      <c r="VX15" s="220">
        <v>0</v>
      </c>
      <c r="VY15" s="220">
        <v>0</v>
      </c>
      <c r="VZ15" s="220">
        <v>0</v>
      </c>
      <c r="WA15" s="220">
        <v>0</v>
      </c>
      <c r="WB15" s="220">
        <v>0</v>
      </c>
      <c r="WC15" s="220">
        <v>0</v>
      </c>
      <c r="WD15" s="220">
        <v>0</v>
      </c>
      <c r="WE15" s="220">
        <v>0</v>
      </c>
      <c r="WF15" s="235">
        <v>32500</v>
      </c>
      <c r="WG15" s="220">
        <v>0</v>
      </c>
      <c r="WH15" s="220">
        <v>0</v>
      </c>
      <c r="WI15" s="220">
        <v>0</v>
      </c>
      <c r="WJ15" s="220">
        <v>0</v>
      </c>
      <c r="WK15" s="220">
        <v>0</v>
      </c>
      <c r="WL15" s="220">
        <v>0</v>
      </c>
      <c r="WM15" s="220">
        <v>0</v>
      </c>
      <c r="WN15" s="220">
        <v>0</v>
      </c>
      <c r="WO15" s="220">
        <v>0</v>
      </c>
      <c r="WP15" s="220">
        <v>0</v>
      </c>
      <c r="WQ15" s="220">
        <v>0</v>
      </c>
      <c r="WR15" s="220">
        <v>0</v>
      </c>
      <c r="WS15" s="220">
        <v>0</v>
      </c>
      <c r="WT15" s="220">
        <v>0</v>
      </c>
      <c r="WU15" s="220">
        <v>0</v>
      </c>
      <c r="WV15" s="220">
        <v>0</v>
      </c>
      <c r="WW15" s="220">
        <v>0</v>
      </c>
      <c r="WX15" s="220">
        <v>0</v>
      </c>
      <c r="WY15" s="220">
        <v>0</v>
      </c>
      <c r="WZ15" s="220">
        <v>0</v>
      </c>
      <c r="XA15" s="220">
        <v>0</v>
      </c>
      <c r="XB15" s="220">
        <v>0</v>
      </c>
      <c r="XC15" s="220">
        <v>0</v>
      </c>
      <c r="XD15" s="220">
        <v>0</v>
      </c>
      <c r="XE15" s="220">
        <v>0</v>
      </c>
      <c r="XF15" s="220">
        <v>0</v>
      </c>
      <c r="XG15" s="220">
        <v>0</v>
      </c>
      <c r="XH15" s="220">
        <v>0</v>
      </c>
      <c r="XI15" s="220">
        <v>0</v>
      </c>
      <c r="XJ15" s="220">
        <v>0</v>
      </c>
      <c r="XK15" s="220">
        <v>0</v>
      </c>
      <c r="XL15" s="235">
        <v>0</v>
      </c>
      <c r="XM15" s="220">
        <v>0</v>
      </c>
      <c r="XN15" s="220">
        <v>0</v>
      </c>
      <c r="XO15" s="220">
        <v>0</v>
      </c>
      <c r="XP15" s="220">
        <v>0</v>
      </c>
      <c r="XQ15" s="220">
        <v>0</v>
      </c>
      <c r="XR15" s="220">
        <v>0</v>
      </c>
      <c r="XS15" s="220">
        <v>0</v>
      </c>
      <c r="XT15" s="220">
        <v>0</v>
      </c>
      <c r="XU15" s="220">
        <v>0</v>
      </c>
      <c r="XV15" s="220">
        <v>0</v>
      </c>
      <c r="XW15" s="220">
        <v>0</v>
      </c>
      <c r="XX15" s="220">
        <v>0</v>
      </c>
      <c r="XY15" s="220">
        <v>0</v>
      </c>
      <c r="XZ15" s="220">
        <v>0</v>
      </c>
      <c r="YA15" s="220">
        <v>0</v>
      </c>
      <c r="YB15" s="220">
        <v>0</v>
      </c>
      <c r="YC15" s="220">
        <v>0</v>
      </c>
      <c r="YD15" s="220">
        <v>0</v>
      </c>
      <c r="YE15" s="220">
        <v>0</v>
      </c>
      <c r="YF15" s="220">
        <v>0</v>
      </c>
      <c r="YG15" s="220">
        <v>0</v>
      </c>
      <c r="YH15" s="220">
        <v>0</v>
      </c>
      <c r="YI15" s="220">
        <v>0</v>
      </c>
      <c r="YJ15" s="220">
        <v>0</v>
      </c>
      <c r="YK15" s="220">
        <v>0</v>
      </c>
      <c r="YL15" s="220">
        <v>0</v>
      </c>
      <c r="YM15" s="220">
        <v>0</v>
      </c>
      <c r="YN15" s="220">
        <v>0</v>
      </c>
      <c r="YO15" s="220">
        <v>0</v>
      </c>
      <c r="YP15" s="220">
        <v>0</v>
      </c>
      <c r="YQ15" s="220">
        <v>0</v>
      </c>
      <c r="YR15" s="235">
        <v>0</v>
      </c>
      <c r="YS15" s="220">
        <v>0</v>
      </c>
      <c r="YT15" s="220">
        <v>0</v>
      </c>
      <c r="YU15" s="220">
        <v>0</v>
      </c>
      <c r="YV15" s="220">
        <v>0</v>
      </c>
      <c r="YW15" s="220">
        <v>0</v>
      </c>
      <c r="YX15" s="220">
        <v>0</v>
      </c>
      <c r="YY15" s="220">
        <v>0</v>
      </c>
      <c r="YZ15" s="220">
        <v>0</v>
      </c>
      <c r="ZA15" s="220">
        <v>0</v>
      </c>
      <c r="ZB15" s="220">
        <v>0</v>
      </c>
      <c r="ZC15" s="220">
        <v>0</v>
      </c>
      <c r="ZD15" s="220">
        <v>0</v>
      </c>
      <c r="ZE15" s="220">
        <v>0</v>
      </c>
      <c r="ZF15" s="220">
        <v>0</v>
      </c>
      <c r="ZG15" s="220">
        <v>0</v>
      </c>
      <c r="ZH15" s="220">
        <v>0</v>
      </c>
      <c r="ZI15" s="220">
        <v>0</v>
      </c>
      <c r="ZJ15" s="220">
        <v>0</v>
      </c>
      <c r="ZK15" s="220">
        <v>0</v>
      </c>
      <c r="ZL15" s="220">
        <v>0</v>
      </c>
      <c r="ZM15" s="220">
        <v>0</v>
      </c>
      <c r="ZN15" s="220">
        <v>0</v>
      </c>
      <c r="ZO15" s="220">
        <v>0</v>
      </c>
      <c r="ZP15" s="220">
        <v>0</v>
      </c>
      <c r="ZQ15" s="220">
        <v>0</v>
      </c>
      <c r="ZR15" s="220">
        <v>0</v>
      </c>
      <c r="ZS15" s="220">
        <v>0</v>
      </c>
      <c r="ZT15" s="220">
        <v>0</v>
      </c>
      <c r="ZU15" s="220">
        <v>0</v>
      </c>
      <c r="ZV15" s="220">
        <v>0</v>
      </c>
      <c r="ZW15" s="220">
        <v>0</v>
      </c>
      <c r="ZX15" s="235">
        <v>0</v>
      </c>
      <c r="ZY15" s="220">
        <v>0</v>
      </c>
      <c r="ZZ15" s="277">
        <v>0</v>
      </c>
      <c r="AAA15" s="277">
        <v>0</v>
      </c>
      <c r="AAB15" s="277">
        <v>0</v>
      </c>
      <c r="AAC15" s="277">
        <v>0</v>
      </c>
      <c r="AAD15" s="277">
        <v>0</v>
      </c>
      <c r="AAE15" s="277">
        <v>0</v>
      </c>
      <c r="AAF15" s="483">
        <v>7000</v>
      </c>
      <c r="AAG15" s="483">
        <v>7000</v>
      </c>
      <c r="AAH15" s="483">
        <v>7000</v>
      </c>
      <c r="AAI15" s="483">
        <v>7000</v>
      </c>
      <c r="AAJ15" s="483">
        <v>4000</v>
      </c>
      <c r="AAK15" s="220">
        <v>0</v>
      </c>
      <c r="AAL15" s="220">
        <v>0</v>
      </c>
      <c r="AAM15" s="220">
        <v>0</v>
      </c>
      <c r="AAN15" s="220">
        <v>0</v>
      </c>
      <c r="AAO15" s="220">
        <v>0</v>
      </c>
      <c r="AAP15" s="220">
        <v>0</v>
      </c>
      <c r="AAQ15" s="220">
        <v>0</v>
      </c>
      <c r="AAR15" s="220">
        <v>0</v>
      </c>
      <c r="AAS15" s="220">
        <v>0</v>
      </c>
      <c r="AAT15" s="220">
        <v>0</v>
      </c>
      <c r="AAU15" s="220">
        <v>0</v>
      </c>
      <c r="AAV15" s="220">
        <v>0</v>
      </c>
      <c r="AAW15" s="220">
        <v>0</v>
      </c>
      <c r="AAX15" s="220">
        <v>0</v>
      </c>
      <c r="AAY15" s="220">
        <v>0</v>
      </c>
      <c r="AAZ15" s="220">
        <v>0</v>
      </c>
      <c r="ABA15" s="235">
        <f t="shared" si="11"/>
        <v>32000</v>
      </c>
      <c r="ABB15" s="220">
        <v>0</v>
      </c>
      <c r="ABC15" s="220">
        <v>0</v>
      </c>
      <c r="ABD15" s="220">
        <v>0</v>
      </c>
      <c r="ABE15" s="220">
        <v>0</v>
      </c>
      <c r="ABF15" s="220">
        <v>0</v>
      </c>
      <c r="ABG15" s="220">
        <v>0</v>
      </c>
      <c r="ABH15" s="220">
        <v>0</v>
      </c>
      <c r="ABI15" s="220">
        <v>0</v>
      </c>
      <c r="ABJ15" s="220">
        <v>0</v>
      </c>
      <c r="ABK15" s="220">
        <v>0</v>
      </c>
      <c r="ABL15" s="220">
        <v>0</v>
      </c>
      <c r="ABM15" s="220">
        <v>0</v>
      </c>
      <c r="ABN15" s="220">
        <v>0</v>
      </c>
      <c r="ABO15" s="220">
        <v>0</v>
      </c>
      <c r="ABP15" s="220">
        <v>0</v>
      </c>
      <c r="ABQ15" s="483">
        <v>7000</v>
      </c>
      <c r="ABR15" s="483">
        <v>7000</v>
      </c>
      <c r="ABS15" s="483">
        <v>7000</v>
      </c>
      <c r="ABT15" s="483">
        <v>7000</v>
      </c>
      <c r="ABU15" s="483">
        <v>4500</v>
      </c>
      <c r="ABV15" s="483">
        <v>7000</v>
      </c>
      <c r="ABW15" s="483">
        <v>7000</v>
      </c>
      <c r="ABX15" s="483">
        <v>6000</v>
      </c>
      <c r="ABY15" s="484">
        <v>6000</v>
      </c>
      <c r="ABZ15" s="484">
        <v>3850</v>
      </c>
      <c r="ACA15" s="479">
        <v>0</v>
      </c>
      <c r="ACB15" s="479">
        <v>0</v>
      </c>
      <c r="ACC15" s="479">
        <v>0</v>
      </c>
      <c r="ACD15" s="479">
        <v>0</v>
      </c>
      <c r="ACE15" s="479">
        <v>0</v>
      </c>
      <c r="ACF15" s="479">
        <v>0</v>
      </c>
      <c r="ACG15" s="235">
        <v>62350</v>
      </c>
      <c r="ACH15" s="220">
        <v>0</v>
      </c>
      <c r="ACI15" s="220">
        <v>0</v>
      </c>
      <c r="ACJ15" s="220">
        <v>0</v>
      </c>
      <c r="ACK15" s="220">
        <v>0</v>
      </c>
      <c r="ACL15" s="483">
        <v>7000</v>
      </c>
      <c r="ACM15" s="483">
        <v>7000</v>
      </c>
      <c r="ACN15" s="483">
        <v>7000</v>
      </c>
      <c r="ACO15" s="483">
        <v>7000</v>
      </c>
      <c r="ACP15" s="483">
        <v>5000</v>
      </c>
      <c r="ACQ15" s="220">
        <v>0</v>
      </c>
      <c r="ACR15" s="220">
        <v>0</v>
      </c>
      <c r="ACS15" s="220">
        <v>0</v>
      </c>
      <c r="ACT15" s="220">
        <v>0</v>
      </c>
      <c r="ACU15" s="220">
        <v>0</v>
      </c>
      <c r="ACV15" s="220">
        <v>0</v>
      </c>
      <c r="ACW15" s="384">
        <v>0</v>
      </c>
      <c r="ACX15" s="384">
        <v>0</v>
      </c>
      <c r="ACY15" s="384">
        <v>0</v>
      </c>
      <c r="ACZ15" s="384">
        <v>0</v>
      </c>
      <c r="ADA15" s="384">
        <v>0</v>
      </c>
      <c r="ADB15" s="384">
        <v>0</v>
      </c>
      <c r="ADC15" s="384">
        <v>0</v>
      </c>
      <c r="ADD15" s="384">
        <v>0</v>
      </c>
      <c r="ADE15" s="384">
        <v>0</v>
      </c>
      <c r="ADF15" s="384">
        <v>0</v>
      </c>
      <c r="ADG15" s="220">
        <v>0</v>
      </c>
      <c r="ADH15" s="220">
        <v>0</v>
      </c>
      <c r="ADI15" s="220">
        <v>0</v>
      </c>
      <c r="ADJ15" s="220">
        <v>0</v>
      </c>
      <c r="ADK15" s="220">
        <v>0</v>
      </c>
      <c r="ADL15" s="220">
        <v>0</v>
      </c>
      <c r="ADM15" s="235">
        <v>33000</v>
      </c>
      <c r="ADN15" s="220">
        <v>0</v>
      </c>
      <c r="ADO15" s="220">
        <v>0</v>
      </c>
      <c r="ADP15" s="220">
        <v>0</v>
      </c>
      <c r="ADQ15" s="220">
        <v>0</v>
      </c>
      <c r="ADR15" s="220">
        <v>0</v>
      </c>
      <c r="ADS15" s="220">
        <v>0</v>
      </c>
      <c r="ADT15" s="220">
        <v>0</v>
      </c>
      <c r="ADU15" s="220">
        <v>0</v>
      </c>
      <c r="ADV15" s="220">
        <v>0</v>
      </c>
      <c r="ADW15" s="220">
        <v>0</v>
      </c>
      <c r="ADX15" s="220">
        <v>0</v>
      </c>
      <c r="ADY15" s="220">
        <v>0</v>
      </c>
      <c r="ADZ15" s="220">
        <v>0</v>
      </c>
      <c r="AEA15" s="220">
        <v>0</v>
      </c>
      <c r="AEB15" s="220">
        <v>0</v>
      </c>
      <c r="AEC15" s="220">
        <v>0</v>
      </c>
      <c r="AED15" s="220">
        <v>0</v>
      </c>
      <c r="AEE15" s="220">
        <v>0</v>
      </c>
      <c r="AEF15" s="220">
        <v>0</v>
      </c>
      <c r="AEG15" s="220">
        <v>0</v>
      </c>
      <c r="AEH15" s="220">
        <v>0</v>
      </c>
      <c r="AEI15" s="220">
        <v>0</v>
      </c>
      <c r="AEJ15" s="220">
        <v>0</v>
      </c>
      <c r="AEK15" s="220">
        <v>0</v>
      </c>
      <c r="AEL15" s="220">
        <v>0</v>
      </c>
      <c r="AEM15" s="220">
        <v>0</v>
      </c>
      <c r="AEN15" s="220">
        <v>0</v>
      </c>
      <c r="AEO15" s="220">
        <v>0</v>
      </c>
      <c r="AEP15" s="220">
        <v>0</v>
      </c>
      <c r="AEQ15" s="220">
        <v>0</v>
      </c>
      <c r="AER15" s="220">
        <v>0</v>
      </c>
      <c r="AES15" s="235">
        <v>33000</v>
      </c>
      <c r="AET15" s="220">
        <v>0</v>
      </c>
      <c r="AEU15" s="220">
        <v>0</v>
      </c>
      <c r="AEV15" s="220">
        <v>0</v>
      </c>
      <c r="AEW15" s="220">
        <v>0</v>
      </c>
      <c r="AEX15" s="220">
        <v>0</v>
      </c>
      <c r="AEY15" s="220">
        <v>0</v>
      </c>
      <c r="AEZ15" s="220">
        <v>0</v>
      </c>
      <c r="AFA15" s="220">
        <v>0</v>
      </c>
      <c r="AFB15" s="220">
        <v>0</v>
      </c>
      <c r="AFC15" s="220">
        <v>0</v>
      </c>
      <c r="AFD15" s="220">
        <v>0</v>
      </c>
      <c r="AFE15" s="220">
        <v>0</v>
      </c>
      <c r="AFF15" s="220">
        <v>0</v>
      </c>
      <c r="AFG15" s="220">
        <v>0</v>
      </c>
      <c r="AFH15" s="220">
        <v>0</v>
      </c>
      <c r="AFI15" s="220">
        <v>0</v>
      </c>
      <c r="AFJ15" s="220">
        <v>0</v>
      </c>
      <c r="AFK15" s="220">
        <v>0</v>
      </c>
      <c r="AFL15" s="220">
        <v>0</v>
      </c>
      <c r="AFM15" s="220">
        <v>0</v>
      </c>
      <c r="AFN15" s="220">
        <v>0</v>
      </c>
      <c r="AFO15" s="220">
        <v>0</v>
      </c>
      <c r="AFP15" s="220">
        <v>0</v>
      </c>
      <c r="AFQ15" s="220">
        <v>0</v>
      </c>
      <c r="AFR15" s="220">
        <v>0</v>
      </c>
      <c r="AFS15" s="220">
        <v>0</v>
      </c>
      <c r="AFT15" s="220">
        <v>0</v>
      </c>
      <c r="AFU15" s="220">
        <v>0</v>
      </c>
      <c r="AFV15" s="220">
        <v>0</v>
      </c>
      <c r="AFW15" s="220">
        <v>0</v>
      </c>
      <c r="AFX15" s="235">
        <v>0</v>
      </c>
      <c r="AFY15" s="220">
        <v>0</v>
      </c>
      <c r="AFZ15" s="220">
        <v>0</v>
      </c>
      <c r="AGA15" s="220">
        <v>0</v>
      </c>
      <c r="AGB15" s="220">
        <v>0</v>
      </c>
      <c r="AGC15" s="220">
        <v>0</v>
      </c>
      <c r="AGD15" s="220">
        <v>0</v>
      </c>
      <c r="AGE15" s="220">
        <v>0</v>
      </c>
      <c r="AGF15" s="220">
        <v>0</v>
      </c>
      <c r="AGG15" s="220">
        <v>0</v>
      </c>
      <c r="AGH15" s="220">
        <v>0</v>
      </c>
      <c r="AGI15" s="220">
        <v>0</v>
      </c>
      <c r="AGJ15" s="220">
        <v>0</v>
      </c>
      <c r="AGK15" s="220">
        <v>0</v>
      </c>
      <c r="AGL15" s="220">
        <v>0</v>
      </c>
      <c r="AGM15" s="220">
        <v>0</v>
      </c>
      <c r="AGN15" s="220">
        <v>0</v>
      </c>
      <c r="AGO15" s="220">
        <v>0</v>
      </c>
      <c r="AGP15" s="220">
        <v>0</v>
      </c>
      <c r="AGQ15" s="220">
        <v>0</v>
      </c>
      <c r="AGR15" s="220">
        <v>0</v>
      </c>
      <c r="AGS15" s="220">
        <v>0</v>
      </c>
      <c r="AGT15" s="220">
        <v>0</v>
      </c>
      <c r="AGU15" s="220">
        <v>0</v>
      </c>
      <c r="AGV15" s="220">
        <v>0</v>
      </c>
      <c r="AGW15" s="220">
        <v>0</v>
      </c>
      <c r="AGX15" s="220">
        <v>0</v>
      </c>
      <c r="AGY15" s="220">
        <v>0</v>
      </c>
      <c r="AGZ15" s="220">
        <v>0</v>
      </c>
      <c r="AHA15" s="220">
        <v>0</v>
      </c>
      <c r="AHB15" s="220">
        <v>0</v>
      </c>
      <c r="AHC15" s="220">
        <v>0</v>
      </c>
      <c r="AHD15" s="235">
        <v>0</v>
      </c>
      <c r="AHE15" s="220">
        <v>0</v>
      </c>
      <c r="AHF15" s="220">
        <v>0</v>
      </c>
      <c r="AHG15" s="220">
        <v>0</v>
      </c>
      <c r="AHH15" s="220">
        <v>0</v>
      </c>
      <c r="AHI15" s="220">
        <v>0</v>
      </c>
      <c r="AHJ15" s="220">
        <v>0</v>
      </c>
      <c r="AHK15" s="220">
        <v>0</v>
      </c>
      <c r="AHL15" s="220">
        <v>0</v>
      </c>
      <c r="AHM15" s="220">
        <v>0</v>
      </c>
      <c r="AHN15" s="220">
        <v>0</v>
      </c>
      <c r="AHO15" s="220">
        <v>0</v>
      </c>
      <c r="AHP15" s="220">
        <v>0</v>
      </c>
      <c r="AHQ15" s="220">
        <v>0</v>
      </c>
      <c r="AHR15" s="220">
        <v>0</v>
      </c>
      <c r="AHS15" s="220">
        <v>0</v>
      </c>
      <c r="AHT15" s="220">
        <v>0</v>
      </c>
      <c r="AHU15" s="220">
        <v>0</v>
      </c>
      <c r="AHV15" s="220">
        <v>0</v>
      </c>
      <c r="AHW15" s="220">
        <v>0</v>
      </c>
      <c r="AHX15" s="220">
        <v>0</v>
      </c>
      <c r="AHY15" s="220">
        <v>0</v>
      </c>
      <c r="AHZ15" s="220">
        <v>0</v>
      </c>
      <c r="AIA15" s="220">
        <v>0</v>
      </c>
      <c r="AIB15" s="220">
        <v>0</v>
      </c>
      <c r="AIC15" s="220">
        <v>0</v>
      </c>
      <c r="AID15" s="220">
        <v>0</v>
      </c>
      <c r="AIE15" s="220">
        <v>0</v>
      </c>
      <c r="AIF15" s="220">
        <v>0</v>
      </c>
      <c r="AIG15" s="220">
        <v>0</v>
      </c>
      <c r="AIH15" s="220">
        <v>0</v>
      </c>
      <c r="AII15" s="220">
        <v>0</v>
      </c>
      <c r="AIJ15" s="235">
        <v>0</v>
      </c>
      <c r="AIK15" s="479">
        <v>0</v>
      </c>
      <c r="AIL15" s="479">
        <v>0</v>
      </c>
      <c r="AIM15" s="479">
        <v>0</v>
      </c>
      <c r="AIN15" s="479">
        <v>0</v>
      </c>
      <c r="AIO15" s="479">
        <v>0</v>
      </c>
      <c r="AIP15" s="479">
        <v>0</v>
      </c>
      <c r="AIQ15" s="479">
        <v>0</v>
      </c>
      <c r="AIR15" s="479">
        <v>0</v>
      </c>
      <c r="AIS15" s="479">
        <v>0</v>
      </c>
      <c r="AIT15" s="479">
        <v>0</v>
      </c>
      <c r="AIU15" s="479">
        <v>0</v>
      </c>
      <c r="AIV15" s="479">
        <v>0</v>
      </c>
      <c r="AIW15" s="479">
        <v>0</v>
      </c>
      <c r="AIX15" s="479">
        <v>0</v>
      </c>
      <c r="AIY15" s="479">
        <v>0</v>
      </c>
      <c r="AIZ15" s="479">
        <v>0</v>
      </c>
      <c r="AJA15" s="479">
        <v>0</v>
      </c>
      <c r="AJB15" s="479">
        <v>0</v>
      </c>
      <c r="AJC15" s="479">
        <v>0</v>
      </c>
      <c r="AJD15" s="479">
        <v>0</v>
      </c>
      <c r="AJE15" s="479">
        <v>0</v>
      </c>
      <c r="AJF15" s="479">
        <v>0</v>
      </c>
      <c r="AJG15" s="479">
        <v>0</v>
      </c>
      <c r="AJH15" s="479">
        <v>0</v>
      </c>
      <c r="AJI15" s="479">
        <v>0</v>
      </c>
      <c r="AJJ15" s="479">
        <v>0</v>
      </c>
      <c r="AJK15" s="479">
        <v>0</v>
      </c>
      <c r="AJL15" s="479">
        <v>0</v>
      </c>
      <c r="AJM15" s="479">
        <v>0</v>
      </c>
      <c r="AJN15" s="479">
        <v>0</v>
      </c>
      <c r="AJO15" s="235">
        <v>0</v>
      </c>
      <c r="AJP15" s="479">
        <v>0</v>
      </c>
      <c r="AJQ15" s="484">
        <v>4500</v>
      </c>
      <c r="AJR15" s="484">
        <v>11000</v>
      </c>
      <c r="AJS15" s="484">
        <v>6000</v>
      </c>
      <c r="AJT15" s="484">
        <v>4500</v>
      </c>
      <c r="AJU15" s="484">
        <v>4999</v>
      </c>
      <c r="AJV15" s="479"/>
      <c r="AJW15" s="479">
        <v>0</v>
      </c>
      <c r="AJX15" s="479">
        <v>0</v>
      </c>
      <c r="AJY15" s="479">
        <v>0</v>
      </c>
      <c r="AJZ15" s="479">
        <v>0</v>
      </c>
      <c r="AKA15" s="479">
        <v>0</v>
      </c>
      <c r="AKB15" s="479">
        <v>0</v>
      </c>
      <c r="AKC15" s="479">
        <v>0</v>
      </c>
      <c r="AKD15" s="479">
        <v>0</v>
      </c>
      <c r="AKE15" s="479">
        <v>0</v>
      </c>
      <c r="AKF15" s="479">
        <v>0</v>
      </c>
      <c r="AKG15" s="479">
        <v>0</v>
      </c>
      <c r="AKH15" s="479">
        <v>0</v>
      </c>
      <c r="AKI15" s="479">
        <v>0</v>
      </c>
      <c r="AKJ15" s="479">
        <v>0</v>
      </c>
      <c r="AKK15" s="479">
        <v>0</v>
      </c>
      <c r="AKL15" s="479">
        <v>0</v>
      </c>
      <c r="AKM15" s="479">
        <v>0</v>
      </c>
      <c r="AKN15" s="479">
        <v>0</v>
      </c>
      <c r="AKO15" s="479">
        <v>0</v>
      </c>
      <c r="AKP15" s="479">
        <v>0</v>
      </c>
      <c r="AKQ15" s="479">
        <v>0</v>
      </c>
      <c r="AKR15" s="479">
        <v>0</v>
      </c>
      <c r="AKS15" s="479"/>
      <c r="AKT15" s="479">
        <v>0</v>
      </c>
      <c r="AKU15" s="235">
        <v>30999</v>
      </c>
      <c r="AKV15" s="479">
        <v>0</v>
      </c>
      <c r="AKW15" s="484">
        <v>4500</v>
      </c>
      <c r="AKX15" s="484">
        <v>11000</v>
      </c>
      <c r="AKY15" s="484">
        <v>6000</v>
      </c>
      <c r="AKZ15" s="484">
        <v>4500</v>
      </c>
      <c r="ALA15" s="484">
        <v>5300</v>
      </c>
      <c r="ALB15" s="479"/>
      <c r="ALC15" s="479">
        <v>0</v>
      </c>
      <c r="ALD15" s="479">
        <v>0</v>
      </c>
      <c r="ALE15" s="479">
        <v>0</v>
      </c>
      <c r="ALF15" s="479">
        <v>0</v>
      </c>
      <c r="ALG15" s="479">
        <v>0</v>
      </c>
      <c r="ALH15" s="479">
        <v>0</v>
      </c>
      <c r="ALI15" s="479">
        <v>0</v>
      </c>
      <c r="ALJ15" s="479">
        <v>0</v>
      </c>
      <c r="ALK15" s="479">
        <v>0</v>
      </c>
      <c r="ALL15" s="479">
        <v>0</v>
      </c>
      <c r="ALM15" s="479">
        <v>0</v>
      </c>
      <c r="ALN15" s="479">
        <v>0</v>
      </c>
      <c r="ALO15" s="479">
        <v>0</v>
      </c>
      <c r="ALP15" s="479">
        <v>0</v>
      </c>
      <c r="ALQ15" s="479">
        <v>0</v>
      </c>
      <c r="ALR15" s="479">
        <v>0</v>
      </c>
      <c r="ALS15" s="479">
        <v>0</v>
      </c>
      <c r="ALT15" s="479">
        <v>0</v>
      </c>
      <c r="ALU15" s="479">
        <v>0</v>
      </c>
      <c r="ALV15" s="479">
        <v>0</v>
      </c>
      <c r="ALW15" s="479">
        <v>0</v>
      </c>
      <c r="ALX15" s="479">
        <v>0</v>
      </c>
      <c r="ALY15" s="479"/>
      <c r="ALZ15" s="235">
        <v>31300</v>
      </c>
      <c r="AMA15" s="479">
        <v>0</v>
      </c>
      <c r="AMB15" s="479">
        <v>0</v>
      </c>
      <c r="AMC15" s="479">
        <v>0</v>
      </c>
      <c r="AMD15" s="479">
        <v>0</v>
      </c>
      <c r="AME15" s="479">
        <v>0</v>
      </c>
      <c r="AMF15" s="479">
        <v>0</v>
      </c>
      <c r="AMG15" s="479">
        <v>0</v>
      </c>
      <c r="AMH15" s="479">
        <v>0</v>
      </c>
      <c r="AMI15" s="479">
        <v>0</v>
      </c>
      <c r="AMJ15" s="479">
        <v>0</v>
      </c>
      <c r="AMK15" s="479">
        <v>0</v>
      </c>
      <c r="AML15" s="479">
        <v>0</v>
      </c>
      <c r="AMM15" s="479">
        <v>0</v>
      </c>
      <c r="AMN15" s="479">
        <v>0</v>
      </c>
      <c r="AMO15" s="479">
        <v>0</v>
      </c>
      <c r="AMP15" s="479">
        <v>0</v>
      </c>
      <c r="AMQ15" s="479">
        <v>0</v>
      </c>
      <c r="AMR15" s="479">
        <v>0</v>
      </c>
      <c r="AMS15" s="479">
        <v>0</v>
      </c>
      <c r="AMT15" s="479">
        <v>0</v>
      </c>
      <c r="AMU15" s="479">
        <v>0</v>
      </c>
      <c r="AMV15" s="479">
        <v>0</v>
      </c>
      <c r="AMW15" s="479">
        <v>0</v>
      </c>
      <c r="AMX15" s="479">
        <v>0</v>
      </c>
      <c r="AMY15" s="479">
        <v>0</v>
      </c>
      <c r="AMZ15" s="479">
        <v>0</v>
      </c>
      <c r="ANA15" s="479">
        <v>0</v>
      </c>
      <c r="ANB15" s="479">
        <v>0</v>
      </c>
      <c r="ANC15" s="479">
        <v>0</v>
      </c>
      <c r="AND15" s="479"/>
      <c r="ANE15" s="479"/>
      <c r="ANF15" s="235">
        <f t="shared" si="2"/>
        <v>0</v>
      </c>
      <c r="ANG15" s="479">
        <v>0</v>
      </c>
      <c r="ANH15" s="477">
        <v>0</v>
      </c>
      <c r="ANI15" s="477">
        <v>0</v>
      </c>
      <c r="ANJ15" s="477">
        <v>0</v>
      </c>
      <c r="ANK15" s="477">
        <v>0</v>
      </c>
      <c r="ANL15" s="514">
        <v>7000</v>
      </c>
      <c r="ANM15" s="514">
        <v>7000</v>
      </c>
      <c r="ANN15" s="479">
        <v>0</v>
      </c>
      <c r="ANO15" s="514">
        <v>7000</v>
      </c>
      <c r="ANP15" s="514">
        <v>7000</v>
      </c>
      <c r="ANQ15" s="515">
        <v>4500</v>
      </c>
      <c r="ANR15" s="479">
        <v>0</v>
      </c>
      <c r="ANS15" s="479">
        <v>0</v>
      </c>
      <c r="ANT15" s="479">
        <v>0</v>
      </c>
      <c r="ANU15" s="479">
        <v>0</v>
      </c>
      <c r="ANV15" s="479">
        <v>0</v>
      </c>
      <c r="ANW15" s="479">
        <v>0</v>
      </c>
      <c r="ANX15" s="479">
        <v>0</v>
      </c>
      <c r="ANY15" s="479">
        <v>0</v>
      </c>
      <c r="ANZ15" s="479">
        <v>0</v>
      </c>
      <c r="AOA15" s="479">
        <v>0</v>
      </c>
      <c r="AOB15" s="479">
        <v>0</v>
      </c>
      <c r="AOC15" s="479">
        <v>0</v>
      </c>
      <c r="AOD15" s="479">
        <v>0</v>
      </c>
      <c r="AOE15" s="479">
        <v>0</v>
      </c>
      <c r="AOF15" s="479">
        <v>0</v>
      </c>
      <c r="AOG15" s="479">
        <v>0</v>
      </c>
      <c r="AOH15" s="479">
        <v>0</v>
      </c>
      <c r="AOI15" s="235">
        <v>32500</v>
      </c>
      <c r="AOJ15" s="479">
        <v>0</v>
      </c>
      <c r="AOK15" s="477">
        <v>0</v>
      </c>
      <c r="AOL15" s="477">
        <v>0</v>
      </c>
      <c r="AOM15" s="477">
        <v>0</v>
      </c>
      <c r="AON15" s="477">
        <v>0</v>
      </c>
      <c r="AOO15" s="477">
        <v>0</v>
      </c>
      <c r="AOP15" s="477">
        <v>0</v>
      </c>
      <c r="AOQ15" s="479">
        <v>0</v>
      </c>
      <c r="AOR15" s="479">
        <v>0</v>
      </c>
      <c r="AOS15" s="514">
        <v>7000</v>
      </c>
      <c r="AOT15" s="514">
        <v>7000</v>
      </c>
      <c r="AOU15" s="479">
        <v>0</v>
      </c>
      <c r="AOV15" s="514">
        <v>7000</v>
      </c>
      <c r="AOW15" s="514">
        <v>7000</v>
      </c>
      <c r="AOX15" s="515">
        <v>4500</v>
      </c>
      <c r="AOY15" s="479">
        <v>0</v>
      </c>
      <c r="AOZ15" s="479">
        <v>0</v>
      </c>
      <c r="APA15" s="479">
        <v>0</v>
      </c>
      <c r="APB15" s="479">
        <v>0</v>
      </c>
      <c r="APC15" s="479">
        <v>0</v>
      </c>
      <c r="APD15" s="479">
        <v>0</v>
      </c>
      <c r="APE15" s="479">
        <v>0</v>
      </c>
      <c r="APF15" s="479">
        <v>0</v>
      </c>
      <c r="APG15" s="479">
        <v>0</v>
      </c>
      <c r="APH15" s="479">
        <v>0</v>
      </c>
      <c r="API15" s="479">
        <v>0</v>
      </c>
      <c r="APJ15" s="479">
        <v>0</v>
      </c>
      <c r="APK15" s="479">
        <v>0</v>
      </c>
      <c r="APL15" s="479">
        <v>0</v>
      </c>
      <c r="APM15" s="479">
        <v>0</v>
      </c>
      <c r="APN15" s="479">
        <v>0</v>
      </c>
      <c r="APO15" s="235">
        <v>32500</v>
      </c>
      <c r="APP15" s="479">
        <v>0</v>
      </c>
      <c r="APQ15" s="477">
        <v>0</v>
      </c>
      <c r="APR15" s="477">
        <v>0</v>
      </c>
      <c r="APS15" s="477">
        <v>0</v>
      </c>
      <c r="APT15" s="477">
        <v>0</v>
      </c>
      <c r="APU15" s="477">
        <v>0</v>
      </c>
      <c r="APV15" s="477">
        <v>0</v>
      </c>
      <c r="APW15" s="479">
        <v>0</v>
      </c>
      <c r="APX15" s="479">
        <v>0</v>
      </c>
      <c r="APY15" s="477">
        <v>0</v>
      </c>
      <c r="APZ15" s="477">
        <v>0</v>
      </c>
      <c r="AQA15" s="479">
        <v>0</v>
      </c>
      <c r="AQB15" s="477">
        <v>0</v>
      </c>
      <c r="AQC15" s="477">
        <v>0</v>
      </c>
      <c r="AQD15" s="479">
        <v>0</v>
      </c>
      <c r="AQE15" s="515">
        <v>7000</v>
      </c>
      <c r="AQF15" s="515">
        <v>7000</v>
      </c>
      <c r="AQG15" s="515">
        <v>7000</v>
      </c>
      <c r="AQH15" s="515">
        <v>7000</v>
      </c>
      <c r="AQI15" s="515">
        <v>7000</v>
      </c>
      <c r="AQJ15" s="479">
        <v>0</v>
      </c>
      <c r="AQK15" s="479">
        <v>0</v>
      </c>
      <c r="AQL15" s="479">
        <v>0</v>
      </c>
      <c r="AQM15" s="479">
        <v>0</v>
      </c>
      <c r="AQN15" s="479">
        <v>0</v>
      </c>
      <c r="AQO15" s="479">
        <v>0</v>
      </c>
      <c r="AQP15" s="479">
        <v>0</v>
      </c>
      <c r="AQQ15" s="479">
        <v>0</v>
      </c>
      <c r="AQR15" s="479">
        <v>0</v>
      </c>
      <c r="AQS15" s="479">
        <v>0</v>
      </c>
      <c r="AQT15" s="235">
        <f t="shared" si="12"/>
        <v>35000</v>
      </c>
      <c r="AQU15" s="479"/>
      <c r="AQV15" s="477">
        <v>0</v>
      </c>
      <c r="AQW15" s="477">
        <v>0</v>
      </c>
      <c r="AQX15" s="477">
        <v>0</v>
      </c>
      <c r="AQY15" s="477">
        <v>0</v>
      </c>
      <c r="AQZ15" s="477">
        <v>0</v>
      </c>
      <c r="ARA15" s="477">
        <v>0</v>
      </c>
      <c r="ARB15" s="479">
        <v>0</v>
      </c>
      <c r="ARC15" s="479">
        <v>0</v>
      </c>
      <c r="ARD15" s="477">
        <v>0</v>
      </c>
      <c r="ARE15" s="477">
        <v>0</v>
      </c>
      <c r="ARF15" s="479">
        <v>0</v>
      </c>
      <c r="ARG15" s="477">
        <v>0</v>
      </c>
      <c r="ARH15" s="477">
        <v>0</v>
      </c>
      <c r="ARI15" s="479">
        <v>0</v>
      </c>
      <c r="ARJ15" s="477">
        <v>0</v>
      </c>
      <c r="ARK15" s="479">
        <v>0</v>
      </c>
      <c r="ARL15" s="477">
        <v>0</v>
      </c>
      <c r="ARM15" s="479">
        <v>0</v>
      </c>
      <c r="ARN15" s="477">
        <v>0</v>
      </c>
      <c r="ARO15" s="479">
        <v>0</v>
      </c>
      <c r="ARP15" s="477">
        <v>0</v>
      </c>
      <c r="ARQ15" s="479">
        <v>0</v>
      </c>
      <c r="ARR15" s="479">
        <v>0</v>
      </c>
      <c r="ARS15" s="479">
        <v>0</v>
      </c>
      <c r="ART15" s="479">
        <v>0</v>
      </c>
      <c r="ARU15" s="479">
        <v>0</v>
      </c>
      <c r="ARV15" s="479">
        <v>0</v>
      </c>
      <c r="ARW15" s="479">
        <v>0</v>
      </c>
      <c r="ARX15" s="479"/>
      <c r="ARY15" s="479">
        <v>0</v>
      </c>
      <c r="ARZ15" s="235">
        <f t="shared" si="13"/>
        <v>0</v>
      </c>
      <c r="ASA15" s="479"/>
      <c r="ASB15" s="477">
        <v>0</v>
      </c>
      <c r="ASC15" s="477">
        <v>0</v>
      </c>
      <c r="ASD15" s="477">
        <v>0</v>
      </c>
      <c r="ASE15" s="477">
        <v>0</v>
      </c>
      <c r="ASF15" s="477">
        <v>0</v>
      </c>
      <c r="ASG15" s="477">
        <v>0</v>
      </c>
      <c r="ASH15" s="479">
        <v>0</v>
      </c>
      <c r="ASI15" s="479">
        <v>0</v>
      </c>
      <c r="ASJ15" s="477">
        <v>0</v>
      </c>
      <c r="ASK15" s="477">
        <v>0</v>
      </c>
      <c r="ASL15" s="479">
        <v>0</v>
      </c>
      <c r="ASM15" s="477">
        <v>0</v>
      </c>
      <c r="ASN15" s="477">
        <v>0</v>
      </c>
      <c r="ASO15" s="479">
        <v>0</v>
      </c>
      <c r="ASP15" s="477">
        <v>0</v>
      </c>
      <c r="ASQ15" s="479">
        <v>0</v>
      </c>
      <c r="ASR15" s="477">
        <v>0</v>
      </c>
      <c r="ASS15" s="479">
        <v>0</v>
      </c>
      <c r="AST15" s="477">
        <v>0</v>
      </c>
      <c r="ASU15" s="479">
        <v>0</v>
      </c>
      <c r="ASV15" s="477">
        <v>0</v>
      </c>
      <c r="ASW15" s="479">
        <v>0</v>
      </c>
      <c r="ASX15" s="479">
        <v>0</v>
      </c>
      <c r="ASY15" s="479">
        <v>0</v>
      </c>
      <c r="ASZ15" s="479">
        <v>0</v>
      </c>
      <c r="ATA15" s="479">
        <v>0</v>
      </c>
      <c r="ATB15" s="479">
        <v>0</v>
      </c>
      <c r="ATC15" s="479">
        <v>0</v>
      </c>
      <c r="ATD15" s="479"/>
      <c r="ATE15" s="235">
        <v>0</v>
      </c>
      <c r="ATF15" s="479"/>
      <c r="ATG15" s="479"/>
      <c r="ATH15" s="479"/>
      <c r="ATI15" s="479"/>
      <c r="ATJ15" s="479"/>
      <c r="ATK15" s="479"/>
      <c r="ATL15" s="479"/>
      <c r="ATM15" s="479"/>
      <c r="ATN15" s="479"/>
      <c r="ATO15" s="479"/>
      <c r="ATP15" s="479"/>
      <c r="ATQ15" s="479"/>
      <c r="ATR15" s="479"/>
      <c r="ATS15" s="479"/>
      <c r="ATT15" s="479"/>
      <c r="ATU15" s="479"/>
      <c r="ATV15" s="479"/>
      <c r="ATW15" s="479"/>
      <c r="ATX15" s="479"/>
      <c r="ATY15" s="479"/>
      <c r="ATZ15" s="479"/>
      <c r="AUA15" s="479"/>
      <c r="AUB15" s="479"/>
      <c r="AUC15" s="479"/>
      <c r="AUD15" s="479"/>
      <c r="AUE15" s="479"/>
      <c r="AUF15" s="479"/>
      <c r="AUG15" s="479"/>
      <c r="AUH15" s="479"/>
      <c r="AUI15" s="479"/>
      <c r="AUJ15" s="479"/>
      <c r="AUK15" s="235">
        <v>0</v>
      </c>
      <c r="AUL15" s="479"/>
      <c r="AUM15" s="479"/>
      <c r="AUN15" s="479"/>
      <c r="AUO15" s="479"/>
      <c r="AUP15" s="479"/>
      <c r="AUQ15" s="479"/>
      <c r="AUR15" s="479"/>
      <c r="AUS15" s="479"/>
      <c r="AUT15" s="479"/>
      <c r="AUU15" s="479"/>
      <c r="AUV15" s="479"/>
      <c r="AUW15" s="479"/>
      <c r="AUX15" s="479"/>
      <c r="AUY15" s="479"/>
      <c r="AUZ15" s="479"/>
      <c r="AVA15" s="479"/>
      <c r="AVB15" s="479"/>
      <c r="AVC15" s="479"/>
      <c r="AVD15" s="479"/>
      <c r="AVE15" s="479"/>
      <c r="AVF15" s="479"/>
      <c r="AVG15" s="479"/>
      <c r="AVH15" s="479"/>
      <c r="AVI15" s="479"/>
      <c r="AVJ15" s="479"/>
      <c r="AVK15" s="479"/>
      <c r="AVL15" s="479"/>
      <c r="AVM15" s="479"/>
      <c r="AVN15" s="479"/>
      <c r="AVO15" s="479"/>
      <c r="AVP15" s="479"/>
      <c r="AVQ15" s="235">
        <f t="shared" si="3"/>
        <v>0</v>
      </c>
      <c r="AVR15" s="479"/>
      <c r="AVS15" s="479"/>
      <c r="AVT15" s="479"/>
      <c r="AVU15" s="479"/>
      <c r="AVV15" s="479"/>
      <c r="AVW15" s="479"/>
      <c r="AVX15" s="479"/>
      <c r="AVY15" s="479"/>
      <c r="AVZ15" s="479"/>
      <c r="AWA15" s="479"/>
      <c r="AWB15" s="479"/>
      <c r="AWC15" s="479"/>
      <c r="AWD15" s="479"/>
      <c r="AWE15" s="479"/>
      <c r="AWF15" s="479"/>
      <c r="AWG15" s="479"/>
      <c r="AWH15" s="479"/>
      <c r="AWI15" s="479"/>
      <c r="AWJ15" s="479"/>
      <c r="AWK15" s="479"/>
      <c r="AWL15" s="479"/>
      <c r="AWM15" s="479"/>
      <c r="AWN15" s="479"/>
      <c r="AWO15" s="479"/>
      <c r="AWP15" s="479"/>
      <c r="AWQ15" s="479"/>
      <c r="AWR15" s="479"/>
      <c r="AWS15" s="479"/>
      <c r="AWT15" s="479"/>
      <c r="AWU15" s="479"/>
      <c r="AWV15" s="235">
        <v>0</v>
      </c>
      <c r="AWW15" s="479"/>
      <c r="AWX15" s="479"/>
      <c r="AWY15" s="479"/>
      <c r="AWZ15" s="479"/>
      <c r="AXA15" s="479"/>
      <c r="AXB15" s="479"/>
      <c r="AXC15" s="479"/>
      <c r="AXD15" s="479"/>
      <c r="AXE15" s="479"/>
      <c r="AXF15" s="479"/>
      <c r="AXG15" s="479"/>
      <c r="AXH15" s="479"/>
      <c r="AXI15" s="479"/>
      <c r="AXJ15" s="479"/>
      <c r="AXK15" s="479"/>
      <c r="AXL15" s="479"/>
      <c r="AXM15" s="479"/>
      <c r="AXN15" s="479"/>
      <c r="AXO15" s="479"/>
      <c r="AXP15" s="479"/>
      <c r="AXQ15" s="479"/>
      <c r="AXR15" s="479"/>
      <c r="AXS15" s="479"/>
      <c r="AXT15" s="479"/>
      <c r="AXU15" s="479"/>
      <c r="AXV15" s="479"/>
      <c r="AXW15" s="479"/>
      <c r="AXX15" s="479"/>
      <c r="AXY15" s="479"/>
      <c r="AXZ15" s="479"/>
      <c r="AYA15" s="479"/>
      <c r="AYB15" s="235">
        <v>0</v>
      </c>
      <c r="AYC15" s="479"/>
      <c r="AYD15" s="479"/>
      <c r="AYE15" s="479"/>
      <c r="AYF15" s="479"/>
      <c r="AYG15" s="479"/>
      <c r="AYH15" s="479"/>
      <c r="AYI15" s="479"/>
      <c r="AYJ15" s="479"/>
      <c r="AYK15" s="479"/>
      <c r="AYL15" s="479"/>
      <c r="AYM15" s="479"/>
      <c r="AYN15" s="479"/>
      <c r="AYO15" s="479"/>
      <c r="AYP15" s="479"/>
      <c r="AYQ15" s="479"/>
      <c r="AYR15" s="479"/>
      <c r="AYS15" s="479"/>
      <c r="AYT15" s="479"/>
      <c r="AYU15" s="479"/>
      <c r="AYV15" s="479"/>
      <c r="AYW15" s="479"/>
      <c r="AYX15" s="479"/>
      <c r="AYY15" s="479"/>
      <c r="AYZ15" s="479"/>
      <c r="AZA15" s="479"/>
      <c r="AZB15" s="479"/>
      <c r="AZC15" s="479"/>
      <c r="AZD15" s="479"/>
      <c r="AZE15" s="479"/>
      <c r="AZF15" s="479"/>
      <c r="AZG15" s="235">
        <v>0</v>
      </c>
      <c r="AZH15" s="479"/>
      <c r="AZI15" s="479"/>
      <c r="AZJ15" s="479"/>
      <c r="AZK15" s="479"/>
      <c r="AZL15" s="479"/>
      <c r="AZM15" s="479"/>
      <c r="AZN15" s="479"/>
      <c r="AZO15" s="479"/>
      <c r="AZP15" s="479"/>
      <c r="AZQ15" s="479"/>
      <c r="AZR15" s="479"/>
      <c r="AZS15" s="479"/>
      <c r="AZT15" s="479"/>
      <c r="AZU15" s="479"/>
      <c r="AZV15" s="479"/>
      <c r="AZW15" s="479"/>
      <c r="AZX15" s="479"/>
      <c r="AZY15" s="479"/>
      <c r="AZZ15" s="479"/>
      <c r="BAA15" s="479"/>
      <c r="BAB15" s="479"/>
      <c r="BAC15" s="479"/>
      <c r="BAD15" s="479"/>
      <c r="BAE15" s="479"/>
      <c r="BAF15" s="479"/>
      <c r="BAG15" s="479"/>
      <c r="BAH15" s="479"/>
      <c r="BAI15" s="479"/>
      <c r="BAJ15" s="479"/>
      <c r="BAK15" s="479"/>
      <c r="BAL15" s="479"/>
      <c r="BAM15" s="235">
        <f t="shared" si="27"/>
        <v>0</v>
      </c>
    </row>
    <row r="16" spans="2:1392" s="243" customFormat="1" hidden="1">
      <c r="B16" s="240" t="s">
        <v>364</v>
      </c>
      <c r="C16" s="480">
        <v>0</v>
      </c>
      <c r="D16" s="480">
        <v>0</v>
      </c>
      <c r="E16" s="480">
        <v>0</v>
      </c>
      <c r="F16" s="480">
        <v>0</v>
      </c>
      <c r="G16" s="480">
        <v>0</v>
      </c>
      <c r="H16" s="480">
        <v>0</v>
      </c>
      <c r="I16" s="480">
        <v>0</v>
      </c>
      <c r="J16" s="480">
        <v>0</v>
      </c>
      <c r="K16" s="480">
        <v>0</v>
      </c>
      <c r="L16" s="480">
        <v>0</v>
      </c>
      <c r="M16" s="480">
        <v>0</v>
      </c>
      <c r="N16" s="480">
        <v>0</v>
      </c>
      <c r="O16" s="480">
        <v>0</v>
      </c>
      <c r="P16" s="480">
        <v>0</v>
      </c>
      <c r="Q16" s="480">
        <v>0</v>
      </c>
      <c r="R16" s="480">
        <v>0</v>
      </c>
      <c r="S16" s="480">
        <v>0</v>
      </c>
      <c r="T16" s="480">
        <v>0</v>
      </c>
      <c r="U16" s="480">
        <v>0</v>
      </c>
      <c r="V16" s="480">
        <v>0</v>
      </c>
      <c r="W16" s="480">
        <v>0</v>
      </c>
      <c r="X16" s="480">
        <v>0</v>
      </c>
      <c r="Y16" s="513">
        <f>Actual!AB206</f>
        <v>0</v>
      </c>
      <c r="Z16" s="480">
        <v>0</v>
      </c>
      <c r="AA16" s="480">
        <v>0</v>
      </c>
      <c r="AB16" s="480">
        <v>0</v>
      </c>
      <c r="AC16" s="480">
        <v>0</v>
      </c>
      <c r="AD16" s="480">
        <v>0</v>
      </c>
      <c r="AE16" s="480">
        <v>0</v>
      </c>
      <c r="AF16" s="480">
        <v>0</v>
      </c>
      <c r="AG16" s="480">
        <v>0</v>
      </c>
      <c r="AH16" s="242">
        <f t="shared" si="26"/>
        <v>0</v>
      </c>
      <c r="AI16" s="388">
        <v>0</v>
      </c>
      <c r="AJ16" s="388">
        <v>0</v>
      </c>
      <c r="AK16" s="388">
        <v>0</v>
      </c>
      <c r="AL16" s="388">
        <v>0</v>
      </c>
      <c r="AM16" s="388">
        <v>0</v>
      </c>
      <c r="AN16" s="388">
        <v>0</v>
      </c>
      <c r="AO16" s="388">
        <v>0</v>
      </c>
      <c r="AP16" s="388">
        <v>0</v>
      </c>
      <c r="AQ16" s="388">
        <v>0</v>
      </c>
      <c r="AR16" s="388">
        <v>0</v>
      </c>
      <c r="AS16" s="388">
        <v>0</v>
      </c>
      <c r="AT16" s="388">
        <v>0</v>
      </c>
      <c r="AU16" s="388">
        <v>0</v>
      </c>
      <c r="AV16" s="388">
        <v>0</v>
      </c>
      <c r="AW16" s="388">
        <v>0</v>
      </c>
      <c r="AX16" s="388">
        <v>0</v>
      </c>
      <c r="AY16" s="388">
        <v>0</v>
      </c>
      <c r="AZ16" s="388">
        <v>0</v>
      </c>
      <c r="BA16" s="388">
        <v>0</v>
      </c>
      <c r="BB16" s="388">
        <v>0</v>
      </c>
      <c r="BC16" s="388">
        <v>0</v>
      </c>
      <c r="BD16" s="388">
        <v>0</v>
      </c>
      <c r="BE16" s="388">
        <v>0</v>
      </c>
      <c r="BF16" s="388">
        <v>0</v>
      </c>
      <c r="BG16" s="388">
        <v>0</v>
      </c>
      <c r="BH16" s="388">
        <v>0</v>
      </c>
      <c r="BI16" s="388">
        <v>0</v>
      </c>
      <c r="BJ16" s="201">
        <v>0</v>
      </c>
      <c r="BK16" s="242">
        <f t="shared" si="8"/>
        <v>0</v>
      </c>
      <c r="BL16" s="241"/>
      <c r="BM16" s="241"/>
      <c r="BN16" s="194"/>
      <c r="BO16" s="194"/>
      <c r="BP16" s="194"/>
      <c r="BQ16" s="194"/>
      <c r="BR16" s="220"/>
      <c r="BS16" s="239"/>
      <c r="BT16" s="239"/>
      <c r="BU16" s="239"/>
      <c r="BV16" s="239"/>
      <c r="BW16" s="239"/>
      <c r="BX16" s="239"/>
      <c r="BY16" s="239"/>
      <c r="BZ16" s="239"/>
      <c r="CA16" s="239"/>
      <c r="CB16" s="239"/>
      <c r="CC16" s="239"/>
      <c r="CD16" s="239"/>
      <c r="CE16" s="194"/>
      <c r="CF16" s="220"/>
      <c r="CG16" s="220"/>
      <c r="CH16" s="220"/>
      <c r="CI16" s="220"/>
      <c r="CJ16" s="220"/>
      <c r="CK16" s="220"/>
      <c r="CL16" s="201"/>
      <c r="CM16" s="220"/>
      <c r="CN16" s="239"/>
      <c r="CO16" s="201"/>
      <c r="CP16" s="239"/>
      <c r="CQ16" s="242">
        <f t="shared" si="16"/>
        <v>0</v>
      </c>
      <c r="CR16" s="241"/>
      <c r="CS16" s="241"/>
      <c r="CT16" s="194"/>
      <c r="CU16" s="194"/>
      <c r="CV16" s="194"/>
      <c r="CW16" s="194"/>
      <c r="CX16" s="220"/>
      <c r="CY16" s="239"/>
      <c r="CZ16" s="239"/>
      <c r="DA16" s="239"/>
      <c r="DB16" s="239"/>
      <c r="DC16" s="239"/>
      <c r="DD16" s="239"/>
      <c r="DE16" s="239"/>
      <c r="DF16" s="239"/>
      <c r="DG16" s="239"/>
      <c r="DH16" s="239"/>
      <c r="DI16" s="239"/>
      <c r="DJ16" s="239"/>
      <c r="DK16" s="194"/>
      <c r="DL16" s="220"/>
      <c r="DM16" s="220"/>
      <c r="DN16" s="220"/>
      <c r="DO16" s="220"/>
      <c r="DP16" s="220"/>
      <c r="DQ16" s="220"/>
      <c r="DR16" s="201"/>
      <c r="DS16" s="220"/>
      <c r="DT16" s="239"/>
      <c r="DU16" s="201"/>
      <c r="DV16" s="239"/>
      <c r="DW16" s="242">
        <f t="shared" si="17"/>
        <v>0</v>
      </c>
      <c r="DX16" s="241"/>
      <c r="DY16" s="241"/>
      <c r="DZ16" s="194"/>
      <c r="EA16" s="194"/>
      <c r="EB16" s="194"/>
      <c r="EC16" s="194"/>
      <c r="ED16" s="220"/>
      <c r="EE16" s="239"/>
      <c r="EF16" s="239"/>
      <c r="EG16" s="239"/>
      <c r="EH16" s="239"/>
      <c r="EI16" s="239"/>
      <c r="EJ16" s="239"/>
      <c r="EK16" s="239"/>
      <c r="EL16" s="239"/>
      <c r="EM16" s="239"/>
      <c r="EN16" s="239"/>
      <c r="EO16" s="239"/>
      <c r="EP16" s="239"/>
      <c r="EQ16" s="266"/>
      <c r="ER16" s="239"/>
      <c r="ES16" s="239"/>
      <c r="ET16" s="239"/>
      <c r="EU16" s="224">
        <v>0</v>
      </c>
      <c r="EV16" s="224">
        <v>0</v>
      </c>
      <c r="EW16" s="224">
        <v>0</v>
      </c>
      <c r="EX16" s="224">
        <v>0</v>
      </c>
      <c r="EY16" s="224">
        <v>0</v>
      </c>
      <c r="EZ16" s="224">
        <v>0</v>
      </c>
      <c r="FA16" s="224">
        <v>0</v>
      </c>
      <c r="FB16" s="239">
        <v>0</v>
      </c>
      <c r="FC16" s="242">
        <f t="shared" si="18"/>
        <v>0</v>
      </c>
      <c r="FD16" s="241"/>
      <c r="FE16" s="241"/>
      <c r="FF16" s="194"/>
      <c r="FG16" s="194"/>
      <c r="FH16" s="194"/>
      <c r="FI16" s="194"/>
      <c r="FJ16" s="220"/>
      <c r="FK16" s="239"/>
      <c r="FL16" s="239"/>
      <c r="FM16" s="239"/>
      <c r="FN16" s="239"/>
      <c r="FO16" s="239"/>
      <c r="FP16" s="239"/>
      <c r="FQ16" s="239"/>
      <c r="FR16" s="239"/>
      <c r="FS16" s="239"/>
      <c r="FT16" s="239"/>
      <c r="FU16" s="239"/>
      <c r="FV16" s="239"/>
      <c r="FW16" s="194"/>
      <c r="FX16" s="220"/>
      <c r="FY16" s="220"/>
      <c r="FZ16" s="220"/>
      <c r="GA16" s="220"/>
      <c r="GB16" s="220"/>
      <c r="GC16" s="220"/>
      <c r="GD16" s="201"/>
      <c r="GE16" s="220"/>
      <c r="GF16" s="239"/>
      <c r="GG16" s="201"/>
      <c r="GH16" s="239"/>
      <c r="GI16" s="242">
        <f t="shared" si="19"/>
        <v>0</v>
      </c>
      <c r="GJ16" s="241"/>
      <c r="GK16" s="241"/>
      <c r="GL16" s="194"/>
      <c r="GM16" s="194"/>
      <c r="GN16" s="194"/>
      <c r="GO16" s="194"/>
      <c r="GP16" s="220"/>
      <c r="GQ16" s="239"/>
      <c r="GR16" s="266"/>
      <c r="GS16" s="239"/>
      <c r="GT16" s="239"/>
      <c r="GU16" s="239"/>
      <c r="GV16" s="266"/>
      <c r="GW16" s="266"/>
      <c r="GX16" s="239"/>
      <c r="GY16" s="239"/>
      <c r="GZ16" s="239"/>
      <c r="HA16" s="239"/>
      <c r="HB16" s="239"/>
      <c r="HC16" s="194"/>
      <c r="HD16" s="220"/>
      <c r="HE16" s="220"/>
      <c r="HF16" s="220"/>
      <c r="HG16" s="220"/>
      <c r="HH16" s="220"/>
      <c r="HI16" s="220"/>
      <c r="HJ16" s="201"/>
      <c r="HK16" s="220"/>
      <c r="HL16" s="239"/>
      <c r="HM16" s="201"/>
      <c r="HN16" s="239"/>
      <c r="HO16" s="242">
        <f t="shared" si="20"/>
        <v>0</v>
      </c>
      <c r="HP16" s="241"/>
      <c r="HQ16" s="241"/>
      <c r="HR16" s="194"/>
      <c r="HS16" s="194"/>
      <c r="HT16" s="194"/>
      <c r="HU16" s="194"/>
      <c r="HV16" s="220"/>
      <c r="HW16" s="239"/>
      <c r="HX16" s="239"/>
      <c r="HY16" s="239"/>
      <c r="HZ16" s="239"/>
      <c r="IA16" s="239"/>
      <c r="IB16" s="239"/>
      <c r="IC16" s="239"/>
      <c r="ID16" s="239"/>
      <c r="IE16" s="239"/>
      <c r="IF16" s="239"/>
      <c r="IG16" s="239"/>
      <c r="IH16" s="239"/>
      <c r="II16" s="194"/>
      <c r="IJ16" s="220"/>
      <c r="IK16" s="220"/>
      <c r="IL16" s="220"/>
      <c r="IM16" s="220"/>
      <c r="IN16" s="220"/>
      <c r="IO16" s="220"/>
      <c r="IP16" s="201"/>
      <c r="IQ16" s="220"/>
      <c r="IR16" s="239"/>
      <c r="IS16" s="201"/>
      <c r="IT16" s="239"/>
      <c r="IU16" s="242">
        <f t="shared" si="21"/>
        <v>0</v>
      </c>
      <c r="IV16" s="241"/>
      <c r="IW16" s="241"/>
      <c r="IX16" s="265"/>
      <c r="IY16" s="239"/>
      <c r="IZ16" s="239"/>
      <c r="JA16" s="239"/>
      <c r="JB16" s="239"/>
      <c r="JC16" s="239"/>
      <c r="JD16" s="239"/>
      <c r="JE16" s="239"/>
      <c r="JF16" s="239"/>
      <c r="JG16" s="239"/>
      <c r="JH16" s="239"/>
      <c r="JI16" s="239"/>
      <c r="JJ16" s="239"/>
      <c r="JK16" s="239"/>
      <c r="JL16" s="239"/>
      <c r="JM16" s="239"/>
      <c r="JN16" s="239"/>
      <c r="JO16" s="239"/>
      <c r="JP16" s="224">
        <v>0</v>
      </c>
      <c r="JQ16" s="224">
        <v>6504.7749999999996</v>
      </c>
      <c r="JR16" s="224">
        <v>6838.0079999999998</v>
      </c>
      <c r="JS16" s="224">
        <v>9622.3919999999998</v>
      </c>
      <c r="JT16" s="224">
        <v>6504.5159999999996</v>
      </c>
      <c r="JU16" s="224">
        <v>4070.9920000000002</v>
      </c>
      <c r="JV16" s="239"/>
      <c r="JW16" s="224">
        <v>2143.3049999999998</v>
      </c>
      <c r="JX16" s="239"/>
      <c r="JY16" s="250"/>
      <c r="JZ16" s="239"/>
      <c r="KA16" s="242">
        <f t="shared" si="22"/>
        <v>35683.987999999998</v>
      </c>
      <c r="KB16" s="309">
        <v>0</v>
      </c>
      <c r="KC16" s="309">
        <v>0</v>
      </c>
      <c r="KD16" s="250">
        <v>0</v>
      </c>
      <c r="KE16" s="239">
        <v>0</v>
      </c>
      <c r="KF16" s="239">
        <v>0</v>
      </c>
      <c r="KG16" s="239">
        <v>0</v>
      </c>
      <c r="KH16" s="239">
        <v>0</v>
      </c>
      <c r="KI16" s="239">
        <v>0</v>
      </c>
      <c r="KJ16" s="239">
        <v>0</v>
      </c>
      <c r="KK16" s="239">
        <v>0</v>
      </c>
      <c r="KL16" s="239">
        <v>0</v>
      </c>
      <c r="KM16" s="239">
        <v>0</v>
      </c>
      <c r="KN16" s="239">
        <v>0</v>
      </c>
      <c r="KO16" s="239">
        <v>0</v>
      </c>
      <c r="KP16" s="239">
        <v>0</v>
      </c>
      <c r="KQ16" s="239">
        <v>0</v>
      </c>
      <c r="KR16" s="239">
        <v>0</v>
      </c>
      <c r="KS16" s="239">
        <v>0</v>
      </c>
      <c r="KT16" s="239">
        <v>0</v>
      </c>
      <c r="KU16" s="239">
        <v>0</v>
      </c>
      <c r="KV16" s="239">
        <v>0</v>
      </c>
      <c r="KW16" s="239">
        <v>0</v>
      </c>
      <c r="KX16" s="266">
        <v>0</v>
      </c>
      <c r="KY16" s="266">
        <v>0</v>
      </c>
      <c r="KZ16" s="266">
        <v>0</v>
      </c>
      <c r="LA16" s="266">
        <v>0</v>
      </c>
      <c r="LB16" s="250">
        <v>0</v>
      </c>
      <c r="LC16" s="266">
        <v>0</v>
      </c>
      <c r="LD16" s="239">
        <v>0</v>
      </c>
      <c r="LE16" s="250">
        <v>0</v>
      </c>
      <c r="LF16" s="239">
        <v>0</v>
      </c>
      <c r="LG16" s="242">
        <f t="shared" si="23"/>
        <v>0</v>
      </c>
      <c r="LH16" s="292">
        <v>0</v>
      </c>
      <c r="LI16" s="292">
        <v>0</v>
      </c>
      <c r="LJ16" s="201">
        <v>0</v>
      </c>
      <c r="LK16" s="239">
        <v>0</v>
      </c>
      <c r="LL16" s="239">
        <v>0</v>
      </c>
      <c r="LM16" s="239">
        <v>0</v>
      </c>
      <c r="LN16" s="239">
        <v>0</v>
      </c>
      <c r="LO16" s="239">
        <v>0</v>
      </c>
      <c r="LP16" s="239">
        <v>0</v>
      </c>
      <c r="LQ16" s="239">
        <v>0</v>
      </c>
      <c r="LR16" s="239">
        <v>0</v>
      </c>
      <c r="LS16" s="239">
        <v>0</v>
      </c>
      <c r="LT16" s="239"/>
      <c r="LU16" s="239"/>
      <c r="LV16" s="239"/>
      <c r="LW16" s="239"/>
      <c r="LX16" s="239"/>
      <c r="LY16" s="239"/>
      <c r="LZ16" s="239"/>
      <c r="MA16" s="239">
        <v>0</v>
      </c>
      <c r="MB16" s="239">
        <v>0</v>
      </c>
      <c r="MC16" s="239">
        <v>0</v>
      </c>
      <c r="MD16" s="220">
        <v>0</v>
      </c>
      <c r="ME16" s="220">
        <v>0</v>
      </c>
      <c r="MF16" s="220">
        <v>0</v>
      </c>
      <c r="MG16" s="220">
        <v>0</v>
      </c>
      <c r="MH16" s="201">
        <v>0</v>
      </c>
      <c r="MI16" s="220">
        <v>0</v>
      </c>
      <c r="MJ16" s="239">
        <v>0</v>
      </c>
      <c r="MK16" s="201">
        <v>0</v>
      </c>
      <c r="ML16" s="239">
        <v>0</v>
      </c>
      <c r="MM16" s="242">
        <f t="shared" si="24"/>
        <v>0</v>
      </c>
      <c r="MN16" s="292">
        <v>0</v>
      </c>
      <c r="MO16" s="292">
        <v>0</v>
      </c>
      <c r="MP16" s="201">
        <v>0</v>
      </c>
      <c r="MQ16" s="239">
        <v>0</v>
      </c>
      <c r="MR16" s="239">
        <v>0</v>
      </c>
      <c r="MS16" s="239">
        <v>0</v>
      </c>
      <c r="MT16" s="239">
        <v>0</v>
      </c>
      <c r="MU16" s="239">
        <v>0</v>
      </c>
      <c r="MV16" s="239">
        <v>0</v>
      </c>
      <c r="MW16" s="312">
        <v>10556.778</v>
      </c>
      <c r="MX16" s="239">
        <v>0</v>
      </c>
      <c r="MY16" s="312">
        <v>5020.0150000000003</v>
      </c>
      <c r="MZ16" s="312">
        <v>11138.476000000001</v>
      </c>
      <c r="NA16" s="312">
        <v>6418.049</v>
      </c>
      <c r="NB16" s="239">
        <v>0</v>
      </c>
      <c r="NC16" s="312">
        <v>3117.2429999999999</v>
      </c>
      <c r="ND16" s="239"/>
      <c r="NE16" s="239"/>
      <c r="NF16" s="239"/>
      <c r="NG16" s="239">
        <v>0</v>
      </c>
      <c r="NH16" s="239">
        <v>0</v>
      </c>
      <c r="NI16" s="239">
        <v>0</v>
      </c>
      <c r="NJ16" s="220">
        <v>0</v>
      </c>
      <c r="NK16" s="220">
        <v>0</v>
      </c>
      <c r="NL16" s="220">
        <v>0</v>
      </c>
      <c r="NM16" s="220">
        <v>0</v>
      </c>
      <c r="NN16" s="201">
        <v>0</v>
      </c>
      <c r="NO16" s="220">
        <v>0</v>
      </c>
      <c r="NP16" s="239">
        <v>0</v>
      </c>
      <c r="NQ16" s="201">
        <v>0</v>
      </c>
      <c r="NR16" s="239">
        <v>0</v>
      </c>
      <c r="NS16" s="242">
        <f t="shared" si="25"/>
        <v>36250.561000000002</v>
      </c>
      <c r="NT16" s="387">
        <v>28118.734</v>
      </c>
      <c r="NU16" s="387">
        <v>2314.2570000000001</v>
      </c>
      <c r="NV16" s="384">
        <v>0</v>
      </c>
      <c r="NW16" s="384">
        <v>0</v>
      </c>
      <c r="NX16" s="384">
        <v>0</v>
      </c>
      <c r="NY16" s="384">
        <v>0</v>
      </c>
      <c r="NZ16" s="384">
        <v>0</v>
      </c>
      <c r="OA16" s="384">
        <v>0</v>
      </c>
      <c r="OB16" s="384">
        <v>0</v>
      </c>
      <c r="OC16" s="384">
        <v>0</v>
      </c>
      <c r="OD16" s="384">
        <v>0</v>
      </c>
      <c r="OE16" s="384">
        <v>0</v>
      </c>
      <c r="OF16" s="384">
        <v>0</v>
      </c>
      <c r="OG16" s="384">
        <v>0</v>
      </c>
      <c r="OH16" s="384">
        <v>0</v>
      </c>
      <c r="OI16" s="384">
        <v>0</v>
      </c>
      <c r="OJ16" s="384">
        <v>0</v>
      </c>
      <c r="OK16" s="384">
        <v>0</v>
      </c>
      <c r="OL16" s="384">
        <v>0</v>
      </c>
      <c r="OM16" s="384">
        <v>0</v>
      </c>
      <c r="ON16" s="384">
        <v>0</v>
      </c>
      <c r="OO16" s="384">
        <v>0</v>
      </c>
      <c r="OP16" s="384">
        <v>0</v>
      </c>
      <c r="OQ16" s="387">
        <v>7320.5060000000003</v>
      </c>
      <c r="OR16" s="387">
        <v>7319.6769999999997</v>
      </c>
      <c r="OS16" s="387">
        <v>5311.5730000000003</v>
      </c>
      <c r="OT16" s="387">
        <v>14354.964</v>
      </c>
      <c r="OU16" s="387">
        <v>3506.096</v>
      </c>
      <c r="OV16" s="266">
        <v>0</v>
      </c>
      <c r="OW16" s="266">
        <v>0</v>
      </c>
      <c r="OX16" s="384">
        <v>0</v>
      </c>
      <c r="OY16" s="242">
        <f t="shared" si="9"/>
        <v>68245.807000000001</v>
      </c>
      <c r="OZ16" s="384">
        <v>0</v>
      </c>
      <c r="PA16" s="384">
        <v>0</v>
      </c>
      <c r="PB16" s="384">
        <v>0</v>
      </c>
      <c r="PC16" s="384">
        <v>0</v>
      </c>
      <c r="PD16" s="384">
        <v>0</v>
      </c>
      <c r="PE16" s="384">
        <v>0</v>
      </c>
      <c r="PF16" s="384">
        <v>0</v>
      </c>
      <c r="PG16" s="384">
        <v>0</v>
      </c>
      <c r="PH16" s="384">
        <v>0</v>
      </c>
      <c r="PI16" s="384">
        <v>0</v>
      </c>
      <c r="PJ16" s="384">
        <v>0</v>
      </c>
      <c r="PK16" s="384">
        <v>0</v>
      </c>
      <c r="PL16" s="384">
        <v>0</v>
      </c>
      <c r="PM16" s="384">
        <v>0</v>
      </c>
      <c r="PN16" s="384">
        <v>0</v>
      </c>
      <c r="PO16" s="384">
        <v>0</v>
      </c>
      <c r="PP16" s="384">
        <v>0</v>
      </c>
      <c r="PQ16" s="384">
        <v>0</v>
      </c>
      <c r="PR16" s="384">
        <v>0</v>
      </c>
      <c r="PS16" s="384">
        <v>0</v>
      </c>
      <c r="PT16" s="384">
        <v>0</v>
      </c>
      <c r="PU16" s="384">
        <v>0</v>
      </c>
      <c r="PV16" s="384">
        <v>0</v>
      </c>
      <c r="PW16" s="384">
        <v>0</v>
      </c>
      <c r="PX16" s="384">
        <v>0</v>
      </c>
      <c r="PY16" s="384">
        <v>0</v>
      </c>
      <c r="PZ16" s="384">
        <v>0</v>
      </c>
      <c r="QA16" s="384">
        <v>0</v>
      </c>
      <c r="QB16" s="384">
        <v>0</v>
      </c>
      <c r="QC16" s="384">
        <v>0</v>
      </c>
      <c r="QD16" s="242">
        <f t="shared" si="10"/>
        <v>0</v>
      </c>
      <c r="QE16" s="384">
        <v>0</v>
      </c>
      <c r="QF16" s="384">
        <v>0</v>
      </c>
      <c r="QG16" s="384">
        <v>0</v>
      </c>
      <c r="QH16" s="387">
        <v>7337.41</v>
      </c>
      <c r="QI16" s="387">
        <v>7305.8110000000006</v>
      </c>
      <c r="QJ16" s="384">
        <v>0</v>
      </c>
      <c r="QK16" s="384">
        <v>0</v>
      </c>
      <c r="QL16" s="387">
        <v>7314.9260000000004</v>
      </c>
      <c r="QM16" s="384">
        <v>0</v>
      </c>
      <c r="QN16" s="387">
        <v>10244.058000000001</v>
      </c>
      <c r="QO16" s="384">
        <v>0</v>
      </c>
      <c r="QP16" s="384">
        <v>0</v>
      </c>
      <c r="QQ16" s="384">
        <v>0</v>
      </c>
      <c r="QR16" s="384">
        <v>0</v>
      </c>
      <c r="QS16" s="384">
        <v>0</v>
      </c>
      <c r="QT16" s="384">
        <v>0</v>
      </c>
      <c r="QU16" s="384">
        <v>0</v>
      </c>
      <c r="QV16" s="387">
        <v>5509.2790000000005</v>
      </c>
      <c r="QW16" s="387">
        <v>5309.1239999999998</v>
      </c>
      <c r="QX16" s="387">
        <v>7327.7459999999992</v>
      </c>
      <c r="QY16" s="384">
        <v>0</v>
      </c>
      <c r="QZ16" s="387">
        <v>5075.9859999999999</v>
      </c>
      <c r="RA16" s="387">
        <v>6508.9079999999994</v>
      </c>
      <c r="RB16" s="384">
        <v>0</v>
      </c>
      <c r="RC16" s="384">
        <v>0</v>
      </c>
      <c r="RD16" s="387">
        <v>3504.2049999999999</v>
      </c>
      <c r="RE16" s="384">
        <v>0</v>
      </c>
      <c r="RF16" s="384">
        <v>0</v>
      </c>
      <c r="RG16" s="384">
        <v>0</v>
      </c>
      <c r="RH16" s="384">
        <v>0</v>
      </c>
      <c r="RI16" s="384">
        <v>0</v>
      </c>
      <c r="RJ16" s="242">
        <v>65437.453000000009</v>
      </c>
      <c r="RK16" s="384">
        <v>0</v>
      </c>
      <c r="RL16" s="384">
        <v>0</v>
      </c>
      <c r="RM16" s="384">
        <v>0</v>
      </c>
      <c r="RN16" s="384">
        <v>0</v>
      </c>
      <c r="RO16" s="384">
        <v>0</v>
      </c>
      <c r="RP16" s="384">
        <v>0</v>
      </c>
      <c r="RQ16" s="384">
        <v>0</v>
      </c>
      <c r="RR16" s="384">
        <v>0</v>
      </c>
      <c r="RS16" s="384">
        <v>0</v>
      </c>
      <c r="RT16" s="384">
        <v>0</v>
      </c>
      <c r="RU16" s="384">
        <v>0</v>
      </c>
      <c r="RV16" s="384">
        <v>0</v>
      </c>
      <c r="RW16" s="384">
        <v>0</v>
      </c>
      <c r="RX16" s="384">
        <v>0</v>
      </c>
      <c r="RY16" s="384">
        <v>0</v>
      </c>
      <c r="RZ16" s="384">
        <v>0</v>
      </c>
      <c r="SA16" s="384">
        <v>0</v>
      </c>
      <c r="SB16" s="384">
        <v>0</v>
      </c>
      <c r="SC16" s="384">
        <v>0</v>
      </c>
      <c r="SD16" s="384">
        <v>0</v>
      </c>
      <c r="SE16" s="384">
        <v>0</v>
      </c>
      <c r="SF16" s="384">
        <v>0</v>
      </c>
      <c r="SG16" s="384">
        <v>0</v>
      </c>
      <c r="SH16" s="384">
        <v>0</v>
      </c>
      <c r="SI16" s="384">
        <v>0</v>
      </c>
      <c r="SJ16" s="384">
        <v>0</v>
      </c>
      <c r="SK16" s="384">
        <v>0</v>
      </c>
      <c r="SL16" s="384">
        <v>0</v>
      </c>
      <c r="SM16" s="384">
        <v>0</v>
      </c>
      <c r="SN16" s="384">
        <v>0</v>
      </c>
      <c r="SO16" s="235">
        <v>0</v>
      </c>
      <c r="SP16" s="384">
        <v>0</v>
      </c>
      <c r="SQ16" s="386">
        <v>7384.7809999999999</v>
      </c>
      <c r="SR16" s="386">
        <v>7369.7759999999998</v>
      </c>
      <c r="SS16" s="386">
        <v>12887.834000000001</v>
      </c>
      <c r="ST16" s="386">
        <v>7371.4780000000001</v>
      </c>
      <c r="SU16" s="386">
        <v>4417.268</v>
      </c>
      <c r="SV16" s="384">
        <v>0</v>
      </c>
      <c r="SW16" s="384">
        <v>0</v>
      </c>
      <c r="SX16" s="384">
        <v>0</v>
      </c>
      <c r="SY16" s="384">
        <v>0</v>
      </c>
      <c r="SZ16" s="384">
        <v>0</v>
      </c>
      <c r="TA16" s="384">
        <v>0</v>
      </c>
      <c r="TB16" s="384">
        <v>0</v>
      </c>
      <c r="TC16" s="384">
        <v>0</v>
      </c>
      <c r="TD16" s="384">
        <v>0</v>
      </c>
      <c r="TE16" s="384">
        <v>0</v>
      </c>
      <c r="TF16" s="384">
        <v>0</v>
      </c>
      <c r="TG16" s="384">
        <v>0</v>
      </c>
      <c r="TH16" s="384">
        <v>0</v>
      </c>
      <c r="TI16" s="384">
        <v>0</v>
      </c>
      <c r="TJ16" s="384">
        <v>0</v>
      </c>
      <c r="TK16" s="384">
        <v>0</v>
      </c>
      <c r="TL16" s="384">
        <v>0</v>
      </c>
      <c r="TM16" s="384">
        <v>0</v>
      </c>
      <c r="TN16" s="384">
        <v>0</v>
      </c>
      <c r="TO16" s="384">
        <v>0</v>
      </c>
      <c r="TP16" s="384">
        <v>0</v>
      </c>
      <c r="TQ16" s="384">
        <v>0</v>
      </c>
      <c r="TR16" s="384">
        <v>0</v>
      </c>
      <c r="TS16" s="384">
        <v>0</v>
      </c>
      <c r="TT16" s="384">
        <v>0</v>
      </c>
      <c r="TU16" s="235">
        <v>39431.137000000002</v>
      </c>
      <c r="TV16" s="384">
        <v>0</v>
      </c>
      <c r="TW16" s="384">
        <v>0</v>
      </c>
      <c r="TX16" s="384">
        <v>0</v>
      </c>
      <c r="TY16" s="384">
        <v>0</v>
      </c>
      <c r="TZ16" s="384">
        <v>0</v>
      </c>
      <c r="UA16" s="384">
        <v>0</v>
      </c>
      <c r="UB16" s="384">
        <v>0</v>
      </c>
      <c r="UC16" s="384">
        <v>0</v>
      </c>
      <c r="UD16" s="387">
        <v>7315.8289999999997</v>
      </c>
      <c r="UE16" s="384">
        <v>0</v>
      </c>
      <c r="UF16" s="387">
        <v>7319.5870000000004</v>
      </c>
      <c r="UG16" s="384">
        <v>0</v>
      </c>
      <c r="UH16" s="384">
        <v>0</v>
      </c>
      <c r="UI16" s="384">
        <v>0</v>
      </c>
      <c r="UJ16" s="387">
        <v>7309.7240000000002</v>
      </c>
      <c r="UK16" s="387">
        <v>6725.384</v>
      </c>
      <c r="UL16" s="387">
        <v>3189.37</v>
      </c>
      <c r="UM16" s="384">
        <v>0</v>
      </c>
      <c r="UN16" s="384">
        <v>0</v>
      </c>
      <c r="UO16" s="387">
        <v>7331.4309999999996</v>
      </c>
      <c r="UP16" s="387">
        <v>7312.9340000000002</v>
      </c>
      <c r="UQ16" s="387">
        <v>6504.4579999999987</v>
      </c>
      <c r="UR16" s="387">
        <v>7071.5110000000004</v>
      </c>
      <c r="US16" s="387">
        <v>2136.8200000000002</v>
      </c>
      <c r="UT16" s="384">
        <v>0</v>
      </c>
      <c r="UU16" s="384">
        <v>0</v>
      </c>
      <c r="UV16" s="384">
        <v>0</v>
      </c>
      <c r="UW16" s="384">
        <v>0</v>
      </c>
      <c r="UX16" s="384">
        <v>0</v>
      </c>
      <c r="UY16" s="384">
        <v>0</v>
      </c>
      <c r="UZ16" s="384">
        <v>0</v>
      </c>
      <c r="VA16" s="235">
        <v>62217.047999999995</v>
      </c>
      <c r="VB16" s="384">
        <v>0</v>
      </c>
      <c r="VC16" s="384">
        <v>0</v>
      </c>
      <c r="VD16" s="384">
        <v>0</v>
      </c>
      <c r="VE16" s="384">
        <v>0</v>
      </c>
      <c r="VF16" s="384">
        <v>0</v>
      </c>
      <c r="VG16" s="384">
        <v>0</v>
      </c>
      <c r="VH16" s="384">
        <v>0</v>
      </c>
      <c r="VI16" s="384">
        <v>0</v>
      </c>
      <c r="VJ16" s="384">
        <v>0</v>
      </c>
      <c r="VK16" s="384">
        <v>0</v>
      </c>
      <c r="VL16" s="384">
        <v>0</v>
      </c>
      <c r="VM16" s="384">
        <v>0</v>
      </c>
      <c r="VN16" s="384">
        <v>0</v>
      </c>
      <c r="VO16" s="384">
        <v>0</v>
      </c>
      <c r="VP16" s="384">
        <v>0</v>
      </c>
      <c r="VQ16" s="384">
        <v>0</v>
      </c>
      <c r="VR16" s="384">
        <v>0</v>
      </c>
      <c r="VS16" s="384">
        <v>0</v>
      </c>
      <c r="VT16" s="384">
        <v>0</v>
      </c>
      <c r="VU16" s="384">
        <v>0</v>
      </c>
      <c r="VV16" s="384">
        <v>0</v>
      </c>
      <c r="VW16" s="384">
        <v>0</v>
      </c>
      <c r="VX16" s="384">
        <v>0</v>
      </c>
      <c r="VY16" s="384">
        <v>0</v>
      </c>
      <c r="VZ16" s="384">
        <v>0</v>
      </c>
      <c r="WA16" s="384">
        <v>0</v>
      </c>
      <c r="WB16" s="384">
        <v>0</v>
      </c>
      <c r="WC16" s="384">
        <v>0</v>
      </c>
      <c r="WD16" s="384">
        <v>0</v>
      </c>
      <c r="WE16" s="384">
        <v>0</v>
      </c>
      <c r="WF16" s="235">
        <v>62217.047999999995</v>
      </c>
      <c r="WG16" s="384">
        <v>0</v>
      </c>
      <c r="WH16" s="384">
        <v>0</v>
      </c>
      <c r="WI16" s="384">
        <v>0</v>
      </c>
      <c r="WJ16" s="384">
        <v>0</v>
      </c>
      <c r="WK16" s="384">
        <v>0</v>
      </c>
      <c r="WL16" s="384">
        <v>0</v>
      </c>
      <c r="WM16" s="384">
        <v>0</v>
      </c>
      <c r="WN16" s="384">
        <v>0</v>
      </c>
      <c r="WO16" s="384">
        <v>0</v>
      </c>
      <c r="WP16" s="384">
        <v>0</v>
      </c>
      <c r="WQ16" s="384">
        <v>0</v>
      </c>
      <c r="WR16" s="384">
        <v>0</v>
      </c>
      <c r="WS16" s="384">
        <v>0</v>
      </c>
      <c r="WT16" s="384">
        <v>0</v>
      </c>
      <c r="WU16" s="384">
        <v>0</v>
      </c>
      <c r="WV16" s="384">
        <v>0</v>
      </c>
      <c r="WW16" s="384">
        <v>0</v>
      </c>
      <c r="WX16" s="384">
        <v>0</v>
      </c>
      <c r="WY16" s="384">
        <v>0</v>
      </c>
      <c r="WZ16" s="384">
        <v>0</v>
      </c>
      <c r="XA16" s="384">
        <v>0</v>
      </c>
      <c r="XB16" s="384">
        <v>0</v>
      </c>
      <c r="XC16" s="384">
        <v>0</v>
      </c>
      <c r="XD16" s="384">
        <v>0</v>
      </c>
      <c r="XE16" s="384">
        <v>0</v>
      </c>
      <c r="XF16" s="384">
        <v>0</v>
      </c>
      <c r="XG16" s="384">
        <v>0</v>
      </c>
      <c r="XH16" s="384">
        <v>0</v>
      </c>
      <c r="XI16" s="384">
        <v>0</v>
      </c>
      <c r="XJ16" s="384">
        <v>0</v>
      </c>
      <c r="XK16" s="384">
        <v>0</v>
      </c>
      <c r="XL16" s="235">
        <v>0</v>
      </c>
      <c r="XM16" s="384">
        <v>0</v>
      </c>
      <c r="XN16" s="384">
        <v>0</v>
      </c>
      <c r="XO16" s="384">
        <v>0</v>
      </c>
      <c r="XP16" s="384">
        <v>0</v>
      </c>
      <c r="XQ16" s="384">
        <v>0</v>
      </c>
      <c r="XR16" s="384">
        <v>0</v>
      </c>
      <c r="XS16" s="384">
        <v>0</v>
      </c>
      <c r="XT16" s="384">
        <v>0</v>
      </c>
      <c r="XU16" s="384">
        <v>0</v>
      </c>
      <c r="XV16" s="384">
        <v>0</v>
      </c>
      <c r="XW16" s="384">
        <v>0</v>
      </c>
      <c r="XX16" s="384">
        <v>0</v>
      </c>
      <c r="XY16" s="384">
        <v>0</v>
      </c>
      <c r="XZ16" s="384">
        <v>0</v>
      </c>
      <c r="YA16" s="384">
        <v>0</v>
      </c>
      <c r="YB16" s="384">
        <v>0</v>
      </c>
      <c r="YC16" s="384">
        <v>0</v>
      </c>
      <c r="YD16" s="384">
        <v>0</v>
      </c>
      <c r="YE16" s="384">
        <v>0</v>
      </c>
      <c r="YF16" s="384">
        <v>0</v>
      </c>
      <c r="YG16" s="384">
        <v>0</v>
      </c>
      <c r="YH16" s="384">
        <v>0</v>
      </c>
      <c r="YI16" s="384">
        <v>0</v>
      </c>
      <c r="YJ16" s="384">
        <v>0</v>
      </c>
      <c r="YK16" s="384">
        <v>0</v>
      </c>
      <c r="YL16" s="384">
        <v>0</v>
      </c>
      <c r="YM16" s="384">
        <v>0</v>
      </c>
      <c r="YN16" s="384">
        <v>0</v>
      </c>
      <c r="YO16" s="384">
        <v>0</v>
      </c>
      <c r="YP16" s="384">
        <v>0</v>
      </c>
      <c r="YQ16" s="384">
        <v>0</v>
      </c>
      <c r="YR16" s="235">
        <v>0</v>
      </c>
      <c r="YS16" s="384">
        <v>0</v>
      </c>
      <c r="YT16" s="384">
        <v>0</v>
      </c>
      <c r="YU16" s="384">
        <v>0</v>
      </c>
      <c r="YV16" s="384">
        <v>0</v>
      </c>
      <c r="YW16" s="384">
        <v>0</v>
      </c>
      <c r="YX16" s="384">
        <v>0</v>
      </c>
      <c r="YY16" s="384">
        <v>0</v>
      </c>
      <c r="YZ16" s="384">
        <v>0</v>
      </c>
      <c r="ZA16" s="384">
        <v>0</v>
      </c>
      <c r="ZB16" s="384">
        <v>0</v>
      </c>
      <c r="ZC16" s="384">
        <v>0</v>
      </c>
      <c r="ZD16" s="384">
        <v>0</v>
      </c>
      <c r="ZE16" s="384">
        <v>0</v>
      </c>
      <c r="ZF16" s="384">
        <v>0</v>
      </c>
      <c r="ZG16" s="384">
        <v>0</v>
      </c>
      <c r="ZH16" s="384">
        <v>0</v>
      </c>
      <c r="ZI16" s="384">
        <v>0</v>
      </c>
      <c r="ZJ16" s="384">
        <v>0</v>
      </c>
      <c r="ZK16" s="384">
        <v>0</v>
      </c>
      <c r="ZL16" s="384">
        <v>0</v>
      </c>
      <c r="ZM16" s="384">
        <v>0</v>
      </c>
      <c r="ZN16" s="384">
        <v>0</v>
      </c>
      <c r="ZO16" s="384">
        <v>0</v>
      </c>
      <c r="ZP16" s="384">
        <v>0</v>
      </c>
      <c r="ZQ16" s="384">
        <v>0</v>
      </c>
      <c r="ZR16" s="384">
        <v>0</v>
      </c>
      <c r="ZS16" s="384">
        <v>0</v>
      </c>
      <c r="ZT16" s="384">
        <v>0</v>
      </c>
      <c r="ZU16" s="384">
        <v>0</v>
      </c>
      <c r="ZV16" s="384">
        <v>0</v>
      </c>
      <c r="ZW16" s="384">
        <v>0</v>
      </c>
      <c r="ZX16" s="235">
        <v>0</v>
      </c>
      <c r="ZY16" s="384">
        <v>0</v>
      </c>
      <c r="ZZ16" s="384">
        <v>0</v>
      </c>
      <c r="AAA16" s="384">
        <v>0</v>
      </c>
      <c r="AAB16" s="384">
        <v>0</v>
      </c>
      <c r="AAC16" s="384">
        <v>0</v>
      </c>
      <c r="AAD16" s="384">
        <v>0</v>
      </c>
      <c r="AAE16" s="384">
        <v>0</v>
      </c>
      <c r="AAF16" s="482">
        <v>7355.6040000000003</v>
      </c>
      <c r="AAG16" s="482">
        <v>7332.384</v>
      </c>
      <c r="AAH16" s="384">
        <v>0</v>
      </c>
      <c r="AAI16" s="384">
        <v>0</v>
      </c>
      <c r="AAJ16" s="384">
        <v>0</v>
      </c>
      <c r="AAK16" s="384">
        <v>0</v>
      </c>
      <c r="AAL16" s="384">
        <v>0</v>
      </c>
      <c r="AAM16" s="384">
        <v>0</v>
      </c>
      <c r="AAN16" s="384">
        <v>0</v>
      </c>
      <c r="AAO16" s="482">
        <v>7156.3609999999999</v>
      </c>
      <c r="AAP16" s="482">
        <v>6521.7969999999996</v>
      </c>
      <c r="AAQ16" s="482">
        <v>2957.7490000000003</v>
      </c>
      <c r="AAR16" s="384">
        <v>0</v>
      </c>
      <c r="AAS16" s="384">
        <v>0</v>
      </c>
      <c r="AAT16" s="384">
        <v>0</v>
      </c>
      <c r="AAU16" s="384">
        <v>0</v>
      </c>
      <c r="AAV16" s="384">
        <v>0</v>
      </c>
      <c r="AAW16" s="384">
        <v>0</v>
      </c>
      <c r="AAX16" s="384">
        <v>0</v>
      </c>
      <c r="AAY16" s="384">
        <v>0</v>
      </c>
      <c r="AAZ16" s="384">
        <v>0</v>
      </c>
      <c r="ABA16" s="242">
        <f t="shared" si="11"/>
        <v>31323.895</v>
      </c>
      <c r="ABB16" s="384">
        <v>0</v>
      </c>
      <c r="ABC16" s="384">
        <v>0</v>
      </c>
      <c r="ABD16" s="384">
        <v>0</v>
      </c>
      <c r="ABE16" s="384">
        <v>0</v>
      </c>
      <c r="ABF16" s="384">
        <v>0</v>
      </c>
      <c r="ABG16" s="384">
        <v>0</v>
      </c>
      <c r="ABH16" s="384">
        <v>0</v>
      </c>
      <c r="ABI16" s="384">
        <v>0</v>
      </c>
      <c r="ABJ16" s="384">
        <v>0</v>
      </c>
      <c r="ABK16" s="384">
        <v>0</v>
      </c>
      <c r="ABL16" s="384">
        <v>0</v>
      </c>
      <c r="ABM16" s="384">
        <v>0</v>
      </c>
      <c r="ABN16" s="384">
        <v>0</v>
      </c>
      <c r="ABO16" s="384">
        <v>0</v>
      </c>
      <c r="ABP16" s="384">
        <v>0</v>
      </c>
      <c r="ABQ16" s="384">
        <v>0</v>
      </c>
      <c r="ABR16" s="482">
        <v>7368.6629999999996</v>
      </c>
      <c r="ABS16" s="482">
        <v>7358.5039999999999</v>
      </c>
      <c r="ABT16" s="482">
        <v>7369.7659999999996</v>
      </c>
      <c r="ABU16" s="482">
        <v>7390.7279999999992</v>
      </c>
      <c r="ABV16" s="482">
        <v>12173.464</v>
      </c>
      <c r="ABW16" s="482">
        <v>6011.0640000000003</v>
      </c>
      <c r="ABX16" s="482">
        <v>6025.6109999999999</v>
      </c>
      <c r="ABY16" s="480">
        <v>0</v>
      </c>
      <c r="ABZ16" s="485">
        <v>5318.96</v>
      </c>
      <c r="ACA16" s="480">
        <v>0</v>
      </c>
      <c r="ACB16" s="480">
        <v>0</v>
      </c>
      <c r="ACC16" s="480">
        <v>0</v>
      </c>
      <c r="ACD16" s="480">
        <v>0</v>
      </c>
      <c r="ACE16" s="480">
        <v>0</v>
      </c>
      <c r="ACF16" s="480">
        <v>0</v>
      </c>
      <c r="ACG16" s="242">
        <v>59016.759999999995</v>
      </c>
      <c r="ACH16" s="384">
        <v>0</v>
      </c>
      <c r="ACI16" s="384">
        <v>0</v>
      </c>
      <c r="ACJ16" s="384">
        <v>0</v>
      </c>
      <c r="ACK16" s="482">
        <v>14627.451999999999</v>
      </c>
      <c r="ACL16" s="384">
        <v>0</v>
      </c>
      <c r="ACM16" s="384">
        <v>0</v>
      </c>
      <c r="ACN16" s="482">
        <v>0</v>
      </c>
      <c r="ACO16" s="482">
        <v>7312.8009999999995</v>
      </c>
      <c r="ACP16" s="482">
        <v>4021.538</v>
      </c>
      <c r="ACQ16" s="482">
        <v>7141.6350000000002</v>
      </c>
      <c r="ACR16" s="384">
        <v>0</v>
      </c>
      <c r="ACS16" s="384">
        <v>0</v>
      </c>
      <c r="ACT16" s="384">
        <v>0</v>
      </c>
      <c r="ACU16" s="384">
        <v>0</v>
      </c>
      <c r="ACV16" s="384">
        <v>0</v>
      </c>
      <c r="ACW16" s="384">
        <v>0</v>
      </c>
      <c r="ACX16" s="384">
        <v>0</v>
      </c>
      <c r="ACY16" s="384">
        <v>0</v>
      </c>
      <c r="ACZ16" s="384">
        <v>0</v>
      </c>
      <c r="ADA16" s="384">
        <v>0</v>
      </c>
      <c r="ADB16" s="384">
        <v>0</v>
      </c>
      <c r="ADC16" s="384">
        <v>0</v>
      </c>
      <c r="ADD16" s="384">
        <v>0</v>
      </c>
      <c r="ADE16" s="384">
        <v>0</v>
      </c>
      <c r="ADF16" s="384">
        <v>0</v>
      </c>
      <c r="ADG16" s="384">
        <v>0</v>
      </c>
      <c r="ADH16" s="384">
        <v>0</v>
      </c>
      <c r="ADI16" s="384">
        <v>0</v>
      </c>
      <c r="ADJ16" s="384">
        <v>0</v>
      </c>
      <c r="ADK16" s="384">
        <v>0</v>
      </c>
      <c r="ADL16" s="384">
        <v>0</v>
      </c>
      <c r="ADM16" s="242">
        <v>33103.425999999999</v>
      </c>
      <c r="ADN16" s="384">
        <v>0</v>
      </c>
      <c r="ADO16" s="384">
        <v>0</v>
      </c>
      <c r="ADP16" s="384">
        <v>0</v>
      </c>
      <c r="ADQ16" s="220">
        <v>0</v>
      </c>
      <c r="ADR16" s="220">
        <v>0</v>
      </c>
      <c r="ADS16" s="220">
        <v>0</v>
      </c>
      <c r="ADT16" s="220">
        <v>0</v>
      </c>
      <c r="ADU16" s="220">
        <v>0</v>
      </c>
      <c r="ADV16" s="220">
        <v>0</v>
      </c>
      <c r="ADW16" s="220">
        <v>0</v>
      </c>
      <c r="ADX16" s="220">
        <v>0</v>
      </c>
      <c r="ADY16" s="220">
        <v>0</v>
      </c>
      <c r="ADZ16" s="220">
        <v>0</v>
      </c>
      <c r="AEA16" s="220">
        <v>0</v>
      </c>
      <c r="AEB16" s="220">
        <v>0</v>
      </c>
      <c r="AEC16" s="220">
        <v>0</v>
      </c>
      <c r="AED16" s="220">
        <v>0</v>
      </c>
      <c r="AEE16" s="220">
        <v>0</v>
      </c>
      <c r="AEF16" s="220">
        <v>0</v>
      </c>
      <c r="AEG16" s="220">
        <v>0</v>
      </c>
      <c r="AEH16" s="220">
        <v>0</v>
      </c>
      <c r="AEI16" s="220">
        <v>0</v>
      </c>
      <c r="AEJ16" s="220">
        <v>0</v>
      </c>
      <c r="AEK16" s="220">
        <v>0</v>
      </c>
      <c r="AEL16" s="220">
        <v>0</v>
      </c>
      <c r="AEM16" s="220">
        <v>0</v>
      </c>
      <c r="AEN16" s="220">
        <v>0</v>
      </c>
      <c r="AEO16" s="384">
        <v>0</v>
      </c>
      <c r="AEP16" s="384">
        <v>0</v>
      </c>
      <c r="AEQ16" s="384">
        <v>0</v>
      </c>
      <c r="AER16" s="384">
        <v>0</v>
      </c>
      <c r="AES16" s="242">
        <v>0</v>
      </c>
      <c r="AET16" s="482">
        <v>14627.373</v>
      </c>
      <c r="AEU16" s="384">
        <v>0</v>
      </c>
      <c r="AEV16" s="482">
        <v>7215.7310000000007</v>
      </c>
      <c r="AEW16" s="482">
        <v>9261.7819999999992</v>
      </c>
      <c r="AEX16" s="384">
        <v>0</v>
      </c>
      <c r="AEY16" s="384">
        <v>0</v>
      </c>
      <c r="AEZ16" s="384">
        <v>0</v>
      </c>
      <c r="AFA16" s="384">
        <v>0</v>
      </c>
      <c r="AFB16" s="384">
        <v>0</v>
      </c>
      <c r="AFC16" s="384">
        <v>0</v>
      </c>
      <c r="AFD16" s="384">
        <v>0</v>
      </c>
      <c r="AFE16" s="384">
        <v>0</v>
      </c>
      <c r="AFF16" s="384">
        <v>0</v>
      </c>
      <c r="AFG16" s="384">
        <v>0</v>
      </c>
      <c r="AFH16" s="384">
        <v>0</v>
      </c>
      <c r="AFI16" s="384">
        <v>0</v>
      </c>
      <c r="AFJ16" s="384">
        <v>0</v>
      </c>
      <c r="AFK16" s="384">
        <v>0</v>
      </c>
      <c r="AFL16" s="384">
        <v>0</v>
      </c>
      <c r="AFM16" s="384">
        <v>0</v>
      </c>
      <c r="AFN16" s="384">
        <v>0</v>
      </c>
      <c r="AFO16" s="384">
        <v>0</v>
      </c>
      <c r="AFP16" s="384">
        <v>0</v>
      </c>
      <c r="AFQ16" s="384">
        <v>0</v>
      </c>
      <c r="AFR16" s="384">
        <v>0</v>
      </c>
      <c r="AFS16" s="384">
        <v>0</v>
      </c>
      <c r="AFT16" s="384">
        <v>0</v>
      </c>
      <c r="AFU16" s="384">
        <v>0</v>
      </c>
      <c r="AFV16" s="384">
        <v>0</v>
      </c>
      <c r="AFW16" s="384">
        <v>0</v>
      </c>
      <c r="AFX16" s="242">
        <v>31104.885999999999</v>
      </c>
      <c r="AFY16" s="220">
        <v>0</v>
      </c>
      <c r="AFZ16" s="220">
        <v>0</v>
      </c>
      <c r="AGA16" s="220">
        <v>0</v>
      </c>
      <c r="AGB16" s="220">
        <v>0</v>
      </c>
      <c r="AGC16" s="220">
        <v>0</v>
      </c>
      <c r="AGD16" s="220">
        <v>0</v>
      </c>
      <c r="AGE16" s="220">
        <v>0</v>
      </c>
      <c r="AGF16" s="220">
        <v>0</v>
      </c>
      <c r="AGG16" s="220">
        <v>0</v>
      </c>
      <c r="AGH16" s="220">
        <v>0</v>
      </c>
      <c r="AGI16" s="220">
        <v>0</v>
      </c>
      <c r="AGJ16" s="220">
        <v>0</v>
      </c>
      <c r="AGK16" s="220">
        <v>0</v>
      </c>
      <c r="AGL16" s="220">
        <v>0</v>
      </c>
      <c r="AGM16" s="220">
        <v>0</v>
      </c>
      <c r="AGN16" s="220">
        <v>0</v>
      </c>
      <c r="AGO16" s="220">
        <v>0</v>
      </c>
      <c r="AGP16" s="220">
        <v>0</v>
      </c>
      <c r="AGQ16" s="220">
        <v>0</v>
      </c>
      <c r="AGR16" s="220">
        <v>0</v>
      </c>
      <c r="AGS16" s="220">
        <v>0</v>
      </c>
      <c r="AGT16" s="220">
        <v>0</v>
      </c>
      <c r="AGU16" s="220">
        <v>0</v>
      </c>
      <c r="AGV16" s="220">
        <v>0</v>
      </c>
      <c r="AGW16" s="220">
        <v>0</v>
      </c>
      <c r="AGX16" s="220">
        <v>0</v>
      </c>
      <c r="AGY16" s="483">
        <v>14614.098000000002</v>
      </c>
      <c r="AGZ16" s="220">
        <v>0</v>
      </c>
      <c r="AHA16" s="483">
        <v>7371.0410000000002</v>
      </c>
      <c r="AHB16" s="220">
        <v>0</v>
      </c>
      <c r="AHC16" s="220">
        <v>0</v>
      </c>
      <c r="AHD16" s="242">
        <v>21985.139000000003</v>
      </c>
      <c r="AHE16" s="483">
        <v>31354.168000000001</v>
      </c>
      <c r="AHF16" s="220">
        <v>0</v>
      </c>
      <c r="AHG16" s="220">
        <v>0</v>
      </c>
      <c r="AHH16" s="220">
        <v>0</v>
      </c>
      <c r="AHI16" s="220">
        <v>0</v>
      </c>
      <c r="AHJ16" s="220">
        <v>0</v>
      </c>
      <c r="AHK16" s="220">
        <v>0</v>
      </c>
      <c r="AHL16" s="220">
        <v>0</v>
      </c>
      <c r="AHM16" s="220">
        <v>0</v>
      </c>
      <c r="AHN16" s="220">
        <v>0</v>
      </c>
      <c r="AHO16" s="220">
        <v>0</v>
      </c>
      <c r="AHP16" s="220">
        <v>0</v>
      </c>
      <c r="AHQ16" s="220">
        <v>0</v>
      </c>
      <c r="AHR16" s="220">
        <v>0</v>
      </c>
      <c r="AHS16" s="220">
        <v>0</v>
      </c>
      <c r="AHT16" s="220">
        <v>0</v>
      </c>
      <c r="AHU16" s="220">
        <v>0</v>
      </c>
      <c r="AHV16" s="220">
        <v>0</v>
      </c>
      <c r="AHW16" s="220">
        <v>0</v>
      </c>
      <c r="AHX16" s="220">
        <v>0</v>
      </c>
      <c r="AHY16" s="220">
        <v>0</v>
      </c>
      <c r="AHZ16" s="220">
        <v>0</v>
      </c>
      <c r="AIA16" s="220">
        <v>0</v>
      </c>
      <c r="AIB16" s="483">
        <v>6942.1859999999997</v>
      </c>
      <c r="AIC16" s="483">
        <v>4509.8379999999997</v>
      </c>
      <c r="AID16" s="483">
        <v>6842.6080000000002</v>
      </c>
      <c r="AIE16" s="483">
        <v>6514.84</v>
      </c>
      <c r="AIF16" s="483">
        <v>5513.8810000000003</v>
      </c>
      <c r="AIG16" s="483">
        <v>2015.2739999999999</v>
      </c>
      <c r="AIH16" s="220">
        <v>0</v>
      </c>
      <c r="AII16" s="220">
        <v>0</v>
      </c>
      <c r="AIJ16" s="235">
        <v>63692.794999999998</v>
      </c>
      <c r="AIK16" s="479">
        <v>0</v>
      </c>
      <c r="AIL16" s="479">
        <v>0</v>
      </c>
      <c r="AIM16" s="479">
        <v>0</v>
      </c>
      <c r="AIN16" s="479">
        <v>0</v>
      </c>
      <c r="AIO16" s="479">
        <v>0</v>
      </c>
      <c r="AIP16" s="479">
        <v>0</v>
      </c>
      <c r="AIQ16" s="479">
        <v>0</v>
      </c>
      <c r="AIR16" s="479">
        <v>0</v>
      </c>
      <c r="AIS16" s="479">
        <v>0</v>
      </c>
      <c r="AIT16" s="479">
        <v>0</v>
      </c>
      <c r="AIU16" s="479">
        <v>0</v>
      </c>
      <c r="AIV16" s="479">
        <v>0</v>
      </c>
      <c r="AIW16" s="479">
        <v>0</v>
      </c>
      <c r="AIX16" s="479">
        <v>0</v>
      </c>
      <c r="AIY16" s="479">
        <v>0</v>
      </c>
      <c r="AIZ16" s="479">
        <v>0</v>
      </c>
      <c r="AJA16" s="479">
        <v>0</v>
      </c>
      <c r="AJB16" s="479">
        <v>0</v>
      </c>
      <c r="AJC16" s="479">
        <v>0</v>
      </c>
      <c r="AJD16" s="479">
        <v>0</v>
      </c>
      <c r="AJE16" s="479">
        <v>0</v>
      </c>
      <c r="AJF16" s="479">
        <v>0</v>
      </c>
      <c r="AJG16" s="479">
        <v>0</v>
      </c>
      <c r="AJH16" s="479">
        <v>0</v>
      </c>
      <c r="AJI16" s="479">
        <v>0</v>
      </c>
      <c r="AJJ16" s="479">
        <v>0</v>
      </c>
      <c r="AJK16" s="479">
        <v>0</v>
      </c>
      <c r="AJL16" s="479">
        <v>0</v>
      </c>
      <c r="AJM16" s="479">
        <v>0</v>
      </c>
      <c r="AJN16" s="479">
        <v>0</v>
      </c>
      <c r="AJO16" s="235">
        <v>0</v>
      </c>
      <c r="AJP16" s="479">
        <v>0</v>
      </c>
      <c r="AJQ16" s="484">
        <v>7348.2910000000002</v>
      </c>
      <c r="AJR16" s="484">
        <v>7343.3389999999999</v>
      </c>
      <c r="AJS16" s="479">
        <v>0</v>
      </c>
      <c r="AJT16" s="479">
        <v>0</v>
      </c>
      <c r="AJU16" s="484">
        <v>7323.67</v>
      </c>
      <c r="AJV16" s="484">
        <v>7711.0709999999999</v>
      </c>
      <c r="AJW16" s="479">
        <v>0</v>
      </c>
      <c r="AJX16" s="479">
        <v>0</v>
      </c>
      <c r="AJY16" s="479">
        <v>0</v>
      </c>
      <c r="AJZ16" s="479">
        <v>0</v>
      </c>
      <c r="AKA16" s="479">
        <v>0</v>
      </c>
      <c r="AKB16" s="479">
        <v>0</v>
      </c>
      <c r="AKC16" s="479">
        <v>0</v>
      </c>
      <c r="AKD16" s="479">
        <v>0</v>
      </c>
      <c r="AKE16" s="479">
        <v>0</v>
      </c>
      <c r="AKF16" s="479">
        <v>0</v>
      </c>
      <c r="AKG16" s="479">
        <v>0</v>
      </c>
      <c r="AKH16" s="479">
        <v>0</v>
      </c>
      <c r="AKI16" s="479">
        <v>0</v>
      </c>
      <c r="AKJ16" s="479">
        <v>0</v>
      </c>
      <c r="AKK16" s="479">
        <v>0</v>
      </c>
      <c r="AKL16" s="479">
        <v>0</v>
      </c>
      <c r="AKM16" s="479">
        <v>0</v>
      </c>
      <c r="AKN16" s="479">
        <v>0</v>
      </c>
      <c r="AKO16" s="479">
        <v>0</v>
      </c>
      <c r="AKP16" s="479">
        <v>0</v>
      </c>
      <c r="AKQ16" s="479">
        <v>0</v>
      </c>
      <c r="AKR16" s="479">
        <v>0</v>
      </c>
      <c r="AKS16" s="479">
        <v>0</v>
      </c>
      <c r="AKT16" s="479">
        <v>0</v>
      </c>
      <c r="AKU16" s="235">
        <v>29726.371000000003</v>
      </c>
      <c r="AKV16" s="479">
        <v>0</v>
      </c>
      <c r="AKW16" s="479">
        <v>0</v>
      </c>
      <c r="AKX16" s="479">
        <v>0</v>
      </c>
      <c r="AKY16" s="479">
        <v>0</v>
      </c>
      <c r="AKZ16" s="479">
        <v>0</v>
      </c>
      <c r="ALA16" s="479">
        <v>0</v>
      </c>
      <c r="ALB16" s="484">
        <v>7321.2939999999999</v>
      </c>
      <c r="ALC16" s="484">
        <v>7327.085</v>
      </c>
      <c r="ALD16" s="484">
        <v>7312.53</v>
      </c>
      <c r="ALE16" s="484">
        <v>6502.7609999999995</v>
      </c>
      <c r="ALF16" s="484">
        <v>2309.3409999999999</v>
      </c>
      <c r="ALG16" s="479">
        <v>0</v>
      </c>
      <c r="ALH16" s="479">
        <v>0</v>
      </c>
      <c r="ALI16" s="479">
        <v>0</v>
      </c>
      <c r="ALJ16" s="479">
        <v>0</v>
      </c>
      <c r="ALK16" s="479">
        <v>0</v>
      </c>
      <c r="ALL16" s="479">
        <v>0</v>
      </c>
      <c r="ALM16" s="479">
        <v>0</v>
      </c>
      <c r="ALN16" s="479">
        <v>0</v>
      </c>
      <c r="ALO16" s="479">
        <v>0</v>
      </c>
      <c r="ALP16" s="479">
        <v>0</v>
      </c>
      <c r="ALQ16" s="479">
        <v>0</v>
      </c>
      <c r="ALR16" s="479">
        <v>0</v>
      </c>
      <c r="ALS16" s="479">
        <v>0</v>
      </c>
      <c r="ALT16" s="479">
        <v>0</v>
      </c>
      <c r="ALU16" s="479">
        <v>0</v>
      </c>
      <c r="ALV16" s="479">
        <v>0</v>
      </c>
      <c r="ALW16" s="479">
        <v>0</v>
      </c>
      <c r="ALX16" s="479">
        <v>0</v>
      </c>
      <c r="ALY16" s="479">
        <v>0</v>
      </c>
      <c r="ALZ16" s="235">
        <v>30773.010999999999</v>
      </c>
      <c r="AMA16" s="479">
        <v>0</v>
      </c>
      <c r="AMB16" s="479">
        <v>0</v>
      </c>
      <c r="AMC16" s="479">
        <v>0</v>
      </c>
      <c r="AMD16" s="479">
        <f>Actual!F206</f>
        <v>0</v>
      </c>
      <c r="AME16" s="479">
        <f>Actual!G206</f>
        <v>0</v>
      </c>
      <c r="AMF16" s="479">
        <f>Actual!H206</f>
        <v>0</v>
      </c>
      <c r="AMG16" s="479">
        <f>Actual!I206</f>
        <v>0</v>
      </c>
      <c r="AMH16" s="479">
        <f>Actual!J205</f>
        <v>0</v>
      </c>
      <c r="AMI16" s="479">
        <f>Actual!K205</f>
        <v>0</v>
      </c>
      <c r="AMJ16" s="479">
        <f>Actual!L206</f>
        <v>0</v>
      </c>
      <c r="AMK16" s="479">
        <f>Actual!M206</f>
        <v>0</v>
      </c>
      <c r="AML16" s="479">
        <f>Actual!N206</f>
        <v>0</v>
      </c>
      <c r="AMM16" s="479">
        <f>Actual!O206</f>
        <v>0</v>
      </c>
      <c r="AMN16" s="479">
        <f>Actual!P206</f>
        <v>0</v>
      </c>
      <c r="AMO16" s="479">
        <f>Actual!Q206</f>
        <v>0</v>
      </c>
      <c r="AMP16" s="479">
        <f>Actual!R206</f>
        <v>0</v>
      </c>
      <c r="AMQ16" s="479" t="e">
        <f>Actual!#REF!</f>
        <v>#REF!</v>
      </c>
      <c r="AMR16" s="479" t="e">
        <f>Actual!#REF!</f>
        <v>#REF!</v>
      </c>
      <c r="AMS16" s="479">
        <f>Actual!U206</f>
        <v>0</v>
      </c>
      <c r="AMT16" s="479">
        <f>Actual!V206</f>
        <v>0</v>
      </c>
      <c r="AMU16" s="479">
        <f>Actual!W206</f>
        <v>0</v>
      </c>
      <c r="AMV16" s="479">
        <f>Actual!X206</f>
        <v>0</v>
      </c>
      <c r="AMW16" s="479">
        <f>Actual!Y206</f>
        <v>0</v>
      </c>
      <c r="AMX16" s="479">
        <f>Actual!Z206</f>
        <v>0</v>
      </c>
      <c r="AMY16" s="479">
        <f>Actual!AA206</f>
        <v>0</v>
      </c>
      <c r="AMZ16" s="479">
        <f>Actual!AB206</f>
        <v>0</v>
      </c>
      <c r="ANA16" s="479">
        <f>Actual!AC206</f>
        <v>0</v>
      </c>
      <c r="ANB16" s="479">
        <f>Actual!AD206</f>
        <v>0</v>
      </c>
      <c r="ANC16" s="479">
        <f>Actual!AE206</f>
        <v>0</v>
      </c>
      <c r="AND16" s="479">
        <f>Actual!AF206</f>
        <v>0</v>
      </c>
      <c r="ANE16" s="479">
        <f>Actual!AG206</f>
        <v>0</v>
      </c>
      <c r="ANF16" s="235" t="e">
        <f t="shared" si="2"/>
        <v>#REF!</v>
      </c>
      <c r="ANG16" s="480">
        <v>0</v>
      </c>
      <c r="ANH16" s="480">
        <v>0</v>
      </c>
      <c r="ANI16" s="480">
        <v>0</v>
      </c>
      <c r="ANJ16" s="480">
        <v>0</v>
      </c>
      <c r="ANK16" s="480">
        <v>0</v>
      </c>
      <c r="ANL16" s="513">
        <v>7128.2489999999998</v>
      </c>
      <c r="ANM16" s="513">
        <v>7351.8460000000005</v>
      </c>
      <c r="ANN16" s="480">
        <v>0</v>
      </c>
      <c r="ANO16" s="513">
        <v>7347.7939999999999</v>
      </c>
      <c r="ANP16" s="513">
        <v>7008.7790000000005</v>
      </c>
      <c r="ANQ16" s="513">
        <v>3669.6219999999998</v>
      </c>
      <c r="ANR16" s="480">
        <v>0</v>
      </c>
      <c r="ANS16" s="480">
        <v>0</v>
      </c>
      <c r="ANT16" s="480">
        <v>0</v>
      </c>
      <c r="ANU16" s="480">
        <v>0</v>
      </c>
      <c r="ANV16" s="480">
        <v>0</v>
      </c>
      <c r="ANW16" s="480">
        <v>0</v>
      </c>
      <c r="ANX16" s="480">
        <v>0</v>
      </c>
      <c r="ANY16" s="480">
        <v>0</v>
      </c>
      <c r="ANZ16" s="480">
        <v>0</v>
      </c>
      <c r="AOA16" s="480">
        <v>0</v>
      </c>
      <c r="AOB16" s="480">
        <v>0</v>
      </c>
      <c r="AOC16" s="480">
        <v>0</v>
      </c>
      <c r="AOD16" s="480">
        <v>0</v>
      </c>
      <c r="AOE16" s="480">
        <v>0</v>
      </c>
      <c r="AOF16" s="480">
        <v>0</v>
      </c>
      <c r="AOG16" s="480">
        <v>0</v>
      </c>
      <c r="AOH16" s="480">
        <v>0</v>
      </c>
      <c r="AOI16" s="242">
        <v>32506.290000000005</v>
      </c>
      <c r="AOJ16" s="480">
        <v>0</v>
      </c>
      <c r="AOK16" s="480">
        <v>0</v>
      </c>
      <c r="AOL16" s="480">
        <v>0</v>
      </c>
      <c r="AOM16" s="480">
        <v>0</v>
      </c>
      <c r="AON16" s="480">
        <v>0</v>
      </c>
      <c r="AOO16" s="480">
        <v>0</v>
      </c>
      <c r="AOP16" s="480">
        <v>0</v>
      </c>
      <c r="AOQ16" s="513">
        <v>7318.6940000000004</v>
      </c>
      <c r="AOR16" s="513">
        <v>7353.9350000000004</v>
      </c>
      <c r="AOS16" s="513">
        <v>7311.71</v>
      </c>
      <c r="AOT16" s="513">
        <v>6748.2269999999999</v>
      </c>
      <c r="AOU16" s="513">
        <v>3357.5459999999998</v>
      </c>
      <c r="AOV16" s="480">
        <v>0</v>
      </c>
      <c r="AOW16" s="480">
        <v>0</v>
      </c>
      <c r="AOX16" s="480">
        <v>0</v>
      </c>
      <c r="AOY16" s="480">
        <v>0</v>
      </c>
      <c r="AOZ16" s="480">
        <v>0</v>
      </c>
      <c r="APA16" s="480">
        <v>0</v>
      </c>
      <c r="APB16" s="480">
        <v>0</v>
      </c>
      <c r="APC16" s="480">
        <v>0</v>
      </c>
      <c r="APD16" s="480">
        <v>0</v>
      </c>
      <c r="APE16" s="480">
        <v>0</v>
      </c>
      <c r="APF16" s="480">
        <v>0</v>
      </c>
      <c r="APG16" s="480">
        <v>0</v>
      </c>
      <c r="APH16" s="480">
        <v>0</v>
      </c>
      <c r="API16" s="480">
        <v>0</v>
      </c>
      <c r="APJ16" s="480">
        <v>0</v>
      </c>
      <c r="APK16" s="480">
        <v>0</v>
      </c>
      <c r="APL16" s="480">
        <v>0</v>
      </c>
      <c r="APM16" s="480">
        <v>0</v>
      </c>
      <c r="APN16" s="480">
        <v>0</v>
      </c>
      <c r="APO16" s="242">
        <v>32090.111999999997</v>
      </c>
      <c r="APP16" s="480">
        <v>0</v>
      </c>
      <c r="APQ16" s="480">
        <v>0</v>
      </c>
      <c r="APR16" s="480">
        <v>0</v>
      </c>
      <c r="APS16" s="480">
        <v>0</v>
      </c>
      <c r="APT16" s="480">
        <v>0</v>
      </c>
      <c r="APU16" s="480">
        <v>0</v>
      </c>
      <c r="APV16" s="480">
        <v>0</v>
      </c>
      <c r="APW16" s="480">
        <v>0</v>
      </c>
      <c r="APX16" s="480">
        <v>0</v>
      </c>
      <c r="APY16" s="480">
        <v>0</v>
      </c>
      <c r="APZ16" s="480">
        <v>0</v>
      </c>
      <c r="AQA16" s="480">
        <v>0</v>
      </c>
      <c r="AQB16" s="480">
        <v>0</v>
      </c>
      <c r="AQC16" s="480">
        <v>0</v>
      </c>
      <c r="AQD16" s="513">
        <v>7316.598</v>
      </c>
      <c r="AQE16" s="513">
        <v>7324.0720000000001</v>
      </c>
      <c r="AQF16" s="513">
        <v>7209.5689999999995</v>
      </c>
      <c r="AQG16" s="513">
        <v>10033.397000000001</v>
      </c>
      <c r="AQH16" s="479"/>
      <c r="AQI16" s="479"/>
      <c r="AQJ16" s="480">
        <v>0</v>
      </c>
      <c r="AQK16" s="480">
        <v>0</v>
      </c>
      <c r="AQL16" s="480">
        <v>0</v>
      </c>
      <c r="AQM16" s="480">
        <v>0</v>
      </c>
      <c r="AQN16" s="480">
        <v>0</v>
      </c>
      <c r="AQO16" s="480">
        <v>0</v>
      </c>
      <c r="AQP16" s="480">
        <v>0</v>
      </c>
      <c r="AQQ16" s="480">
        <v>0</v>
      </c>
      <c r="AQR16" s="480">
        <v>0</v>
      </c>
      <c r="AQS16" s="480">
        <v>0</v>
      </c>
      <c r="AQT16" s="242">
        <f t="shared" si="12"/>
        <v>31883.636000000002</v>
      </c>
      <c r="AQU16" s="480">
        <v>0</v>
      </c>
      <c r="AQV16" s="480">
        <v>0</v>
      </c>
      <c r="AQW16" s="480">
        <v>0</v>
      </c>
      <c r="AQX16" s="480">
        <v>0</v>
      </c>
      <c r="AQY16" s="480">
        <v>0</v>
      </c>
      <c r="AQZ16" s="480">
        <v>0</v>
      </c>
      <c r="ARA16" s="480">
        <v>0</v>
      </c>
      <c r="ARB16" s="480">
        <v>0</v>
      </c>
      <c r="ARC16" s="480">
        <v>0</v>
      </c>
      <c r="ARD16" s="480">
        <v>0</v>
      </c>
      <c r="ARE16" s="480">
        <v>0</v>
      </c>
      <c r="ARF16" s="480">
        <v>0</v>
      </c>
      <c r="ARG16" s="480">
        <v>0</v>
      </c>
      <c r="ARH16" s="480">
        <v>0</v>
      </c>
      <c r="ARI16" s="480">
        <v>0</v>
      </c>
      <c r="ARJ16" s="480">
        <v>0</v>
      </c>
      <c r="ARK16" s="480">
        <v>0</v>
      </c>
      <c r="ARL16" s="480">
        <v>0</v>
      </c>
      <c r="ARM16" s="480">
        <v>0</v>
      </c>
      <c r="ARN16" s="480">
        <v>0</v>
      </c>
      <c r="ARO16" s="480">
        <v>0</v>
      </c>
      <c r="ARP16" s="480">
        <v>0</v>
      </c>
      <c r="ARQ16" s="480">
        <v>0</v>
      </c>
      <c r="ARR16" s="480">
        <v>0</v>
      </c>
      <c r="ARS16" s="480">
        <v>0</v>
      </c>
      <c r="ART16" s="480">
        <v>0</v>
      </c>
      <c r="ARU16" s="480">
        <v>0</v>
      </c>
      <c r="ARV16" s="480">
        <v>0</v>
      </c>
      <c r="ARW16" s="480">
        <v>0</v>
      </c>
      <c r="ARX16" s="480">
        <v>0</v>
      </c>
      <c r="ARY16" s="480">
        <v>0</v>
      </c>
      <c r="ARZ16" s="242">
        <f t="shared" si="13"/>
        <v>0</v>
      </c>
      <c r="ASA16" s="480">
        <v>0</v>
      </c>
      <c r="ASB16" s="480">
        <v>0</v>
      </c>
      <c r="ASC16" s="480">
        <v>0</v>
      </c>
      <c r="ASD16" s="480">
        <v>0</v>
      </c>
      <c r="ASE16" s="480">
        <v>0</v>
      </c>
      <c r="ASF16" s="480">
        <v>0</v>
      </c>
      <c r="ASG16" s="480">
        <v>0</v>
      </c>
      <c r="ASH16" s="480">
        <v>0</v>
      </c>
      <c r="ASI16" s="480">
        <v>0</v>
      </c>
      <c r="ASJ16" s="480">
        <v>0</v>
      </c>
      <c r="ASK16" s="480">
        <v>0</v>
      </c>
      <c r="ASL16" s="480">
        <v>0</v>
      </c>
      <c r="ASM16" s="480">
        <v>0</v>
      </c>
      <c r="ASN16" s="480">
        <v>0</v>
      </c>
      <c r="ASO16" s="480">
        <v>0</v>
      </c>
      <c r="ASP16" s="480">
        <v>0</v>
      </c>
      <c r="ASQ16" s="480">
        <v>0</v>
      </c>
      <c r="ASR16" s="480">
        <v>0</v>
      </c>
      <c r="ASS16" s="480">
        <v>0</v>
      </c>
      <c r="AST16" s="480">
        <v>0</v>
      </c>
      <c r="ASU16" s="480">
        <v>0</v>
      </c>
      <c r="ASV16" s="480">
        <v>0</v>
      </c>
      <c r="ASW16" s="480">
        <v>0</v>
      </c>
      <c r="ASX16" s="480">
        <v>0</v>
      </c>
      <c r="ASY16" s="480">
        <v>0</v>
      </c>
      <c r="ASZ16" s="480">
        <v>0</v>
      </c>
      <c r="ATA16" s="480">
        <v>0</v>
      </c>
      <c r="ATB16" s="480">
        <v>0</v>
      </c>
      <c r="ATC16" s="480">
        <v>0</v>
      </c>
      <c r="ATD16" s="480">
        <v>0</v>
      </c>
      <c r="ATE16" s="242">
        <v>28899.835999999999</v>
      </c>
      <c r="ATF16" s="513">
        <v>28899.835999999999</v>
      </c>
      <c r="ATG16" s="480">
        <v>0</v>
      </c>
      <c r="ATH16" s="480">
        <v>0</v>
      </c>
      <c r="ATI16" s="480">
        <v>0</v>
      </c>
      <c r="ATJ16" s="480">
        <v>0</v>
      </c>
      <c r="ATK16" s="480">
        <v>0</v>
      </c>
      <c r="ATL16" s="480">
        <v>0</v>
      </c>
      <c r="ATM16" s="480">
        <v>0</v>
      </c>
      <c r="ATN16" s="480">
        <v>0</v>
      </c>
      <c r="ATO16" s="480">
        <v>0</v>
      </c>
      <c r="ATP16" s="480">
        <v>0</v>
      </c>
      <c r="ATQ16" s="480">
        <v>0</v>
      </c>
      <c r="ATR16" s="480">
        <v>0</v>
      </c>
      <c r="ATS16" s="480">
        <v>0</v>
      </c>
      <c r="ATT16" s="480">
        <v>0</v>
      </c>
      <c r="ATU16" s="480">
        <v>0</v>
      </c>
      <c r="ATV16" s="480">
        <v>0</v>
      </c>
      <c r="ATW16" s="480">
        <v>0</v>
      </c>
      <c r="ATX16" s="480">
        <v>0</v>
      </c>
      <c r="ATY16" s="480">
        <v>0</v>
      </c>
      <c r="ATZ16" s="480">
        <v>0</v>
      </c>
      <c r="AUA16" s="480">
        <v>0</v>
      </c>
      <c r="AUB16" s="480">
        <v>0</v>
      </c>
      <c r="AUC16" s="480">
        <v>0</v>
      </c>
      <c r="AUD16" s="480">
        <v>0</v>
      </c>
      <c r="AUE16" s="480">
        <v>0</v>
      </c>
      <c r="AUF16" s="480">
        <v>0</v>
      </c>
      <c r="AUG16" s="480">
        <v>0</v>
      </c>
      <c r="AUH16" s="480">
        <v>0</v>
      </c>
      <c r="AUI16" s="480">
        <v>0</v>
      </c>
      <c r="AUJ16" s="480"/>
      <c r="AUK16" s="242">
        <v>28899.835999999999</v>
      </c>
      <c r="AUL16" s="480">
        <v>0</v>
      </c>
      <c r="AUM16" s="480">
        <v>0</v>
      </c>
      <c r="AUN16" s="480">
        <v>0</v>
      </c>
      <c r="AUO16" s="480">
        <v>0</v>
      </c>
      <c r="AUP16" s="480">
        <v>0</v>
      </c>
      <c r="AUQ16" s="480">
        <v>0</v>
      </c>
      <c r="AUR16" s="480">
        <v>0</v>
      </c>
      <c r="AUS16" s="480">
        <v>0</v>
      </c>
      <c r="AUT16" s="480">
        <v>0</v>
      </c>
      <c r="AUU16" s="480">
        <v>0</v>
      </c>
      <c r="AUV16" s="480">
        <v>0</v>
      </c>
      <c r="AUW16" s="480">
        <v>0</v>
      </c>
      <c r="AUX16" s="480">
        <v>0</v>
      </c>
      <c r="AUY16" s="513">
        <v>7308.2060000000001</v>
      </c>
      <c r="AUZ16" s="480">
        <v>0</v>
      </c>
      <c r="AVA16" s="513">
        <v>5337.4290000000001</v>
      </c>
      <c r="AVB16" s="513">
        <v>6292.4620000000004</v>
      </c>
      <c r="AVC16" s="513">
        <v>7310.9719999999998</v>
      </c>
      <c r="AVD16" s="513">
        <v>6527.8980000000001</v>
      </c>
      <c r="AVE16" s="513">
        <v>4523.9740000000002</v>
      </c>
      <c r="AVF16" s="480">
        <v>0</v>
      </c>
      <c r="AVG16" s="480">
        <v>0</v>
      </c>
      <c r="AVH16" s="480">
        <v>0</v>
      </c>
      <c r="AVI16" s="480">
        <v>0</v>
      </c>
      <c r="AVJ16" s="480">
        <v>0</v>
      </c>
      <c r="AVK16" s="480">
        <v>0</v>
      </c>
      <c r="AVL16" s="480">
        <v>0</v>
      </c>
      <c r="AVM16" s="480">
        <v>0</v>
      </c>
      <c r="AVN16" s="480">
        <v>0</v>
      </c>
      <c r="AVO16" s="480">
        <v>0</v>
      </c>
      <c r="AVP16" s="480">
        <v>0</v>
      </c>
      <c r="AVQ16" s="235">
        <f t="shared" si="3"/>
        <v>37300.941000000006</v>
      </c>
      <c r="AVR16" s="480">
        <v>0</v>
      </c>
      <c r="AVS16" s="480">
        <v>0</v>
      </c>
      <c r="AVT16" s="480">
        <v>0</v>
      </c>
      <c r="AVU16" s="480">
        <v>0</v>
      </c>
      <c r="AVV16" s="513">
        <v>7017.76</v>
      </c>
      <c r="AVW16" s="513">
        <v>6825.3990000000003</v>
      </c>
      <c r="AVX16" s="480">
        <v>0</v>
      </c>
      <c r="AVY16" s="513">
        <v>7026.35</v>
      </c>
      <c r="AVZ16" s="513">
        <v>6524.6750000000002</v>
      </c>
      <c r="AWA16" s="513">
        <v>4115.8500000000004</v>
      </c>
      <c r="AWB16" s="480">
        <v>0</v>
      </c>
      <c r="AWC16" s="480">
        <v>0</v>
      </c>
      <c r="AWD16" s="480">
        <v>0</v>
      </c>
      <c r="AWE16" s="480">
        <v>0</v>
      </c>
      <c r="AWF16" s="480">
        <v>0</v>
      </c>
      <c r="AWG16" s="480">
        <v>0</v>
      </c>
      <c r="AWH16" s="480">
        <v>0</v>
      </c>
      <c r="AWI16" s="480">
        <v>0</v>
      </c>
      <c r="AWJ16" s="480">
        <v>0</v>
      </c>
      <c r="AWK16" s="480">
        <v>0</v>
      </c>
      <c r="AWL16" s="480">
        <v>0</v>
      </c>
      <c r="AWM16" s="480">
        <v>0</v>
      </c>
      <c r="AWN16" s="480">
        <v>0</v>
      </c>
      <c r="AWO16" s="480">
        <v>0</v>
      </c>
      <c r="AWP16" s="480">
        <v>0</v>
      </c>
      <c r="AWQ16" s="480">
        <v>0</v>
      </c>
      <c r="AWR16" s="480">
        <v>0</v>
      </c>
      <c r="AWS16" s="480">
        <v>0</v>
      </c>
      <c r="AWT16" s="480">
        <v>0</v>
      </c>
      <c r="AWU16" s="480">
        <v>0</v>
      </c>
      <c r="AWV16" s="235">
        <v>31510.034</v>
      </c>
      <c r="AWW16" s="480">
        <v>0</v>
      </c>
      <c r="AWX16" s="480">
        <v>0</v>
      </c>
      <c r="AWY16" s="480">
        <v>0</v>
      </c>
      <c r="AWZ16" s="480">
        <v>0</v>
      </c>
      <c r="AXA16" s="480">
        <v>0</v>
      </c>
      <c r="AXB16" s="480">
        <v>0</v>
      </c>
      <c r="AXC16" s="480">
        <v>0</v>
      </c>
      <c r="AXD16" s="480">
        <v>0</v>
      </c>
      <c r="AXE16" s="480">
        <v>0</v>
      </c>
      <c r="AXF16" s="480">
        <v>0</v>
      </c>
      <c r="AXG16" s="480">
        <v>0</v>
      </c>
      <c r="AXH16" s="480">
        <v>0</v>
      </c>
      <c r="AXI16" s="480">
        <v>0</v>
      </c>
      <c r="AXJ16" s="480">
        <v>0</v>
      </c>
      <c r="AXK16" s="480">
        <v>0</v>
      </c>
      <c r="AXL16" s="513">
        <v>7021.9069999999992</v>
      </c>
      <c r="AXM16" s="513">
        <v>7017.6850000000004</v>
      </c>
      <c r="AXN16" s="513">
        <v>13655.712</v>
      </c>
      <c r="AXO16" s="513">
        <v>6615.8940000000002</v>
      </c>
      <c r="AXP16" s="480">
        <v>0</v>
      </c>
      <c r="AXQ16" s="480">
        <v>0</v>
      </c>
      <c r="AXR16" s="480">
        <v>0</v>
      </c>
      <c r="AXS16" s="480">
        <v>0</v>
      </c>
      <c r="AXT16" s="480">
        <v>0</v>
      </c>
      <c r="AXU16" s="480">
        <v>0</v>
      </c>
      <c r="AXV16" s="480">
        <v>0</v>
      </c>
      <c r="AXW16" s="480">
        <v>0</v>
      </c>
      <c r="AXX16" s="480">
        <v>0</v>
      </c>
      <c r="AXY16" s="480">
        <v>0</v>
      </c>
      <c r="AXZ16" s="480">
        <v>0</v>
      </c>
      <c r="AYA16" s="480">
        <v>0</v>
      </c>
      <c r="AYB16" s="235">
        <v>34311.198000000004</v>
      </c>
      <c r="AYC16" s="480">
        <v>0</v>
      </c>
      <c r="AYD16" s="480">
        <v>0</v>
      </c>
      <c r="AYE16" s="480">
        <v>0</v>
      </c>
      <c r="AYF16" s="480">
        <v>0</v>
      </c>
      <c r="AYG16" s="480">
        <v>0</v>
      </c>
      <c r="AYH16" s="480">
        <v>0</v>
      </c>
      <c r="AYI16" s="480">
        <v>0</v>
      </c>
      <c r="AYJ16" s="480">
        <v>0</v>
      </c>
      <c r="AYK16" s="480">
        <v>0</v>
      </c>
      <c r="AYL16" s="513">
        <v>7233.2300000000005</v>
      </c>
      <c r="AYM16" s="480">
        <v>0</v>
      </c>
      <c r="AYN16" s="513">
        <v>7243.683</v>
      </c>
      <c r="AYO16" s="480">
        <v>0</v>
      </c>
      <c r="AYP16" s="480">
        <v>0</v>
      </c>
      <c r="AYQ16" s="513">
        <v>7160.34</v>
      </c>
      <c r="AYR16" s="513">
        <v>6257.2159999999994</v>
      </c>
      <c r="AYS16" s="480">
        <v>0</v>
      </c>
      <c r="AYT16" s="480">
        <v>0</v>
      </c>
      <c r="AYU16" s="480">
        <v>0</v>
      </c>
      <c r="AYV16" s="480">
        <v>0</v>
      </c>
      <c r="AYW16" s="480">
        <v>0</v>
      </c>
      <c r="AYX16" s="480">
        <v>0</v>
      </c>
      <c r="AYY16" s="480">
        <v>0</v>
      </c>
      <c r="AYZ16" s="480">
        <v>0</v>
      </c>
      <c r="AZA16" s="480">
        <v>0</v>
      </c>
      <c r="AZB16" s="480">
        <v>0</v>
      </c>
      <c r="AZC16" s="480">
        <v>0</v>
      </c>
      <c r="AZD16" s="480">
        <v>0</v>
      </c>
      <c r="AZE16" s="480">
        <v>0</v>
      </c>
      <c r="AZF16" s="480">
        <v>0</v>
      </c>
      <c r="AZG16" s="235">
        <v>27894.469000000001</v>
      </c>
      <c r="AZH16" s="480">
        <f>Actual!F206</f>
        <v>0</v>
      </c>
      <c r="AZI16" s="480">
        <f>Actual!G206</f>
        <v>0</v>
      </c>
      <c r="AZJ16" s="480">
        <f>Actual!H206</f>
        <v>0</v>
      </c>
      <c r="AZK16" s="480">
        <f>Actual!I206</f>
        <v>0</v>
      </c>
      <c r="AZL16" s="480">
        <f>Actual!J205</f>
        <v>0</v>
      </c>
      <c r="AZM16" s="480">
        <f>Actual!K205</f>
        <v>0</v>
      </c>
      <c r="AZN16" s="480">
        <f>Actual!L206</f>
        <v>0</v>
      </c>
      <c r="AZO16" s="480">
        <f>Actual!M206</f>
        <v>0</v>
      </c>
      <c r="AZP16" s="480">
        <f>Actual!N206</f>
        <v>0</v>
      </c>
      <c r="AZQ16" s="480">
        <f>Actual!O206</f>
        <v>0</v>
      </c>
      <c r="AZR16" s="480">
        <f>Actual!P206</f>
        <v>0</v>
      </c>
      <c r="AZS16" s="480">
        <f>Actual!Q206</f>
        <v>0</v>
      </c>
      <c r="AZT16" s="480">
        <f>Actual!R206</f>
        <v>0</v>
      </c>
      <c r="AZU16" s="480" t="e">
        <f>Actual!#REF!</f>
        <v>#REF!</v>
      </c>
      <c r="AZV16" s="480" t="e">
        <f>Actual!#REF!</f>
        <v>#REF!</v>
      </c>
      <c r="AZW16" s="480">
        <f>Actual!U206</f>
        <v>0</v>
      </c>
      <c r="AZX16" s="480">
        <f>Actual!V206</f>
        <v>0</v>
      </c>
      <c r="AZY16" s="480">
        <f>Actual!W206</f>
        <v>0</v>
      </c>
      <c r="AZZ16" s="480">
        <f>Actual!X206</f>
        <v>0</v>
      </c>
      <c r="BAA16" s="480">
        <f>Actual!Y206</f>
        <v>0</v>
      </c>
      <c r="BAB16" s="480">
        <f>Actual!Z206</f>
        <v>0</v>
      </c>
      <c r="BAC16" s="480">
        <f>Actual!AA206</f>
        <v>0</v>
      </c>
      <c r="BAD16" s="480">
        <f>Actual!AB206</f>
        <v>0</v>
      </c>
      <c r="BAE16" s="480">
        <f>Actual!AC206</f>
        <v>0</v>
      </c>
      <c r="BAF16" s="480">
        <f>Actual!AD206</f>
        <v>0</v>
      </c>
      <c r="BAG16" s="480">
        <f>Actual!AE206</f>
        <v>0</v>
      </c>
      <c r="BAH16" s="480">
        <f>Actual!AF206</f>
        <v>0</v>
      </c>
      <c r="BAI16" s="480">
        <f>Actual!AG206</f>
        <v>0</v>
      </c>
      <c r="BAJ16" s="480">
        <f>Actual!AH206</f>
        <v>0</v>
      </c>
      <c r="BAK16" s="480">
        <f>Actual!AI206</f>
        <v>0</v>
      </c>
      <c r="BAL16" s="480">
        <f>Actual!AJ206</f>
        <v>0</v>
      </c>
      <c r="BAM16" s="235" t="e">
        <f t="shared" si="27"/>
        <v>#REF!</v>
      </c>
    </row>
    <row r="17" spans="2:1391" s="243" customFormat="1" ht="15" hidden="1" customHeight="1">
      <c r="B17" s="279" t="s">
        <v>365</v>
      </c>
      <c r="C17" s="477">
        <v>0</v>
      </c>
      <c r="D17" s="477">
        <v>0</v>
      </c>
      <c r="E17" s="477">
        <v>0</v>
      </c>
      <c r="F17" s="477">
        <v>0</v>
      </c>
      <c r="G17" s="477">
        <v>0</v>
      </c>
      <c r="H17" s="477">
        <v>0</v>
      </c>
      <c r="I17" s="477">
        <v>0</v>
      </c>
      <c r="J17" s="477">
        <v>0</v>
      </c>
      <c r="K17" s="477">
        <v>0</v>
      </c>
      <c r="L17" s="477">
        <v>0</v>
      </c>
      <c r="M17" s="477">
        <v>0</v>
      </c>
      <c r="N17" s="477">
        <v>0</v>
      </c>
      <c r="O17" s="477">
        <v>0</v>
      </c>
      <c r="P17" s="477">
        <v>0</v>
      </c>
      <c r="Q17" s="477">
        <v>0</v>
      </c>
      <c r="R17" s="477">
        <v>0</v>
      </c>
      <c r="S17" s="477">
        <v>0</v>
      </c>
      <c r="T17" s="477">
        <v>0</v>
      </c>
      <c r="U17" s="477">
        <v>0</v>
      </c>
      <c r="V17" s="477">
        <v>0</v>
      </c>
      <c r="W17" s="477">
        <v>0</v>
      </c>
      <c r="X17" s="477">
        <v>0</v>
      </c>
      <c r="Y17" s="477">
        <v>0</v>
      </c>
      <c r="Z17" s="477">
        <v>0</v>
      </c>
      <c r="AA17" s="477">
        <v>0</v>
      </c>
      <c r="AB17" s="477">
        <v>0</v>
      </c>
      <c r="AC17" s="477">
        <v>0</v>
      </c>
      <c r="AD17" s="477">
        <v>0</v>
      </c>
      <c r="AE17" s="477">
        <v>0</v>
      </c>
      <c r="AF17" s="477">
        <v>0</v>
      </c>
      <c r="AG17" s="477">
        <v>0</v>
      </c>
      <c r="AH17" s="276">
        <f t="shared" si="26"/>
        <v>0</v>
      </c>
      <c r="AI17" s="244"/>
      <c r="AJ17" s="244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3"/>
      <c r="AV17" s="274"/>
      <c r="AW17" s="273"/>
      <c r="AX17" s="273"/>
      <c r="AY17" s="273"/>
      <c r="AZ17" s="273"/>
      <c r="BA17" s="273"/>
      <c r="BB17" s="275"/>
      <c r="BC17" s="274"/>
      <c r="BD17" s="274"/>
      <c r="BE17" s="274"/>
      <c r="BF17" s="274"/>
      <c r="BG17" s="274"/>
      <c r="BH17" s="274"/>
      <c r="BI17" s="275"/>
      <c r="BJ17" s="275"/>
      <c r="BK17" s="276"/>
      <c r="BL17" s="244"/>
      <c r="BM17" s="244"/>
      <c r="BN17" s="209"/>
      <c r="BO17" s="209"/>
      <c r="BP17" s="209"/>
      <c r="BQ17" s="209"/>
      <c r="BR17" s="277"/>
      <c r="BS17" s="273"/>
      <c r="BT17" s="273"/>
      <c r="BU17" s="273"/>
      <c r="BV17" s="273"/>
      <c r="BW17" s="273"/>
      <c r="BX17" s="273"/>
      <c r="BY17" s="273"/>
      <c r="BZ17" s="273"/>
      <c r="CA17" s="273"/>
      <c r="CB17" s="273"/>
      <c r="CC17" s="273"/>
      <c r="CD17" s="273"/>
      <c r="CE17" s="209"/>
      <c r="CF17" s="277"/>
      <c r="CG17" s="277"/>
      <c r="CH17" s="277"/>
      <c r="CI17" s="277"/>
      <c r="CJ17" s="277"/>
      <c r="CK17" s="277"/>
      <c r="CL17" s="278"/>
      <c r="CM17" s="277"/>
      <c r="CN17" s="273"/>
      <c r="CO17" s="278"/>
      <c r="CP17" s="273"/>
      <c r="CQ17" s="276"/>
      <c r="CR17" s="244"/>
      <c r="CS17" s="244"/>
      <c r="CT17" s="209"/>
      <c r="CU17" s="209"/>
      <c r="CV17" s="209"/>
      <c r="CW17" s="209"/>
      <c r="CX17" s="277"/>
      <c r="CY17" s="273"/>
      <c r="CZ17" s="273"/>
      <c r="DA17" s="273"/>
      <c r="DB17" s="273"/>
      <c r="DC17" s="273"/>
      <c r="DD17" s="273"/>
      <c r="DE17" s="273"/>
      <c r="DF17" s="273"/>
      <c r="DG17" s="273"/>
      <c r="DH17" s="273"/>
      <c r="DI17" s="273"/>
      <c r="DJ17" s="273"/>
      <c r="DK17" s="209"/>
      <c r="DL17" s="277"/>
      <c r="DM17" s="277"/>
      <c r="DN17" s="277"/>
      <c r="DO17" s="277"/>
      <c r="DP17" s="277"/>
      <c r="DQ17" s="277"/>
      <c r="DR17" s="278"/>
      <c r="DS17" s="277"/>
      <c r="DT17" s="273"/>
      <c r="DU17" s="278"/>
      <c r="DV17" s="273"/>
      <c r="DW17" s="276"/>
      <c r="DX17" s="244"/>
      <c r="DY17" s="244"/>
      <c r="DZ17" s="209"/>
      <c r="EA17" s="209"/>
      <c r="EB17" s="209"/>
      <c r="EC17" s="209"/>
      <c r="ED17" s="280" t="s">
        <v>366</v>
      </c>
      <c r="EE17" s="283"/>
      <c r="EF17" s="283"/>
      <c r="EG17" s="283"/>
      <c r="EH17" s="280" t="s">
        <v>366</v>
      </c>
      <c r="EI17" s="273"/>
      <c r="EJ17" s="273"/>
      <c r="EK17" s="273"/>
      <c r="EL17" s="273"/>
      <c r="EM17" s="273"/>
      <c r="EN17" s="273"/>
      <c r="EO17" s="273"/>
      <c r="EP17" s="273"/>
      <c r="EQ17" s="209"/>
      <c r="ER17" s="277"/>
      <c r="ES17" s="273"/>
      <c r="ET17" s="274"/>
      <c r="EU17" s="273"/>
      <c r="EV17" s="273"/>
      <c r="EW17" s="273"/>
      <c r="EX17" s="274"/>
      <c r="EY17" s="274"/>
      <c r="EZ17" s="273"/>
      <c r="FA17" s="278"/>
      <c r="FB17" s="273"/>
      <c r="FC17" s="276"/>
      <c r="FD17" s="244"/>
      <c r="FE17" s="244"/>
      <c r="FF17" s="209"/>
      <c r="FG17" s="209"/>
      <c r="FH17" s="209"/>
      <c r="FI17" s="209"/>
      <c r="FJ17" s="277"/>
      <c r="FK17" s="273"/>
      <c r="FL17" s="273"/>
      <c r="FM17" s="273"/>
      <c r="FN17" s="273"/>
      <c r="FO17" s="273"/>
      <c r="FP17" s="273"/>
      <c r="FQ17" s="273"/>
      <c r="FR17" s="273"/>
      <c r="FS17" s="273"/>
      <c r="FT17" s="273"/>
      <c r="FU17" s="273"/>
      <c r="FV17" s="273"/>
      <c r="FW17" s="209"/>
      <c r="FX17" s="277"/>
      <c r="FY17" s="277"/>
      <c r="FZ17" s="277"/>
      <c r="GA17" s="277"/>
      <c r="GB17" s="277"/>
      <c r="GC17" s="277"/>
      <c r="GD17" s="278"/>
      <c r="GE17" s="277"/>
      <c r="GF17" s="273"/>
      <c r="GG17" s="278"/>
      <c r="GH17" s="273"/>
      <c r="GI17" s="276"/>
      <c r="GJ17" s="244"/>
      <c r="GK17" s="244"/>
      <c r="GL17" s="209"/>
      <c r="GM17" s="209"/>
      <c r="GN17" s="209"/>
      <c r="GO17" s="209"/>
      <c r="GP17" s="277"/>
      <c r="GQ17" s="273"/>
      <c r="GR17" s="274"/>
      <c r="GS17" s="273"/>
      <c r="GT17" s="273"/>
      <c r="GU17" s="273"/>
      <c r="GV17" s="274"/>
      <c r="GW17" s="274"/>
      <c r="GX17" s="273"/>
      <c r="GY17" s="273"/>
      <c r="GZ17" s="273"/>
      <c r="HA17" s="273"/>
      <c r="HB17" s="273"/>
      <c r="HC17" s="209"/>
      <c r="HD17" s="277"/>
      <c r="HE17" s="277"/>
      <c r="HF17" s="277"/>
      <c r="HG17" s="277"/>
      <c r="HH17" s="277"/>
      <c r="HI17" s="277"/>
      <c r="HJ17" s="278"/>
      <c r="HK17" s="277"/>
      <c r="HL17" s="273"/>
      <c r="HM17" s="278"/>
      <c r="HN17" s="273"/>
      <c r="HO17" s="276"/>
      <c r="HP17" s="244"/>
      <c r="HQ17" s="244"/>
      <c r="HR17" s="209"/>
      <c r="HS17" s="209"/>
      <c r="HT17" s="209"/>
      <c r="HU17" s="209"/>
      <c r="HV17" s="277"/>
      <c r="HW17" s="273"/>
      <c r="HX17" s="273"/>
      <c r="HY17" s="273"/>
      <c r="HZ17" s="273"/>
      <c r="IA17" s="273"/>
      <c r="IB17" s="273"/>
      <c r="IC17" s="273"/>
      <c r="ID17" s="273"/>
      <c r="IE17" s="273"/>
      <c r="IF17" s="273"/>
      <c r="IG17" s="273"/>
      <c r="IH17" s="273"/>
      <c r="II17" s="209"/>
      <c r="IJ17" s="277"/>
      <c r="IK17" s="277"/>
      <c r="IL17" s="277"/>
      <c r="IM17" s="277"/>
      <c r="IN17" s="277"/>
      <c r="IO17" s="277"/>
      <c r="IP17" s="278"/>
      <c r="IQ17" s="277"/>
      <c r="IR17" s="273"/>
      <c r="IS17" s="278"/>
      <c r="IT17" s="273"/>
      <c r="IU17" s="276"/>
      <c r="IV17" s="244"/>
      <c r="IW17" s="244"/>
      <c r="IX17" s="272"/>
      <c r="IY17" s="272"/>
      <c r="IZ17" s="272"/>
      <c r="JA17" s="272"/>
      <c r="JB17" s="274"/>
      <c r="JC17" s="273"/>
      <c r="JD17" s="273"/>
      <c r="JE17" s="273"/>
      <c r="JF17" s="273"/>
      <c r="JG17" s="273"/>
      <c r="JH17" s="273"/>
      <c r="JI17" s="273"/>
      <c r="JJ17" s="273"/>
      <c r="JK17" s="273"/>
      <c r="JL17" s="273"/>
      <c r="JM17" s="273"/>
      <c r="JN17" s="273"/>
      <c r="JO17" s="272"/>
      <c r="JP17" s="274"/>
      <c r="JQ17" s="274"/>
      <c r="JR17" s="274"/>
      <c r="JS17" s="274"/>
      <c r="JT17" s="274"/>
      <c r="JU17" s="274"/>
      <c r="JV17" s="275"/>
      <c r="JW17" s="274"/>
      <c r="JX17" s="273"/>
      <c r="JY17" s="275"/>
      <c r="JZ17" s="273"/>
      <c r="KA17" s="276"/>
      <c r="KB17" s="244"/>
      <c r="KC17" s="244"/>
      <c r="KD17" s="209"/>
      <c r="KE17" s="209"/>
      <c r="KF17" s="209"/>
      <c r="KG17" s="209"/>
      <c r="KH17" s="277"/>
      <c r="KI17" s="273"/>
      <c r="KJ17" s="273"/>
      <c r="KK17" s="273"/>
      <c r="KL17" s="273"/>
      <c r="KM17" s="273"/>
      <c r="KN17" s="273"/>
      <c r="KO17" s="273"/>
      <c r="KP17" s="273"/>
      <c r="KQ17" s="273"/>
      <c r="KR17" s="273"/>
      <c r="KS17" s="273"/>
      <c r="KT17" s="273"/>
      <c r="KU17" s="209"/>
      <c r="KV17" s="277"/>
      <c r="KW17" s="277"/>
      <c r="KX17" s="277"/>
      <c r="KY17" s="277"/>
      <c r="KZ17" s="277"/>
      <c r="LA17" s="277"/>
      <c r="LB17" s="278"/>
      <c r="LC17" s="277"/>
      <c r="LD17" s="273"/>
      <c r="LE17" s="278"/>
      <c r="LF17" s="273"/>
      <c r="LG17" s="276"/>
      <c r="LH17" s="244"/>
      <c r="LI17" s="244"/>
      <c r="LJ17" s="209"/>
      <c r="LK17" s="209"/>
      <c r="LL17" s="209"/>
      <c r="LM17" s="209"/>
      <c r="LN17" s="277"/>
      <c r="LO17" s="273"/>
      <c r="LP17" s="273"/>
      <c r="LQ17" s="273"/>
      <c r="LR17" s="273"/>
      <c r="LS17" s="273"/>
      <c r="LT17" s="273"/>
      <c r="LU17" s="273"/>
      <c r="LV17" s="273"/>
      <c r="LW17" s="273"/>
      <c r="LX17" s="273"/>
      <c r="LY17" s="273"/>
      <c r="LZ17" s="273"/>
      <c r="MA17" s="209"/>
      <c r="MB17" s="277"/>
      <c r="MC17" s="277"/>
      <c r="MD17" s="277"/>
      <c r="ME17" s="277"/>
      <c r="MF17" s="277"/>
      <c r="MG17" s="277"/>
      <c r="MH17" s="278"/>
      <c r="MI17" s="277"/>
      <c r="MJ17" s="273"/>
      <c r="MK17" s="278"/>
      <c r="ML17" s="273"/>
      <c r="MM17" s="276"/>
      <c r="MN17" s="244"/>
      <c r="MO17" s="244"/>
      <c r="MP17" s="209"/>
      <c r="MQ17" s="209"/>
      <c r="MR17" s="209"/>
      <c r="MS17" s="209"/>
      <c r="MT17" s="277"/>
      <c r="MU17" s="273"/>
      <c r="MV17" s="273"/>
      <c r="MW17" s="273"/>
      <c r="MX17" s="273"/>
      <c r="MY17" s="273"/>
      <c r="MZ17" s="273"/>
      <c r="NA17" s="273"/>
      <c r="NB17" s="273"/>
      <c r="NC17" s="273"/>
      <c r="ND17" s="273"/>
      <c r="NE17" s="273"/>
      <c r="NF17" s="273"/>
      <c r="NG17" s="209"/>
      <c r="NH17" s="277"/>
      <c r="NI17" s="277"/>
      <c r="NJ17" s="277"/>
      <c r="NK17" s="277"/>
      <c r="NL17" s="277"/>
      <c r="NM17" s="277"/>
      <c r="NN17" s="278"/>
      <c r="NO17" s="277"/>
      <c r="NP17" s="273"/>
      <c r="NQ17" s="278"/>
      <c r="NR17" s="273"/>
      <c r="NS17" s="276"/>
      <c r="NT17" s="277">
        <v>0</v>
      </c>
      <c r="NU17" s="277">
        <v>0</v>
      </c>
      <c r="NV17" s="277">
        <v>0</v>
      </c>
      <c r="NW17" s="277">
        <v>0</v>
      </c>
      <c r="NX17" s="277">
        <v>0</v>
      </c>
      <c r="NY17" s="277">
        <v>0</v>
      </c>
      <c r="NZ17" s="277">
        <v>0</v>
      </c>
      <c r="OA17" s="277">
        <v>0</v>
      </c>
      <c r="OB17" s="277">
        <v>0</v>
      </c>
      <c r="OC17" s="277">
        <v>0</v>
      </c>
      <c r="OD17" s="277">
        <v>0</v>
      </c>
      <c r="OE17" s="277">
        <v>0</v>
      </c>
      <c r="OF17" s="277">
        <v>0</v>
      </c>
      <c r="OG17" s="277">
        <v>0</v>
      </c>
      <c r="OH17" s="277">
        <v>0</v>
      </c>
      <c r="OI17" s="277">
        <v>0</v>
      </c>
      <c r="OJ17" s="277">
        <v>0</v>
      </c>
      <c r="OK17" s="277">
        <v>0</v>
      </c>
      <c r="OL17" s="277">
        <v>0</v>
      </c>
      <c r="OM17" s="277">
        <v>0</v>
      </c>
      <c r="ON17" s="277">
        <v>0</v>
      </c>
      <c r="OO17" s="277">
        <v>0</v>
      </c>
      <c r="OP17" s="277">
        <v>0</v>
      </c>
      <c r="OQ17" s="277">
        <v>0</v>
      </c>
      <c r="OR17" s="277">
        <v>0</v>
      </c>
      <c r="OS17" s="277">
        <v>0</v>
      </c>
      <c r="OT17" s="277">
        <v>0</v>
      </c>
      <c r="OU17" s="277">
        <v>0</v>
      </c>
      <c r="OV17" s="277">
        <v>0</v>
      </c>
      <c r="OW17" s="277">
        <v>0</v>
      </c>
      <c r="OX17" s="277">
        <v>0</v>
      </c>
      <c r="OY17" s="276">
        <f t="shared" si="9"/>
        <v>0</v>
      </c>
      <c r="OZ17" s="277">
        <v>0</v>
      </c>
      <c r="PA17" s="277">
        <v>0</v>
      </c>
      <c r="PB17" s="277">
        <v>0</v>
      </c>
      <c r="PC17" s="277">
        <v>0</v>
      </c>
      <c r="PD17" s="277">
        <v>0</v>
      </c>
      <c r="PE17" s="277">
        <v>0</v>
      </c>
      <c r="PF17" s="277">
        <v>0</v>
      </c>
      <c r="PG17" s="277">
        <v>0</v>
      </c>
      <c r="PH17" s="277">
        <v>0</v>
      </c>
      <c r="PI17" s="277">
        <v>0</v>
      </c>
      <c r="PJ17" s="277">
        <v>0</v>
      </c>
      <c r="PK17" s="277">
        <v>0</v>
      </c>
      <c r="PL17" s="277">
        <v>0</v>
      </c>
      <c r="PM17" s="277">
        <v>0</v>
      </c>
      <c r="PN17" s="277">
        <v>0</v>
      </c>
      <c r="PO17" s="277">
        <v>0</v>
      </c>
      <c r="PP17" s="277">
        <v>0</v>
      </c>
      <c r="PQ17" s="277">
        <v>0</v>
      </c>
      <c r="PR17" s="277">
        <v>0</v>
      </c>
      <c r="PS17" s="277">
        <v>0</v>
      </c>
      <c r="PT17" s="277">
        <v>0</v>
      </c>
      <c r="PU17" s="277">
        <v>0</v>
      </c>
      <c r="PV17" s="277">
        <v>0</v>
      </c>
      <c r="PW17" s="277">
        <v>0</v>
      </c>
      <c r="PX17" s="277">
        <v>0</v>
      </c>
      <c r="PY17" s="277">
        <v>0</v>
      </c>
      <c r="PZ17" s="277">
        <v>0</v>
      </c>
      <c r="QA17" s="277">
        <v>0</v>
      </c>
      <c r="QB17" s="277">
        <v>0</v>
      </c>
      <c r="QC17" s="277">
        <v>0</v>
      </c>
      <c r="QD17" s="276">
        <f t="shared" si="10"/>
        <v>0</v>
      </c>
      <c r="QE17" s="277">
        <v>0</v>
      </c>
      <c r="QF17" s="277">
        <v>0</v>
      </c>
      <c r="QG17" s="277">
        <v>0</v>
      </c>
      <c r="QH17" s="277">
        <v>0</v>
      </c>
      <c r="QI17" s="277">
        <v>0</v>
      </c>
      <c r="QJ17" s="277">
        <v>0</v>
      </c>
      <c r="QK17" s="277">
        <v>0</v>
      </c>
      <c r="QL17" s="277">
        <v>0</v>
      </c>
      <c r="QM17" s="277">
        <v>0</v>
      </c>
      <c r="QN17" s="277">
        <v>0</v>
      </c>
      <c r="QO17" s="277">
        <v>0</v>
      </c>
      <c r="QP17" s="277">
        <v>0</v>
      </c>
      <c r="QQ17" s="277">
        <v>0</v>
      </c>
      <c r="QR17" s="277">
        <v>0</v>
      </c>
      <c r="QS17" s="277">
        <v>0</v>
      </c>
      <c r="QT17" s="277">
        <v>0</v>
      </c>
      <c r="QU17" s="277">
        <v>0</v>
      </c>
      <c r="QV17" s="277">
        <v>0</v>
      </c>
      <c r="QW17" s="277">
        <v>0</v>
      </c>
      <c r="QX17" s="277">
        <v>0</v>
      </c>
      <c r="QY17" s="277">
        <v>0</v>
      </c>
      <c r="QZ17" s="277">
        <v>0</v>
      </c>
      <c r="RA17" s="277">
        <v>0</v>
      </c>
      <c r="RB17" s="277">
        <v>0</v>
      </c>
      <c r="RC17" s="277">
        <v>0</v>
      </c>
      <c r="RD17" s="277">
        <v>0</v>
      </c>
      <c r="RE17" s="277">
        <v>0</v>
      </c>
      <c r="RF17" s="277">
        <v>0</v>
      </c>
      <c r="RG17" s="277">
        <v>0</v>
      </c>
      <c r="RH17" s="277">
        <v>0</v>
      </c>
      <c r="RI17" s="277">
        <v>0</v>
      </c>
      <c r="RJ17" s="276">
        <v>0</v>
      </c>
      <c r="RK17" s="277">
        <v>0</v>
      </c>
      <c r="RL17" s="277">
        <v>0</v>
      </c>
      <c r="RM17" s="277">
        <v>0</v>
      </c>
      <c r="RN17" s="277">
        <v>0</v>
      </c>
      <c r="RO17" s="277">
        <v>0</v>
      </c>
      <c r="RP17" s="277">
        <v>0</v>
      </c>
      <c r="RQ17" s="277">
        <v>0</v>
      </c>
      <c r="RR17" s="277">
        <v>0</v>
      </c>
      <c r="RS17" s="277">
        <v>0</v>
      </c>
      <c r="RT17" s="277">
        <v>0</v>
      </c>
      <c r="RU17" s="277">
        <v>0</v>
      </c>
      <c r="RV17" s="277">
        <v>0</v>
      </c>
      <c r="RW17" s="277">
        <v>0</v>
      </c>
      <c r="RX17" s="277">
        <v>0</v>
      </c>
      <c r="RY17" s="277">
        <v>0</v>
      </c>
      <c r="RZ17" s="277">
        <v>0</v>
      </c>
      <c r="SA17" s="277">
        <v>0</v>
      </c>
      <c r="SB17" s="277">
        <v>0</v>
      </c>
      <c r="SC17" s="277">
        <v>0</v>
      </c>
      <c r="SD17" s="277">
        <v>0</v>
      </c>
      <c r="SE17" s="277">
        <v>0</v>
      </c>
      <c r="SF17" s="277">
        <v>0</v>
      </c>
      <c r="SG17" s="277">
        <v>0</v>
      </c>
      <c r="SH17" s="277">
        <v>0</v>
      </c>
      <c r="SI17" s="277">
        <v>0</v>
      </c>
      <c r="SJ17" s="277">
        <v>0</v>
      </c>
      <c r="SK17" s="277">
        <v>0</v>
      </c>
      <c r="SL17" s="277">
        <v>0</v>
      </c>
      <c r="SM17" s="277">
        <v>0</v>
      </c>
      <c r="SN17" s="277">
        <v>0</v>
      </c>
      <c r="SO17" s="235">
        <v>0</v>
      </c>
      <c r="SP17" s="277">
        <v>0</v>
      </c>
      <c r="SQ17" s="277">
        <v>0</v>
      </c>
      <c r="SR17" s="277">
        <v>0</v>
      </c>
      <c r="SS17" s="277">
        <v>0</v>
      </c>
      <c r="ST17" s="277">
        <v>0</v>
      </c>
      <c r="SU17" s="277">
        <v>0</v>
      </c>
      <c r="SV17" s="277">
        <v>0</v>
      </c>
      <c r="SW17" s="277">
        <v>0</v>
      </c>
      <c r="SX17" s="277">
        <v>0</v>
      </c>
      <c r="SY17" s="277">
        <v>0</v>
      </c>
      <c r="SZ17" s="277">
        <v>0</v>
      </c>
      <c r="TA17" s="277">
        <v>0</v>
      </c>
      <c r="TB17" s="277">
        <v>0</v>
      </c>
      <c r="TC17" s="277">
        <v>0</v>
      </c>
      <c r="TD17" s="277">
        <v>0</v>
      </c>
      <c r="TE17" s="277">
        <v>0</v>
      </c>
      <c r="TF17" s="277">
        <v>0</v>
      </c>
      <c r="TG17" s="277">
        <v>0</v>
      </c>
      <c r="TH17" s="277">
        <v>0</v>
      </c>
      <c r="TI17" s="277">
        <v>0</v>
      </c>
      <c r="TJ17" s="277">
        <v>0</v>
      </c>
      <c r="TK17" s="277">
        <v>0</v>
      </c>
      <c r="TL17" s="277">
        <v>0</v>
      </c>
      <c r="TM17" s="277">
        <v>0</v>
      </c>
      <c r="TN17" s="277">
        <v>0</v>
      </c>
      <c r="TO17" s="277">
        <v>0</v>
      </c>
      <c r="TP17" s="277">
        <v>0</v>
      </c>
      <c r="TQ17" s="277">
        <v>0</v>
      </c>
      <c r="TR17" s="277">
        <v>0</v>
      </c>
      <c r="TS17" s="277">
        <v>0</v>
      </c>
      <c r="TT17" s="277">
        <v>0</v>
      </c>
      <c r="TU17" s="235">
        <v>0</v>
      </c>
      <c r="TV17" s="277">
        <v>0</v>
      </c>
      <c r="TW17" s="277">
        <v>0</v>
      </c>
      <c r="TX17" s="277">
        <v>0</v>
      </c>
      <c r="TY17" s="277">
        <v>0</v>
      </c>
      <c r="TZ17" s="277">
        <v>0</v>
      </c>
      <c r="UA17" s="277">
        <v>0</v>
      </c>
      <c r="UB17" s="277">
        <v>0</v>
      </c>
      <c r="UC17" s="277">
        <v>0</v>
      </c>
      <c r="UD17" s="277">
        <v>0</v>
      </c>
      <c r="UE17" s="277">
        <v>0</v>
      </c>
      <c r="UF17" s="277">
        <v>0</v>
      </c>
      <c r="UG17" s="277">
        <v>0</v>
      </c>
      <c r="UH17" s="277">
        <v>0</v>
      </c>
      <c r="UI17" s="277">
        <v>0</v>
      </c>
      <c r="UJ17" s="277">
        <v>0</v>
      </c>
      <c r="UK17" s="277">
        <v>0</v>
      </c>
      <c r="UL17" s="277">
        <v>0</v>
      </c>
      <c r="UM17" s="277">
        <v>0</v>
      </c>
      <c r="UN17" s="277">
        <v>0</v>
      </c>
      <c r="UO17" s="277">
        <v>0</v>
      </c>
      <c r="UP17" s="277">
        <v>0</v>
      </c>
      <c r="UQ17" s="277">
        <v>0</v>
      </c>
      <c r="UR17" s="277">
        <v>0</v>
      </c>
      <c r="US17" s="277">
        <v>0</v>
      </c>
      <c r="UT17" s="277">
        <v>0</v>
      </c>
      <c r="UU17" s="277">
        <v>0</v>
      </c>
      <c r="UV17" s="277">
        <v>0</v>
      </c>
      <c r="UW17" s="277">
        <v>0</v>
      </c>
      <c r="UX17" s="277">
        <v>0</v>
      </c>
      <c r="UY17" s="277">
        <v>0</v>
      </c>
      <c r="UZ17" s="277">
        <v>0</v>
      </c>
      <c r="VA17" s="235">
        <v>0</v>
      </c>
      <c r="VB17" s="277">
        <v>0</v>
      </c>
      <c r="VC17" s="277">
        <v>0</v>
      </c>
      <c r="VD17" s="277">
        <v>0</v>
      </c>
      <c r="VE17" s="277">
        <v>0</v>
      </c>
      <c r="VF17" s="277">
        <v>0</v>
      </c>
      <c r="VG17" s="277">
        <v>0</v>
      </c>
      <c r="VH17" s="277">
        <v>0</v>
      </c>
      <c r="VI17" s="277">
        <v>0</v>
      </c>
      <c r="VJ17" s="277">
        <v>0</v>
      </c>
      <c r="VK17" s="277">
        <v>0</v>
      </c>
      <c r="VL17" s="277">
        <v>0</v>
      </c>
      <c r="VM17" s="277">
        <v>0</v>
      </c>
      <c r="VN17" s="277">
        <v>0</v>
      </c>
      <c r="VO17" s="277">
        <v>0</v>
      </c>
      <c r="VP17" s="277">
        <v>0</v>
      </c>
      <c r="VQ17" s="277">
        <v>0</v>
      </c>
      <c r="VR17" s="277">
        <v>0</v>
      </c>
      <c r="VS17" s="277">
        <v>0</v>
      </c>
      <c r="VT17" s="277">
        <v>0</v>
      </c>
      <c r="VU17" s="277">
        <v>0</v>
      </c>
      <c r="VV17" s="277">
        <v>0</v>
      </c>
      <c r="VW17" s="277">
        <v>0</v>
      </c>
      <c r="VX17" s="277">
        <v>0</v>
      </c>
      <c r="VY17" s="277">
        <v>0</v>
      </c>
      <c r="VZ17" s="277">
        <v>0</v>
      </c>
      <c r="WA17" s="277">
        <v>0</v>
      </c>
      <c r="WB17" s="277">
        <v>0</v>
      </c>
      <c r="WC17" s="277">
        <v>0</v>
      </c>
      <c r="WD17" s="277">
        <v>0</v>
      </c>
      <c r="WE17" s="277">
        <v>0</v>
      </c>
      <c r="WF17" s="235">
        <v>0</v>
      </c>
      <c r="WG17" s="277">
        <v>0</v>
      </c>
      <c r="WH17" s="277">
        <v>0</v>
      </c>
      <c r="WI17" s="277">
        <v>0</v>
      </c>
      <c r="WJ17" s="277">
        <v>0</v>
      </c>
      <c r="WK17" s="277">
        <v>0</v>
      </c>
      <c r="WL17" s="277">
        <v>0</v>
      </c>
      <c r="WM17" s="277">
        <v>0</v>
      </c>
      <c r="WN17" s="277">
        <v>0</v>
      </c>
      <c r="WO17" s="277">
        <v>0</v>
      </c>
      <c r="WP17" s="277">
        <v>0</v>
      </c>
      <c r="WQ17" s="277">
        <v>0</v>
      </c>
      <c r="WR17" s="277">
        <v>0</v>
      </c>
      <c r="WS17" s="277">
        <v>0</v>
      </c>
      <c r="WT17" s="277">
        <v>0</v>
      </c>
      <c r="WU17" s="277">
        <v>0</v>
      </c>
      <c r="WV17" s="277">
        <v>0</v>
      </c>
      <c r="WW17" s="277">
        <v>0</v>
      </c>
      <c r="WX17" s="277">
        <v>0</v>
      </c>
      <c r="WY17" s="277">
        <v>0</v>
      </c>
      <c r="WZ17" s="277">
        <v>0</v>
      </c>
      <c r="XA17" s="277">
        <v>0</v>
      </c>
      <c r="XB17" s="277">
        <v>0</v>
      </c>
      <c r="XC17" s="277">
        <v>0</v>
      </c>
      <c r="XD17" s="277">
        <v>0</v>
      </c>
      <c r="XE17" s="277">
        <v>0</v>
      </c>
      <c r="XF17" s="277">
        <v>0</v>
      </c>
      <c r="XG17" s="277">
        <v>0</v>
      </c>
      <c r="XH17" s="277">
        <v>0</v>
      </c>
      <c r="XI17" s="277">
        <v>0</v>
      </c>
      <c r="XJ17" s="277">
        <v>0</v>
      </c>
      <c r="XK17" s="277">
        <v>0</v>
      </c>
      <c r="XL17" s="235">
        <v>0</v>
      </c>
      <c r="XM17" s="277">
        <v>0</v>
      </c>
      <c r="XN17" s="277">
        <v>0</v>
      </c>
      <c r="XO17" s="277">
        <v>0</v>
      </c>
      <c r="XP17" s="277">
        <v>0</v>
      </c>
      <c r="XQ17" s="277">
        <v>0</v>
      </c>
      <c r="XR17" s="277">
        <v>0</v>
      </c>
      <c r="XS17" s="277">
        <v>0</v>
      </c>
      <c r="XT17" s="277">
        <v>0</v>
      </c>
      <c r="XU17" s="277">
        <v>0</v>
      </c>
      <c r="XV17" s="277">
        <v>0</v>
      </c>
      <c r="XW17" s="277">
        <v>0</v>
      </c>
      <c r="XX17" s="277">
        <v>0</v>
      </c>
      <c r="XY17" s="277">
        <v>0</v>
      </c>
      <c r="XZ17" s="277">
        <v>0</v>
      </c>
      <c r="YA17" s="277">
        <v>0</v>
      </c>
      <c r="YB17" s="277">
        <v>0</v>
      </c>
      <c r="YC17" s="277">
        <v>0</v>
      </c>
      <c r="YD17" s="277">
        <v>0</v>
      </c>
      <c r="YE17" s="277">
        <v>0</v>
      </c>
      <c r="YF17" s="277">
        <v>0</v>
      </c>
      <c r="YG17" s="277">
        <v>0</v>
      </c>
      <c r="YH17" s="277">
        <v>0</v>
      </c>
      <c r="YI17" s="277">
        <v>0</v>
      </c>
      <c r="YJ17" s="277">
        <v>0</v>
      </c>
      <c r="YK17" s="277">
        <v>0</v>
      </c>
      <c r="YL17" s="277">
        <v>0</v>
      </c>
      <c r="YM17" s="277">
        <v>0</v>
      </c>
      <c r="YN17" s="277">
        <v>0</v>
      </c>
      <c r="YO17" s="277">
        <v>0</v>
      </c>
      <c r="YP17" s="277">
        <v>0</v>
      </c>
      <c r="YQ17" s="277">
        <v>0</v>
      </c>
      <c r="YR17" s="235">
        <v>0</v>
      </c>
      <c r="YS17" s="277">
        <v>0</v>
      </c>
      <c r="YT17" s="277">
        <v>0</v>
      </c>
      <c r="YU17" s="277">
        <v>0</v>
      </c>
      <c r="YV17" s="277">
        <v>0</v>
      </c>
      <c r="YW17" s="277">
        <v>0</v>
      </c>
      <c r="YX17" s="277">
        <v>0</v>
      </c>
      <c r="YY17" s="277">
        <v>0</v>
      </c>
      <c r="YZ17" s="277">
        <v>0</v>
      </c>
      <c r="ZA17" s="277">
        <v>0</v>
      </c>
      <c r="ZB17" s="277">
        <v>0</v>
      </c>
      <c r="ZC17" s="277">
        <v>0</v>
      </c>
      <c r="ZD17" s="277">
        <v>0</v>
      </c>
      <c r="ZE17" s="277">
        <v>0</v>
      </c>
      <c r="ZF17" s="277">
        <v>0</v>
      </c>
      <c r="ZG17" s="277">
        <v>0</v>
      </c>
      <c r="ZH17" s="277">
        <v>0</v>
      </c>
      <c r="ZI17" s="277">
        <v>0</v>
      </c>
      <c r="ZJ17" s="277">
        <v>0</v>
      </c>
      <c r="ZK17" s="277">
        <v>0</v>
      </c>
      <c r="ZL17" s="277">
        <v>0</v>
      </c>
      <c r="ZM17" s="277">
        <v>0</v>
      </c>
      <c r="ZN17" s="277">
        <v>0</v>
      </c>
      <c r="ZO17" s="277">
        <v>0</v>
      </c>
      <c r="ZP17" s="277">
        <v>0</v>
      </c>
      <c r="ZQ17" s="277">
        <v>0</v>
      </c>
      <c r="ZR17" s="277">
        <v>0</v>
      </c>
      <c r="ZS17" s="277">
        <v>0</v>
      </c>
      <c r="ZT17" s="277">
        <v>0</v>
      </c>
      <c r="ZU17" s="277">
        <v>0</v>
      </c>
      <c r="ZV17" s="277">
        <v>0</v>
      </c>
      <c r="ZW17" s="277">
        <v>0</v>
      </c>
      <c r="ZX17" s="235">
        <v>0</v>
      </c>
      <c r="ZY17" s="277">
        <v>0</v>
      </c>
      <c r="ZZ17" s="277">
        <v>0</v>
      </c>
      <c r="AAA17" s="277">
        <v>0</v>
      </c>
      <c r="AAB17" s="277">
        <v>0</v>
      </c>
      <c r="AAC17" s="277">
        <v>0</v>
      </c>
      <c r="AAD17" s="277">
        <v>0</v>
      </c>
      <c r="AAE17" s="277">
        <v>0</v>
      </c>
      <c r="AAF17" s="277">
        <v>0</v>
      </c>
      <c r="AAG17" s="277">
        <v>0</v>
      </c>
      <c r="AAH17" s="277">
        <v>0</v>
      </c>
      <c r="AAI17" s="277">
        <v>0</v>
      </c>
      <c r="AAJ17" s="277">
        <v>0</v>
      </c>
      <c r="AAK17" s="277">
        <v>0</v>
      </c>
      <c r="AAL17" s="277">
        <v>0</v>
      </c>
      <c r="AAM17" s="277">
        <v>0</v>
      </c>
      <c r="AAN17" s="277">
        <v>0</v>
      </c>
      <c r="AAO17" s="277">
        <v>0</v>
      </c>
      <c r="AAP17" s="277">
        <v>0</v>
      </c>
      <c r="AAQ17" s="277">
        <v>0</v>
      </c>
      <c r="AAR17" s="277">
        <v>0</v>
      </c>
      <c r="AAS17" s="277">
        <v>0</v>
      </c>
      <c r="AAT17" s="277">
        <v>0</v>
      </c>
      <c r="AAU17" s="277">
        <v>0</v>
      </c>
      <c r="AAV17" s="277">
        <v>0</v>
      </c>
      <c r="AAW17" s="277">
        <v>0</v>
      </c>
      <c r="AAX17" s="277">
        <v>0</v>
      </c>
      <c r="AAY17" s="277">
        <v>0</v>
      </c>
      <c r="AAZ17" s="277">
        <v>0</v>
      </c>
      <c r="ABA17" s="276">
        <f t="shared" si="11"/>
        <v>0</v>
      </c>
      <c r="ABB17" s="277">
        <v>0</v>
      </c>
      <c r="ABC17" s="277">
        <v>0</v>
      </c>
      <c r="ABD17" s="277">
        <v>0</v>
      </c>
      <c r="ABE17" s="277">
        <v>0</v>
      </c>
      <c r="ABF17" s="277">
        <v>0</v>
      </c>
      <c r="ABG17" s="277">
        <v>0</v>
      </c>
      <c r="ABH17" s="277">
        <v>0</v>
      </c>
      <c r="ABI17" s="277">
        <v>0</v>
      </c>
      <c r="ABJ17" s="277">
        <v>0</v>
      </c>
      <c r="ABK17" s="277">
        <v>0</v>
      </c>
      <c r="ABL17" s="277">
        <v>0</v>
      </c>
      <c r="ABM17" s="277">
        <v>0</v>
      </c>
      <c r="ABN17" s="277">
        <v>0</v>
      </c>
      <c r="ABO17" s="277">
        <v>0</v>
      </c>
      <c r="ABP17" s="277">
        <v>0</v>
      </c>
      <c r="ABQ17" s="277">
        <v>0</v>
      </c>
      <c r="ABR17" s="277">
        <v>0</v>
      </c>
      <c r="ABS17" s="277">
        <v>0</v>
      </c>
      <c r="ABT17" s="277">
        <v>0</v>
      </c>
      <c r="ABU17" s="277">
        <v>0</v>
      </c>
      <c r="ABV17" s="277">
        <v>0</v>
      </c>
      <c r="ABW17" s="277">
        <v>0</v>
      </c>
      <c r="ABX17" s="277">
        <v>0</v>
      </c>
      <c r="ABY17" s="477">
        <v>0</v>
      </c>
      <c r="ABZ17" s="477">
        <v>0</v>
      </c>
      <c r="ACA17" s="477">
        <v>0</v>
      </c>
      <c r="ACB17" s="477">
        <v>0</v>
      </c>
      <c r="ACC17" s="477">
        <v>0</v>
      </c>
      <c r="ACD17" s="477">
        <v>0</v>
      </c>
      <c r="ACE17" s="477">
        <v>0</v>
      </c>
      <c r="ACF17" s="477">
        <v>0</v>
      </c>
      <c r="ACG17" s="276">
        <v>0</v>
      </c>
      <c r="ACH17" s="277">
        <v>0</v>
      </c>
      <c r="ACI17" s="277">
        <v>0</v>
      </c>
      <c r="ACJ17" s="277">
        <v>0</v>
      </c>
      <c r="ACK17" s="277">
        <v>0</v>
      </c>
      <c r="ACL17" s="277">
        <v>0</v>
      </c>
      <c r="ACM17" s="277">
        <v>0</v>
      </c>
      <c r="ACN17" s="277">
        <v>0</v>
      </c>
      <c r="ACO17" s="277">
        <v>0</v>
      </c>
      <c r="ACP17" s="277">
        <v>0</v>
      </c>
      <c r="ACQ17" s="277">
        <v>0</v>
      </c>
      <c r="ACR17" s="277">
        <v>0</v>
      </c>
      <c r="ACS17" s="277">
        <v>0</v>
      </c>
      <c r="ACT17" s="277">
        <v>0</v>
      </c>
      <c r="ACU17" s="277">
        <v>0</v>
      </c>
      <c r="ACV17" s="277">
        <v>0</v>
      </c>
      <c r="ACW17" s="277">
        <v>0</v>
      </c>
      <c r="ACX17" s="277">
        <v>0</v>
      </c>
      <c r="ACY17" s="277">
        <v>0</v>
      </c>
      <c r="ACZ17" s="277">
        <v>0</v>
      </c>
      <c r="ADA17" s="277">
        <v>0</v>
      </c>
      <c r="ADB17" s="277">
        <v>0</v>
      </c>
      <c r="ADC17" s="277">
        <v>0</v>
      </c>
      <c r="ADD17" s="277">
        <v>0</v>
      </c>
      <c r="ADE17" s="277">
        <v>0</v>
      </c>
      <c r="ADF17" s="277">
        <v>0</v>
      </c>
      <c r="ADG17" s="277">
        <v>0</v>
      </c>
      <c r="ADH17" s="277">
        <v>0</v>
      </c>
      <c r="ADI17" s="277">
        <v>0</v>
      </c>
      <c r="ADJ17" s="277">
        <v>0</v>
      </c>
      <c r="ADK17" s="277">
        <v>0</v>
      </c>
      <c r="ADL17" s="277">
        <v>0</v>
      </c>
      <c r="ADM17" s="276">
        <v>0</v>
      </c>
      <c r="ADN17" s="277">
        <v>0</v>
      </c>
      <c r="ADO17" s="277">
        <v>0</v>
      </c>
      <c r="ADP17" s="277">
        <v>0</v>
      </c>
      <c r="ADQ17" s="220">
        <v>0</v>
      </c>
      <c r="ADR17" s="220">
        <v>0</v>
      </c>
      <c r="ADS17" s="220">
        <v>0</v>
      </c>
      <c r="ADT17" s="220">
        <v>0</v>
      </c>
      <c r="ADU17" s="220">
        <v>0</v>
      </c>
      <c r="ADV17" s="220">
        <v>0</v>
      </c>
      <c r="ADW17" s="220">
        <v>0</v>
      </c>
      <c r="ADX17" s="220">
        <v>0</v>
      </c>
      <c r="ADY17" s="220">
        <v>0</v>
      </c>
      <c r="ADZ17" s="220">
        <v>0</v>
      </c>
      <c r="AEA17" s="220">
        <v>0</v>
      </c>
      <c r="AEB17" s="220">
        <v>0</v>
      </c>
      <c r="AEC17" s="220">
        <v>0</v>
      </c>
      <c r="AED17" s="220">
        <v>0</v>
      </c>
      <c r="AEE17" s="220">
        <v>0</v>
      </c>
      <c r="AEF17" s="220">
        <v>0</v>
      </c>
      <c r="AEG17" s="220">
        <v>0</v>
      </c>
      <c r="AEH17" s="220">
        <v>0</v>
      </c>
      <c r="AEI17" s="220">
        <v>0</v>
      </c>
      <c r="AEJ17" s="220">
        <v>0</v>
      </c>
      <c r="AEK17" s="220">
        <v>0</v>
      </c>
      <c r="AEL17" s="220">
        <v>0</v>
      </c>
      <c r="AEM17" s="220">
        <v>0</v>
      </c>
      <c r="AEN17" s="220">
        <v>0</v>
      </c>
      <c r="AEO17" s="277">
        <v>0</v>
      </c>
      <c r="AEP17" s="277">
        <v>0</v>
      </c>
      <c r="AEQ17" s="277">
        <v>0</v>
      </c>
      <c r="AER17" s="277">
        <v>0</v>
      </c>
      <c r="AES17" s="276">
        <v>0</v>
      </c>
      <c r="AET17" s="277">
        <v>0</v>
      </c>
      <c r="AEU17" s="277">
        <v>0</v>
      </c>
      <c r="AEV17" s="277">
        <v>0</v>
      </c>
      <c r="AEW17" s="277">
        <v>0</v>
      </c>
      <c r="AEX17" s="277">
        <v>0</v>
      </c>
      <c r="AEY17" s="277">
        <v>0</v>
      </c>
      <c r="AEZ17" s="277">
        <v>0</v>
      </c>
      <c r="AFA17" s="277">
        <v>0</v>
      </c>
      <c r="AFB17" s="277">
        <v>0</v>
      </c>
      <c r="AFC17" s="277">
        <v>0</v>
      </c>
      <c r="AFD17" s="277">
        <v>0</v>
      </c>
      <c r="AFE17" s="277">
        <v>0</v>
      </c>
      <c r="AFF17" s="277">
        <v>0</v>
      </c>
      <c r="AFG17" s="277">
        <v>0</v>
      </c>
      <c r="AFH17" s="277">
        <v>0</v>
      </c>
      <c r="AFI17" s="277">
        <v>0</v>
      </c>
      <c r="AFJ17" s="277">
        <v>0</v>
      </c>
      <c r="AFK17" s="277">
        <v>0</v>
      </c>
      <c r="AFL17" s="277">
        <v>0</v>
      </c>
      <c r="AFM17" s="277">
        <v>0</v>
      </c>
      <c r="AFN17" s="277">
        <v>0</v>
      </c>
      <c r="AFO17" s="277">
        <v>0</v>
      </c>
      <c r="AFP17" s="277">
        <v>0</v>
      </c>
      <c r="AFQ17" s="277">
        <v>0</v>
      </c>
      <c r="AFR17" s="277">
        <v>0</v>
      </c>
      <c r="AFS17" s="277">
        <v>0</v>
      </c>
      <c r="AFT17" s="277">
        <v>0</v>
      </c>
      <c r="AFU17" s="277">
        <v>0</v>
      </c>
      <c r="AFV17" s="277">
        <v>0</v>
      </c>
      <c r="AFW17" s="277">
        <v>0</v>
      </c>
      <c r="AFX17" s="276">
        <v>0</v>
      </c>
      <c r="AFY17" s="220">
        <v>0</v>
      </c>
      <c r="AFZ17" s="220">
        <v>0</v>
      </c>
      <c r="AGA17" s="220">
        <v>0</v>
      </c>
      <c r="AGB17" s="220">
        <v>0</v>
      </c>
      <c r="AGC17" s="220">
        <v>0</v>
      </c>
      <c r="AGD17" s="220">
        <v>0</v>
      </c>
      <c r="AGE17" s="220">
        <v>0</v>
      </c>
      <c r="AGF17" s="220">
        <v>0</v>
      </c>
      <c r="AGG17" s="220">
        <v>0</v>
      </c>
      <c r="AGH17" s="220">
        <v>0</v>
      </c>
      <c r="AGI17" s="220">
        <v>0</v>
      </c>
      <c r="AGJ17" s="220">
        <v>0</v>
      </c>
      <c r="AGK17" s="220">
        <v>0</v>
      </c>
      <c r="AGL17" s="220">
        <v>0</v>
      </c>
      <c r="AGM17" s="220">
        <v>0</v>
      </c>
      <c r="AGN17" s="220">
        <v>0</v>
      </c>
      <c r="AGO17" s="220">
        <v>0</v>
      </c>
      <c r="AGP17" s="220">
        <v>0</v>
      </c>
      <c r="AGQ17" s="220">
        <v>0</v>
      </c>
      <c r="AGR17" s="220">
        <v>0</v>
      </c>
      <c r="AGS17" s="220">
        <v>0</v>
      </c>
      <c r="AGT17" s="220">
        <v>0</v>
      </c>
      <c r="AGU17" s="220">
        <v>0</v>
      </c>
      <c r="AGV17" s="220">
        <v>0</v>
      </c>
      <c r="AGW17" s="220">
        <v>0</v>
      </c>
      <c r="AGX17" s="220">
        <v>0</v>
      </c>
      <c r="AGY17" s="220">
        <v>0</v>
      </c>
      <c r="AGZ17" s="220">
        <v>0</v>
      </c>
      <c r="AHA17" s="220">
        <v>0</v>
      </c>
      <c r="AHB17" s="220">
        <v>0</v>
      </c>
      <c r="AHC17" s="220">
        <v>0</v>
      </c>
      <c r="AHD17" s="276">
        <v>0</v>
      </c>
      <c r="AHE17" s="220">
        <v>0</v>
      </c>
      <c r="AHF17" s="220">
        <v>0</v>
      </c>
      <c r="AHG17" s="220">
        <v>0</v>
      </c>
      <c r="AHH17" s="220">
        <v>0</v>
      </c>
      <c r="AHI17" s="220">
        <v>0</v>
      </c>
      <c r="AHJ17" s="220">
        <v>0</v>
      </c>
      <c r="AHK17" s="220">
        <v>0</v>
      </c>
      <c r="AHL17" s="220">
        <v>0</v>
      </c>
      <c r="AHM17" s="220">
        <v>0</v>
      </c>
      <c r="AHN17" s="220">
        <v>0</v>
      </c>
      <c r="AHO17" s="220">
        <v>0</v>
      </c>
      <c r="AHP17" s="220">
        <v>0</v>
      </c>
      <c r="AHQ17" s="220">
        <v>0</v>
      </c>
      <c r="AHR17" s="220">
        <v>0</v>
      </c>
      <c r="AHS17" s="220">
        <v>0</v>
      </c>
      <c r="AHT17" s="220">
        <v>0</v>
      </c>
      <c r="AHU17" s="220">
        <v>0</v>
      </c>
      <c r="AHV17" s="220">
        <v>0</v>
      </c>
      <c r="AHW17" s="220">
        <v>0</v>
      </c>
      <c r="AHX17" s="220">
        <v>0</v>
      </c>
      <c r="AHY17" s="220">
        <v>0</v>
      </c>
      <c r="AHZ17" s="220">
        <v>0</v>
      </c>
      <c r="AIA17" s="220">
        <v>0</v>
      </c>
      <c r="AIB17" s="220">
        <v>0</v>
      </c>
      <c r="AIC17" s="220">
        <v>0</v>
      </c>
      <c r="AID17" s="220">
        <v>0</v>
      </c>
      <c r="AIE17" s="220">
        <v>0</v>
      </c>
      <c r="AIF17" s="220">
        <v>0</v>
      </c>
      <c r="AIG17" s="220">
        <v>0</v>
      </c>
      <c r="AIH17" s="220">
        <v>0</v>
      </c>
      <c r="AII17" s="220">
        <v>0</v>
      </c>
      <c r="AIJ17" s="235">
        <v>0</v>
      </c>
      <c r="AIK17" s="479">
        <v>0</v>
      </c>
      <c r="AIL17" s="479">
        <v>0</v>
      </c>
      <c r="AIM17" s="479">
        <v>0</v>
      </c>
      <c r="AIN17" s="479">
        <v>0</v>
      </c>
      <c r="AIO17" s="479">
        <v>0</v>
      </c>
      <c r="AIP17" s="479">
        <v>0</v>
      </c>
      <c r="AIQ17" s="479">
        <v>0</v>
      </c>
      <c r="AIR17" s="479">
        <v>0</v>
      </c>
      <c r="AIS17" s="479">
        <v>0</v>
      </c>
      <c r="AIT17" s="479">
        <v>0</v>
      </c>
      <c r="AIU17" s="479">
        <v>0</v>
      </c>
      <c r="AIV17" s="479">
        <v>0</v>
      </c>
      <c r="AIW17" s="479">
        <v>0</v>
      </c>
      <c r="AIX17" s="479">
        <v>0</v>
      </c>
      <c r="AIY17" s="479">
        <v>0</v>
      </c>
      <c r="AIZ17" s="479">
        <v>0</v>
      </c>
      <c r="AJA17" s="479">
        <v>0</v>
      </c>
      <c r="AJB17" s="479">
        <v>0</v>
      </c>
      <c r="AJC17" s="479">
        <v>0</v>
      </c>
      <c r="AJD17" s="479">
        <v>0</v>
      </c>
      <c r="AJE17" s="479">
        <v>0</v>
      </c>
      <c r="AJF17" s="479">
        <v>0</v>
      </c>
      <c r="AJG17" s="479">
        <v>0</v>
      </c>
      <c r="AJH17" s="479">
        <v>0</v>
      </c>
      <c r="AJI17" s="479">
        <v>0</v>
      </c>
      <c r="AJJ17" s="479">
        <v>0</v>
      </c>
      <c r="AJK17" s="479">
        <v>0</v>
      </c>
      <c r="AJL17" s="479">
        <v>0</v>
      </c>
      <c r="AJM17" s="479">
        <v>0</v>
      </c>
      <c r="AJN17" s="479">
        <v>0</v>
      </c>
      <c r="AJO17" s="235">
        <v>0</v>
      </c>
      <c r="AJP17" s="479">
        <v>0</v>
      </c>
      <c r="AJQ17" s="479">
        <v>0</v>
      </c>
      <c r="AJR17" s="479">
        <v>0</v>
      </c>
      <c r="AJS17" s="479">
        <v>0</v>
      </c>
      <c r="AJT17" s="479">
        <v>0</v>
      </c>
      <c r="AJU17" s="479">
        <v>0</v>
      </c>
      <c r="AJV17" s="479">
        <v>0</v>
      </c>
      <c r="AJW17" s="479">
        <v>0</v>
      </c>
      <c r="AJX17" s="479">
        <v>0</v>
      </c>
      <c r="AJY17" s="479">
        <v>0</v>
      </c>
      <c r="AJZ17" s="479">
        <v>0</v>
      </c>
      <c r="AKA17" s="479">
        <v>0</v>
      </c>
      <c r="AKB17" s="479">
        <v>0</v>
      </c>
      <c r="AKC17" s="479">
        <v>0</v>
      </c>
      <c r="AKD17" s="479">
        <v>0</v>
      </c>
      <c r="AKE17" s="479">
        <v>0</v>
      </c>
      <c r="AKF17" s="479">
        <v>0</v>
      </c>
      <c r="AKG17" s="479">
        <v>0</v>
      </c>
      <c r="AKH17" s="479">
        <v>0</v>
      </c>
      <c r="AKI17" s="479">
        <v>0</v>
      </c>
      <c r="AKJ17" s="479">
        <v>0</v>
      </c>
      <c r="AKK17" s="479">
        <v>0</v>
      </c>
      <c r="AKL17" s="479">
        <v>0</v>
      </c>
      <c r="AKM17" s="479">
        <v>0</v>
      </c>
      <c r="AKN17" s="479">
        <v>0</v>
      </c>
      <c r="AKO17" s="479">
        <v>0</v>
      </c>
      <c r="AKP17" s="479">
        <v>0</v>
      </c>
      <c r="AKQ17" s="479">
        <v>0</v>
      </c>
      <c r="AKR17" s="479">
        <v>0</v>
      </c>
      <c r="AKS17" s="479"/>
      <c r="AKT17" s="479">
        <v>0</v>
      </c>
      <c r="AKU17" s="235">
        <v>0</v>
      </c>
      <c r="AKV17" s="479">
        <v>0</v>
      </c>
      <c r="AKW17" s="479">
        <v>0</v>
      </c>
      <c r="AKX17" s="479">
        <v>0</v>
      </c>
      <c r="AKY17" s="479">
        <v>0</v>
      </c>
      <c r="AKZ17" s="479">
        <v>0</v>
      </c>
      <c r="ALA17" s="479">
        <v>0</v>
      </c>
      <c r="ALB17" s="479">
        <v>0</v>
      </c>
      <c r="ALC17" s="479">
        <v>0</v>
      </c>
      <c r="ALD17" s="479">
        <v>0</v>
      </c>
      <c r="ALE17" s="479">
        <v>0</v>
      </c>
      <c r="ALF17" s="479">
        <v>0</v>
      </c>
      <c r="ALG17" s="479">
        <v>0</v>
      </c>
      <c r="ALH17" s="479">
        <v>0</v>
      </c>
      <c r="ALI17" s="479">
        <v>0</v>
      </c>
      <c r="ALJ17" s="479">
        <v>0</v>
      </c>
      <c r="ALK17" s="479">
        <v>0</v>
      </c>
      <c r="ALL17" s="479">
        <v>0</v>
      </c>
      <c r="ALM17" s="479">
        <v>0</v>
      </c>
      <c r="ALN17" s="479">
        <v>0</v>
      </c>
      <c r="ALO17" s="479">
        <v>0</v>
      </c>
      <c r="ALP17" s="479">
        <v>0</v>
      </c>
      <c r="ALQ17" s="479">
        <v>0</v>
      </c>
      <c r="ALR17" s="479">
        <v>0</v>
      </c>
      <c r="ALS17" s="479">
        <v>0</v>
      </c>
      <c r="ALT17" s="479">
        <v>0</v>
      </c>
      <c r="ALU17" s="479">
        <v>0</v>
      </c>
      <c r="ALV17" s="479">
        <v>0</v>
      </c>
      <c r="ALW17" s="479">
        <v>0</v>
      </c>
      <c r="ALX17" s="479">
        <v>0</v>
      </c>
      <c r="ALY17" s="479"/>
      <c r="ALZ17" s="235">
        <v>0</v>
      </c>
      <c r="AMA17" s="479">
        <v>0</v>
      </c>
      <c r="AMB17" s="479">
        <v>0</v>
      </c>
      <c r="AMC17" s="479">
        <v>0</v>
      </c>
      <c r="AMD17" s="479">
        <v>0</v>
      </c>
      <c r="AME17" s="479">
        <v>0</v>
      </c>
      <c r="AMF17" s="479">
        <v>0</v>
      </c>
      <c r="AMG17" s="479">
        <v>0</v>
      </c>
      <c r="AMH17" s="479">
        <v>0</v>
      </c>
      <c r="AMI17" s="479">
        <v>0</v>
      </c>
      <c r="AMJ17" s="479">
        <v>0</v>
      </c>
      <c r="AMK17" s="479">
        <v>0</v>
      </c>
      <c r="AML17" s="479">
        <v>0</v>
      </c>
      <c r="AMM17" s="479">
        <v>0</v>
      </c>
      <c r="AMN17" s="479">
        <v>0</v>
      </c>
      <c r="AMO17" s="479">
        <v>0</v>
      </c>
      <c r="AMP17" s="479">
        <v>0</v>
      </c>
      <c r="AMQ17" s="479">
        <v>0</v>
      </c>
      <c r="AMR17" s="479">
        <v>0</v>
      </c>
      <c r="AMS17" s="479">
        <v>0</v>
      </c>
      <c r="AMT17" s="479">
        <v>0</v>
      </c>
      <c r="AMU17" s="479">
        <v>0</v>
      </c>
      <c r="AMV17" s="479">
        <v>0</v>
      </c>
      <c r="AMW17" s="479">
        <v>0</v>
      </c>
      <c r="AMX17" s="479">
        <v>0</v>
      </c>
      <c r="AMY17" s="479">
        <v>0</v>
      </c>
      <c r="AMZ17" s="479">
        <v>0</v>
      </c>
      <c r="ANA17" s="479">
        <v>0</v>
      </c>
      <c r="ANB17" s="479">
        <v>0</v>
      </c>
      <c r="ANC17" s="479">
        <v>0</v>
      </c>
      <c r="AND17" s="479"/>
      <c r="ANE17" s="479"/>
      <c r="ANF17" s="235">
        <f t="shared" si="2"/>
        <v>0</v>
      </c>
      <c r="ANG17" s="477">
        <v>0</v>
      </c>
      <c r="ANH17" s="477">
        <v>0</v>
      </c>
      <c r="ANI17" s="477">
        <v>0</v>
      </c>
      <c r="ANJ17" s="477">
        <v>0</v>
      </c>
      <c r="ANK17" s="477">
        <v>0</v>
      </c>
      <c r="ANL17" s="477">
        <v>0</v>
      </c>
      <c r="ANM17" s="477">
        <v>0</v>
      </c>
      <c r="ANN17" s="477">
        <v>0</v>
      </c>
      <c r="ANO17" s="477">
        <v>0</v>
      </c>
      <c r="ANP17" s="477">
        <v>0</v>
      </c>
      <c r="ANQ17" s="477">
        <v>0</v>
      </c>
      <c r="ANR17" s="477">
        <v>0</v>
      </c>
      <c r="ANS17" s="477">
        <v>0</v>
      </c>
      <c r="ANT17" s="477">
        <v>0</v>
      </c>
      <c r="ANU17" s="477">
        <v>0</v>
      </c>
      <c r="ANV17" s="477">
        <v>0</v>
      </c>
      <c r="ANW17" s="477">
        <v>0</v>
      </c>
      <c r="ANX17" s="477">
        <v>0</v>
      </c>
      <c r="ANY17" s="477">
        <v>0</v>
      </c>
      <c r="ANZ17" s="477">
        <v>0</v>
      </c>
      <c r="AOA17" s="477">
        <v>0</v>
      </c>
      <c r="AOB17" s="477">
        <v>0</v>
      </c>
      <c r="AOC17" s="477">
        <v>0</v>
      </c>
      <c r="AOD17" s="477">
        <v>0</v>
      </c>
      <c r="AOE17" s="477">
        <v>0</v>
      </c>
      <c r="AOF17" s="477">
        <v>0</v>
      </c>
      <c r="AOG17" s="477">
        <v>0</v>
      </c>
      <c r="AOH17" s="477">
        <v>0</v>
      </c>
      <c r="AOI17" s="276">
        <v>0</v>
      </c>
      <c r="AOJ17" s="477">
        <v>0</v>
      </c>
      <c r="AOK17" s="477">
        <v>0</v>
      </c>
      <c r="AOL17" s="477">
        <v>0</v>
      </c>
      <c r="AOM17" s="477">
        <v>0</v>
      </c>
      <c r="AON17" s="477">
        <v>0</v>
      </c>
      <c r="AOO17" s="477">
        <v>0</v>
      </c>
      <c r="AOP17" s="477">
        <v>0</v>
      </c>
      <c r="AOQ17" s="477">
        <v>0</v>
      </c>
      <c r="AOR17" s="477">
        <v>0</v>
      </c>
      <c r="AOS17" s="477">
        <v>0</v>
      </c>
      <c r="AOT17" s="477">
        <v>0</v>
      </c>
      <c r="AOU17" s="477">
        <v>0</v>
      </c>
      <c r="AOV17" s="477">
        <v>0</v>
      </c>
      <c r="AOW17" s="477">
        <v>0</v>
      </c>
      <c r="AOX17" s="477">
        <v>0</v>
      </c>
      <c r="AOY17" s="477">
        <v>0</v>
      </c>
      <c r="AOZ17" s="477">
        <v>0</v>
      </c>
      <c r="APA17" s="477">
        <v>0</v>
      </c>
      <c r="APB17" s="477">
        <v>0</v>
      </c>
      <c r="APC17" s="477">
        <v>0</v>
      </c>
      <c r="APD17" s="477">
        <v>0</v>
      </c>
      <c r="APE17" s="477">
        <v>0</v>
      </c>
      <c r="APF17" s="477">
        <v>0</v>
      </c>
      <c r="APG17" s="477">
        <v>0</v>
      </c>
      <c r="APH17" s="477">
        <v>0</v>
      </c>
      <c r="API17" s="477">
        <v>0</v>
      </c>
      <c r="APJ17" s="477">
        <v>0</v>
      </c>
      <c r="APK17" s="477">
        <v>0</v>
      </c>
      <c r="APL17" s="477">
        <v>0</v>
      </c>
      <c r="APM17" s="477">
        <v>0</v>
      </c>
      <c r="APN17" s="477">
        <v>0</v>
      </c>
      <c r="APO17" s="276">
        <v>0</v>
      </c>
      <c r="APP17" s="477">
        <v>0</v>
      </c>
      <c r="APQ17" s="477">
        <v>0</v>
      </c>
      <c r="APR17" s="477">
        <v>0</v>
      </c>
      <c r="APS17" s="477">
        <v>0</v>
      </c>
      <c r="APT17" s="477">
        <v>0</v>
      </c>
      <c r="APU17" s="477">
        <v>0</v>
      </c>
      <c r="APV17" s="477">
        <v>0</v>
      </c>
      <c r="APW17" s="477">
        <v>0</v>
      </c>
      <c r="APX17" s="477">
        <v>0</v>
      </c>
      <c r="APY17" s="477">
        <v>0</v>
      </c>
      <c r="APZ17" s="477">
        <v>0</v>
      </c>
      <c r="AQA17" s="477">
        <v>0</v>
      </c>
      <c r="AQB17" s="477">
        <v>0</v>
      </c>
      <c r="AQC17" s="477">
        <v>0</v>
      </c>
      <c r="AQD17" s="477">
        <v>0</v>
      </c>
      <c r="AQE17" s="477">
        <v>0</v>
      </c>
      <c r="AQF17" s="477">
        <v>0</v>
      </c>
      <c r="AQG17" s="477">
        <v>0</v>
      </c>
      <c r="AQH17" s="477">
        <v>0</v>
      </c>
      <c r="AQI17" s="477">
        <v>0</v>
      </c>
      <c r="AQJ17" s="477">
        <v>0</v>
      </c>
      <c r="AQK17" s="477">
        <v>0</v>
      </c>
      <c r="AQL17" s="477">
        <v>0</v>
      </c>
      <c r="AQM17" s="477">
        <v>0</v>
      </c>
      <c r="AQN17" s="477">
        <v>0</v>
      </c>
      <c r="AQO17" s="477">
        <v>0</v>
      </c>
      <c r="AQP17" s="477">
        <v>0</v>
      </c>
      <c r="AQQ17" s="477">
        <v>0</v>
      </c>
      <c r="AQR17" s="477">
        <v>0</v>
      </c>
      <c r="AQS17" s="477">
        <v>0</v>
      </c>
      <c r="AQT17" s="276">
        <f t="shared" si="12"/>
        <v>0</v>
      </c>
      <c r="AQU17" s="477">
        <v>0</v>
      </c>
      <c r="AQV17" s="477">
        <v>0</v>
      </c>
      <c r="AQW17" s="477">
        <v>0</v>
      </c>
      <c r="AQX17" s="477">
        <v>0</v>
      </c>
      <c r="AQY17" s="477">
        <v>0</v>
      </c>
      <c r="AQZ17" s="477">
        <v>0</v>
      </c>
      <c r="ARA17" s="477">
        <v>0</v>
      </c>
      <c r="ARB17" s="477">
        <v>0</v>
      </c>
      <c r="ARC17" s="477">
        <v>0</v>
      </c>
      <c r="ARD17" s="477">
        <v>0</v>
      </c>
      <c r="ARE17" s="477">
        <v>0</v>
      </c>
      <c r="ARF17" s="477">
        <v>0</v>
      </c>
      <c r="ARG17" s="477">
        <v>0</v>
      </c>
      <c r="ARH17" s="477">
        <v>0</v>
      </c>
      <c r="ARI17" s="477">
        <v>0</v>
      </c>
      <c r="ARJ17" s="477">
        <v>0</v>
      </c>
      <c r="ARK17" s="477">
        <v>0</v>
      </c>
      <c r="ARL17" s="477">
        <v>0</v>
      </c>
      <c r="ARM17" s="477">
        <v>0</v>
      </c>
      <c r="ARN17" s="477">
        <v>0</v>
      </c>
      <c r="ARO17" s="477">
        <v>0</v>
      </c>
      <c r="ARP17" s="477">
        <v>0</v>
      </c>
      <c r="ARQ17" s="477">
        <v>0</v>
      </c>
      <c r="ARR17" s="477">
        <v>0</v>
      </c>
      <c r="ARS17" s="477">
        <v>0</v>
      </c>
      <c r="ART17" s="477">
        <v>0</v>
      </c>
      <c r="ARU17" s="477">
        <v>0</v>
      </c>
      <c r="ARV17" s="477">
        <v>0</v>
      </c>
      <c r="ARW17" s="477">
        <v>0</v>
      </c>
      <c r="ARX17" s="477"/>
      <c r="ARY17" s="477">
        <v>0</v>
      </c>
      <c r="ARZ17" s="276">
        <f t="shared" si="13"/>
        <v>0</v>
      </c>
      <c r="ASA17" s="477">
        <v>0</v>
      </c>
      <c r="ASB17" s="477">
        <v>0</v>
      </c>
      <c r="ASC17" s="477">
        <v>0</v>
      </c>
      <c r="ASD17" s="477">
        <v>0</v>
      </c>
      <c r="ASE17" s="477">
        <v>0</v>
      </c>
      <c r="ASF17" s="477">
        <v>0</v>
      </c>
      <c r="ASG17" s="477">
        <v>0</v>
      </c>
      <c r="ASH17" s="477">
        <v>0</v>
      </c>
      <c r="ASI17" s="477">
        <v>0</v>
      </c>
      <c r="ASJ17" s="477">
        <v>0</v>
      </c>
      <c r="ASK17" s="477">
        <v>0</v>
      </c>
      <c r="ASL17" s="477">
        <v>0</v>
      </c>
      <c r="ASM17" s="477">
        <v>0</v>
      </c>
      <c r="ASN17" s="477">
        <v>0</v>
      </c>
      <c r="ASO17" s="477">
        <v>0</v>
      </c>
      <c r="ASP17" s="477">
        <v>0</v>
      </c>
      <c r="ASQ17" s="477">
        <v>0</v>
      </c>
      <c r="ASR17" s="477">
        <v>0</v>
      </c>
      <c r="ASS17" s="477">
        <v>0</v>
      </c>
      <c r="AST17" s="477">
        <v>0</v>
      </c>
      <c r="ASU17" s="477">
        <v>0</v>
      </c>
      <c r="ASV17" s="477">
        <v>0</v>
      </c>
      <c r="ASW17" s="477">
        <v>0</v>
      </c>
      <c r="ASX17" s="477">
        <v>0</v>
      </c>
      <c r="ASY17" s="477">
        <v>0</v>
      </c>
      <c r="ASZ17" s="477">
        <v>0</v>
      </c>
      <c r="ATA17" s="477">
        <v>0</v>
      </c>
      <c r="ATB17" s="477">
        <v>0</v>
      </c>
      <c r="ATC17" s="477">
        <v>0</v>
      </c>
      <c r="ATD17" s="477"/>
      <c r="ATE17" s="276">
        <v>0</v>
      </c>
      <c r="ATF17" s="477">
        <v>0</v>
      </c>
      <c r="ATG17" s="477">
        <v>0</v>
      </c>
      <c r="ATH17" s="477">
        <v>0</v>
      </c>
      <c r="ATI17" s="477">
        <v>0</v>
      </c>
      <c r="ATJ17" s="477">
        <v>0</v>
      </c>
      <c r="ATK17" s="477">
        <v>0</v>
      </c>
      <c r="ATL17" s="477">
        <v>0</v>
      </c>
      <c r="ATM17" s="477">
        <v>0</v>
      </c>
      <c r="ATN17" s="477">
        <v>0</v>
      </c>
      <c r="ATO17" s="477">
        <v>0</v>
      </c>
      <c r="ATP17" s="477">
        <v>0</v>
      </c>
      <c r="ATQ17" s="477">
        <v>0</v>
      </c>
      <c r="ATR17" s="477">
        <v>0</v>
      </c>
      <c r="ATS17" s="477">
        <v>0</v>
      </c>
      <c r="ATT17" s="477">
        <v>0</v>
      </c>
      <c r="ATU17" s="477">
        <v>0</v>
      </c>
      <c r="ATV17" s="477">
        <v>0</v>
      </c>
      <c r="ATW17" s="477">
        <v>0</v>
      </c>
      <c r="ATX17" s="477">
        <v>0</v>
      </c>
      <c r="ATY17" s="477">
        <v>0</v>
      </c>
      <c r="ATZ17" s="477">
        <v>0</v>
      </c>
      <c r="AUA17" s="477">
        <v>0</v>
      </c>
      <c r="AUB17" s="477">
        <v>0</v>
      </c>
      <c r="AUC17" s="477">
        <v>0</v>
      </c>
      <c r="AUD17" s="477">
        <v>0</v>
      </c>
      <c r="AUE17" s="477">
        <v>0</v>
      </c>
      <c r="AUF17" s="477">
        <v>0</v>
      </c>
      <c r="AUG17" s="477">
        <v>0</v>
      </c>
      <c r="AUH17" s="477">
        <v>0</v>
      </c>
      <c r="AUI17" s="477">
        <v>0</v>
      </c>
      <c r="AUJ17" s="477"/>
      <c r="AUK17" s="276">
        <v>0</v>
      </c>
      <c r="AUL17" s="477">
        <v>0</v>
      </c>
      <c r="AUM17" s="477">
        <v>0</v>
      </c>
      <c r="AUN17" s="477">
        <v>0</v>
      </c>
      <c r="AUO17" s="477">
        <v>0</v>
      </c>
      <c r="AUP17" s="477">
        <v>0</v>
      </c>
      <c r="AUQ17" s="477">
        <v>0</v>
      </c>
      <c r="AUR17" s="477">
        <v>0</v>
      </c>
      <c r="AUS17" s="477">
        <v>0</v>
      </c>
      <c r="AUT17" s="477">
        <v>0</v>
      </c>
      <c r="AUU17" s="477">
        <v>0</v>
      </c>
      <c r="AUV17" s="477">
        <v>0</v>
      </c>
      <c r="AUW17" s="477">
        <v>0</v>
      </c>
      <c r="AUX17" s="477">
        <v>0</v>
      </c>
      <c r="AUY17" s="477">
        <v>0</v>
      </c>
      <c r="AUZ17" s="477">
        <v>0</v>
      </c>
      <c r="AVA17" s="477">
        <v>0</v>
      </c>
      <c r="AVB17" s="477">
        <v>0</v>
      </c>
      <c r="AVC17" s="477">
        <v>0</v>
      </c>
      <c r="AVD17" s="477">
        <v>0</v>
      </c>
      <c r="AVE17" s="477">
        <v>0</v>
      </c>
      <c r="AVF17" s="477">
        <v>0</v>
      </c>
      <c r="AVG17" s="477">
        <v>0</v>
      </c>
      <c r="AVH17" s="477">
        <v>0</v>
      </c>
      <c r="AVI17" s="477">
        <v>0</v>
      </c>
      <c r="AVJ17" s="477">
        <v>0</v>
      </c>
      <c r="AVK17" s="477">
        <v>0</v>
      </c>
      <c r="AVL17" s="477">
        <v>0</v>
      </c>
      <c r="AVM17" s="477">
        <v>0</v>
      </c>
      <c r="AVN17" s="477">
        <v>0</v>
      </c>
      <c r="AVO17" s="477">
        <v>0</v>
      </c>
      <c r="AVP17" s="477"/>
      <c r="AVQ17" s="235">
        <f t="shared" si="3"/>
        <v>0</v>
      </c>
      <c r="AVR17" s="477">
        <v>0</v>
      </c>
      <c r="AVS17" s="477">
        <v>0</v>
      </c>
      <c r="AVT17" s="477">
        <v>0</v>
      </c>
      <c r="AVU17" s="477">
        <v>0</v>
      </c>
      <c r="AVV17" s="477">
        <v>0</v>
      </c>
      <c r="AVW17" s="477">
        <v>0</v>
      </c>
      <c r="AVX17" s="477">
        <v>0</v>
      </c>
      <c r="AVY17" s="477">
        <v>0</v>
      </c>
      <c r="AVZ17" s="477">
        <v>0</v>
      </c>
      <c r="AWA17" s="477">
        <v>0</v>
      </c>
      <c r="AWB17" s="477">
        <v>0</v>
      </c>
      <c r="AWC17" s="477">
        <v>0</v>
      </c>
      <c r="AWD17" s="477">
        <v>0</v>
      </c>
      <c r="AWE17" s="477">
        <v>0</v>
      </c>
      <c r="AWF17" s="477">
        <v>0</v>
      </c>
      <c r="AWG17" s="477">
        <v>0</v>
      </c>
      <c r="AWH17" s="477">
        <v>0</v>
      </c>
      <c r="AWI17" s="477">
        <v>0</v>
      </c>
      <c r="AWJ17" s="477">
        <v>0</v>
      </c>
      <c r="AWK17" s="477">
        <v>0</v>
      </c>
      <c r="AWL17" s="477">
        <v>0</v>
      </c>
      <c r="AWM17" s="477">
        <v>0</v>
      </c>
      <c r="AWN17" s="477">
        <v>0</v>
      </c>
      <c r="AWO17" s="477">
        <v>0</v>
      </c>
      <c r="AWP17" s="477">
        <v>0</v>
      </c>
      <c r="AWQ17" s="477">
        <v>0</v>
      </c>
      <c r="AWR17" s="477">
        <v>0</v>
      </c>
      <c r="AWS17" s="477">
        <v>0</v>
      </c>
      <c r="AWT17" s="477">
        <v>0</v>
      </c>
      <c r="AWU17" s="477">
        <v>0</v>
      </c>
      <c r="AWV17" s="235">
        <v>0</v>
      </c>
      <c r="AWW17" s="477">
        <v>0</v>
      </c>
      <c r="AWX17" s="477">
        <v>0</v>
      </c>
      <c r="AWY17" s="477">
        <v>0</v>
      </c>
      <c r="AWZ17" s="477">
        <v>0</v>
      </c>
      <c r="AXA17" s="477">
        <v>0</v>
      </c>
      <c r="AXB17" s="477">
        <v>0</v>
      </c>
      <c r="AXC17" s="477">
        <v>0</v>
      </c>
      <c r="AXD17" s="477">
        <v>0</v>
      </c>
      <c r="AXE17" s="477">
        <v>0</v>
      </c>
      <c r="AXF17" s="477">
        <v>0</v>
      </c>
      <c r="AXG17" s="477">
        <v>0</v>
      </c>
      <c r="AXH17" s="477">
        <v>0</v>
      </c>
      <c r="AXI17" s="477">
        <v>0</v>
      </c>
      <c r="AXJ17" s="477">
        <v>0</v>
      </c>
      <c r="AXK17" s="477">
        <v>0</v>
      </c>
      <c r="AXL17" s="477">
        <v>0</v>
      </c>
      <c r="AXM17" s="477">
        <v>0</v>
      </c>
      <c r="AXN17" s="477">
        <v>0</v>
      </c>
      <c r="AXO17" s="477">
        <v>0</v>
      </c>
      <c r="AXP17" s="477">
        <v>0</v>
      </c>
      <c r="AXQ17" s="477">
        <v>0</v>
      </c>
      <c r="AXR17" s="477">
        <v>0</v>
      </c>
      <c r="AXS17" s="477">
        <v>0</v>
      </c>
      <c r="AXT17" s="477">
        <v>0</v>
      </c>
      <c r="AXU17" s="477">
        <v>0</v>
      </c>
      <c r="AXV17" s="477">
        <v>0</v>
      </c>
      <c r="AXW17" s="477">
        <v>0</v>
      </c>
      <c r="AXX17" s="477">
        <v>0</v>
      </c>
      <c r="AXY17" s="477">
        <v>0</v>
      </c>
      <c r="AXZ17" s="477">
        <v>0</v>
      </c>
      <c r="AYA17" s="477">
        <v>0</v>
      </c>
      <c r="AYB17" s="235">
        <v>0</v>
      </c>
      <c r="AYC17" s="477">
        <v>0</v>
      </c>
      <c r="AYD17" s="477">
        <v>0</v>
      </c>
      <c r="AYE17" s="477">
        <v>0</v>
      </c>
      <c r="AYF17" s="477">
        <v>0</v>
      </c>
      <c r="AYG17" s="477">
        <v>0</v>
      </c>
      <c r="AYH17" s="477">
        <v>0</v>
      </c>
      <c r="AYI17" s="477">
        <v>0</v>
      </c>
      <c r="AYJ17" s="477">
        <v>0</v>
      </c>
      <c r="AYK17" s="477">
        <v>0</v>
      </c>
      <c r="AYL17" s="477">
        <v>0</v>
      </c>
      <c r="AYM17" s="477">
        <v>0</v>
      </c>
      <c r="AYN17" s="477">
        <v>0</v>
      </c>
      <c r="AYO17" s="477">
        <v>0</v>
      </c>
      <c r="AYP17" s="477">
        <v>0</v>
      </c>
      <c r="AYQ17" s="477">
        <v>0</v>
      </c>
      <c r="AYR17" s="477">
        <v>0</v>
      </c>
      <c r="AYS17" s="477">
        <v>0</v>
      </c>
      <c r="AYT17" s="477">
        <v>0</v>
      </c>
      <c r="AYU17" s="477">
        <v>0</v>
      </c>
      <c r="AYV17" s="477">
        <v>0</v>
      </c>
      <c r="AYW17" s="477">
        <v>0</v>
      </c>
      <c r="AYX17" s="477">
        <v>0</v>
      </c>
      <c r="AYY17" s="477">
        <v>0</v>
      </c>
      <c r="AYZ17" s="477">
        <v>0</v>
      </c>
      <c r="AZA17" s="477">
        <v>0</v>
      </c>
      <c r="AZB17" s="477">
        <v>0</v>
      </c>
      <c r="AZC17" s="477">
        <v>0</v>
      </c>
      <c r="AZD17" s="477">
        <v>0</v>
      </c>
      <c r="AZE17" s="477">
        <v>0</v>
      </c>
      <c r="AZF17" s="477">
        <v>0</v>
      </c>
      <c r="AZG17" s="235">
        <v>0</v>
      </c>
      <c r="AZH17" s="477">
        <v>0</v>
      </c>
      <c r="AZI17" s="477">
        <v>0</v>
      </c>
      <c r="AZJ17" s="477">
        <v>0</v>
      </c>
      <c r="AZK17" s="477">
        <v>0</v>
      </c>
      <c r="AZL17" s="477">
        <v>0</v>
      </c>
      <c r="AZM17" s="477">
        <v>0</v>
      </c>
      <c r="AZN17" s="477">
        <v>0</v>
      </c>
      <c r="AZO17" s="477">
        <v>0</v>
      </c>
      <c r="AZP17" s="477">
        <v>0</v>
      </c>
      <c r="AZQ17" s="477">
        <v>0</v>
      </c>
      <c r="AZR17" s="477">
        <v>0</v>
      </c>
      <c r="AZS17" s="477">
        <v>0</v>
      </c>
      <c r="AZT17" s="477">
        <v>0</v>
      </c>
      <c r="AZU17" s="477">
        <v>0</v>
      </c>
      <c r="AZV17" s="477">
        <v>0</v>
      </c>
      <c r="AZW17" s="477">
        <v>0</v>
      </c>
      <c r="AZX17" s="477">
        <v>0</v>
      </c>
      <c r="AZY17" s="477">
        <v>0</v>
      </c>
      <c r="AZZ17" s="477">
        <v>0</v>
      </c>
      <c r="BAA17" s="477">
        <v>0</v>
      </c>
      <c r="BAB17" s="477">
        <v>0</v>
      </c>
      <c r="BAC17" s="477">
        <v>0</v>
      </c>
      <c r="BAD17" s="477">
        <v>0</v>
      </c>
      <c r="BAE17" s="477">
        <v>0</v>
      </c>
      <c r="BAF17" s="477">
        <v>0</v>
      </c>
      <c r="BAG17" s="477">
        <v>0</v>
      </c>
      <c r="BAH17" s="477">
        <v>0</v>
      </c>
      <c r="BAI17" s="477">
        <v>0</v>
      </c>
      <c r="BAJ17" s="477">
        <v>0</v>
      </c>
      <c r="BAK17" s="477">
        <v>0</v>
      </c>
      <c r="BAL17" s="477">
        <v>0</v>
      </c>
      <c r="BAM17" s="235">
        <f t="shared" si="27"/>
        <v>0</v>
      </c>
    </row>
    <row r="18" spans="2:1391" s="243" customFormat="1" ht="15" hidden="1" customHeight="1">
      <c r="B18" s="240" t="s">
        <v>367</v>
      </c>
      <c r="C18" s="480">
        <v>0</v>
      </c>
      <c r="D18" s="480">
        <v>0</v>
      </c>
      <c r="E18" s="480">
        <v>0</v>
      </c>
      <c r="F18" s="480">
        <v>0</v>
      </c>
      <c r="G18" s="480">
        <v>0</v>
      </c>
      <c r="H18" s="480">
        <v>0</v>
      </c>
      <c r="I18" s="480">
        <v>0</v>
      </c>
      <c r="J18" s="480">
        <v>0</v>
      </c>
      <c r="K18" s="480">
        <v>0</v>
      </c>
      <c r="L18" s="480">
        <v>0</v>
      </c>
      <c r="M18" s="480">
        <v>0</v>
      </c>
      <c r="N18" s="480">
        <v>0</v>
      </c>
      <c r="O18" s="480">
        <v>0</v>
      </c>
      <c r="P18" s="480">
        <v>0</v>
      </c>
      <c r="Q18" s="480">
        <v>0</v>
      </c>
      <c r="R18" s="480">
        <v>0</v>
      </c>
      <c r="S18" s="480">
        <v>0</v>
      </c>
      <c r="T18" s="480">
        <v>0</v>
      </c>
      <c r="U18" s="480">
        <v>0</v>
      </c>
      <c r="V18" s="480">
        <v>0</v>
      </c>
      <c r="W18" s="480">
        <v>0</v>
      </c>
      <c r="X18" s="480">
        <v>0</v>
      </c>
      <c r="Y18" s="480">
        <v>0</v>
      </c>
      <c r="Z18" s="480">
        <v>0</v>
      </c>
      <c r="AA18" s="480">
        <v>0</v>
      </c>
      <c r="AB18" s="480">
        <v>0</v>
      </c>
      <c r="AC18" s="480">
        <v>0</v>
      </c>
      <c r="AD18" s="480">
        <v>0</v>
      </c>
      <c r="AE18" s="480">
        <v>0</v>
      </c>
      <c r="AF18" s="480">
        <v>0</v>
      </c>
      <c r="AG18" s="480">
        <v>0</v>
      </c>
      <c r="AH18" s="276">
        <f t="shared" si="26"/>
        <v>0</v>
      </c>
      <c r="AI18" s="391">
        <v>7363.95</v>
      </c>
      <c r="AJ18" s="389">
        <v>0</v>
      </c>
      <c r="AK18" s="389">
        <v>0</v>
      </c>
      <c r="AL18" s="389">
        <v>0</v>
      </c>
      <c r="AM18" s="389">
        <v>0</v>
      </c>
      <c r="AN18" s="389">
        <v>0</v>
      </c>
      <c r="AO18" s="389">
        <v>0</v>
      </c>
      <c r="AP18" s="389">
        <v>0</v>
      </c>
      <c r="AQ18" s="389">
        <v>0</v>
      </c>
      <c r="AR18" s="389">
        <v>0</v>
      </c>
      <c r="AS18" s="389">
        <v>0</v>
      </c>
      <c r="AT18" s="389">
        <v>0</v>
      </c>
      <c r="AU18" s="389">
        <v>0</v>
      </c>
      <c r="AV18" s="389">
        <v>0</v>
      </c>
      <c r="AW18" s="389">
        <v>0</v>
      </c>
      <c r="AX18" s="389">
        <v>0</v>
      </c>
      <c r="AY18" s="389">
        <v>0</v>
      </c>
      <c r="AZ18" s="389">
        <v>0</v>
      </c>
      <c r="BA18" s="389">
        <v>0</v>
      </c>
      <c r="BB18" s="389">
        <v>0</v>
      </c>
      <c r="BC18" s="389">
        <v>0</v>
      </c>
      <c r="BD18" s="389">
        <v>0</v>
      </c>
      <c r="BE18" s="389">
        <v>0</v>
      </c>
      <c r="BF18" s="389">
        <v>0</v>
      </c>
      <c r="BG18" s="389">
        <v>0</v>
      </c>
      <c r="BH18" s="389">
        <v>0</v>
      </c>
      <c r="BI18" s="389">
        <v>0</v>
      </c>
      <c r="BJ18" s="389">
        <v>0</v>
      </c>
      <c r="BK18" s="276"/>
      <c r="BL18" s="244"/>
      <c r="BM18" s="244"/>
      <c r="BN18" s="209"/>
      <c r="BO18" s="209"/>
      <c r="BP18" s="209"/>
      <c r="BQ18" s="209"/>
      <c r="BR18" s="277"/>
      <c r="BS18" s="273"/>
      <c r="BT18" s="273"/>
      <c r="BU18" s="273"/>
      <c r="BV18" s="273"/>
      <c r="BW18" s="273"/>
      <c r="BX18" s="273"/>
      <c r="BY18" s="273"/>
      <c r="BZ18" s="273"/>
      <c r="CA18" s="273"/>
      <c r="CB18" s="273"/>
      <c r="CC18" s="273"/>
      <c r="CD18" s="273"/>
      <c r="CE18" s="209"/>
      <c r="CF18" s="277"/>
      <c r="CG18" s="277"/>
      <c r="CH18" s="277"/>
      <c r="CI18" s="277"/>
      <c r="CJ18" s="277"/>
      <c r="CK18" s="277"/>
      <c r="CL18" s="278"/>
      <c r="CM18" s="277"/>
      <c r="CN18" s="273"/>
      <c r="CO18" s="278"/>
      <c r="CP18" s="273"/>
      <c r="CQ18" s="276"/>
      <c r="CR18" s="244"/>
      <c r="CS18" s="244"/>
      <c r="CT18" s="209"/>
      <c r="CU18" s="209"/>
      <c r="CV18" s="209"/>
      <c r="CW18" s="209"/>
      <c r="CX18" s="277"/>
      <c r="CY18" s="273"/>
      <c r="CZ18" s="273"/>
      <c r="DA18" s="273"/>
      <c r="DB18" s="273"/>
      <c r="DC18" s="273"/>
      <c r="DD18" s="273"/>
      <c r="DE18" s="273"/>
      <c r="DF18" s="273"/>
      <c r="DG18" s="273"/>
      <c r="DH18" s="273"/>
      <c r="DI18" s="273"/>
      <c r="DJ18" s="273"/>
      <c r="DK18" s="209"/>
      <c r="DL18" s="277"/>
      <c r="DM18" s="277"/>
      <c r="DN18" s="277"/>
      <c r="DO18" s="277"/>
      <c r="DP18" s="277"/>
      <c r="DQ18" s="277"/>
      <c r="DR18" s="278"/>
      <c r="DS18" s="277"/>
      <c r="DT18" s="273"/>
      <c r="DU18" s="278"/>
      <c r="DV18" s="273"/>
      <c r="DW18" s="276"/>
      <c r="DX18" s="244"/>
      <c r="DY18" s="244"/>
      <c r="DZ18" s="209"/>
      <c r="EA18" s="209"/>
      <c r="EB18" s="209"/>
      <c r="EC18" s="209"/>
      <c r="ED18" s="280"/>
      <c r="EE18" s="283"/>
      <c r="EF18" s="283"/>
      <c r="EG18" s="283"/>
      <c r="EH18" s="280"/>
      <c r="EI18" s="273"/>
      <c r="EJ18" s="273"/>
      <c r="EK18" s="273"/>
      <c r="EL18" s="273"/>
      <c r="EM18" s="273"/>
      <c r="EN18" s="273"/>
      <c r="EO18" s="273"/>
      <c r="EP18" s="273"/>
      <c r="EQ18" s="209"/>
      <c r="ER18" s="277"/>
      <c r="ES18" s="273"/>
      <c r="ET18" s="274"/>
      <c r="EU18" s="273"/>
      <c r="EV18" s="273"/>
      <c r="EW18" s="273"/>
      <c r="EX18" s="274"/>
      <c r="EY18" s="274"/>
      <c r="EZ18" s="273"/>
      <c r="FA18" s="278"/>
      <c r="FB18" s="273"/>
      <c r="FC18" s="276"/>
      <c r="FD18" s="244"/>
      <c r="FE18" s="244"/>
      <c r="FF18" s="209"/>
      <c r="FG18" s="209"/>
      <c r="FH18" s="209"/>
      <c r="FI18" s="209"/>
      <c r="FJ18" s="277"/>
      <c r="FK18" s="273"/>
      <c r="FL18" s="273"/>
      <c r="FM18" s="273"/>
      <c r="FN18" s="273"/>
      <c r="FO18" s="273"/>
      <c r="FP18" s="273"/>
      <c r="FQ18" s="273"/>
      <c r="FR18" s="273"/>
      <c r="FS18" s="273"/>
      <c r="FT18" s="273"/>
      <c r="FU18" s="273"/>
      <c r="FV18" s="273"/>
      <c r="FW18" s="209"/>
      <c r="FX18" s="277"/>
      <c r="FY18" s="277"/>
      <c r="FZ18" s="277"/>
      <c r="GA18" s="277"/>
      <c r="GB18" s="277"/>
      <c r="GC18" s="277"/>
      <c r="GD18" s="278"/>
      <c r="GE18" s="277"/>
      <c r="GF18" s="273"/>
      <c r="GG18" s="278"/>
      <c r="GH18" s="273"/>
      <c r="GI18" s="276"/>
      <c r="GJ18" s="244"/>
      <c r="GK18" s="244"/>
      <c r="GL18" s="209"/>
      <c r="GM18" s="209"/>
      <c r="GN18" s="209"/>
      <c r="GO18" s="209"/>
      <c r="GP18" s="277"/>
      <c r="GQ18" s="273"/>
      <c r="GR18" s="274"/>
      <c r="GS18" s="273"/>
      <c r="GT18" s="273"/>
      <c r="GU18" s="273"/>
      <c r="GV18" s="274"/>
      <c r="GW18" s="274"/>
      <c r="GX18" s="273"/>
      <c r="GY18" s="273"/>
      <c r="GZ18" s="273"/>
      <c r="HA18" s="273"/>
      <c r="HB18" s="273"/>
      <c r="HC18" s="209"/>
      <c r="HD18" s="277"/>
      <c r="HE18" s="277"/>
      <c r="HF18" s="277"/>
      <c r="HG18" s="277"/>
      <c r="HH18" s="277"/>
      <c r="HI18" s="277"/>
      <c r="HJ18" s="278"/>
      <c r="HK18" s="277"/>
      <c r="HL18" s="273"/>
      <c r="HM18" s="278"/>
      <c r="HN18" s="273"/>
      <c r="HO18" s="276"/>
      <c r="HP18" s="244"/>
      <c r="HQ18" s="244"/>
      <c r="HR18" s="209"/>
      <c r="HS18" s="209"/>
      <c r="HT18" s="209"/>
      <c r="HU18" s="209"/>
      <c r="HV18" s="277"/>
      <c r="HW18" s="273"/>
      <c r="HX18" s="273"/>
      <c r="HY18" s="273"/>
      <c r="HZ18" s="273"/>
      <c r="IA18" s="273"/>
      <c r="IB18" s="273"/>
      <c r="IC18" s="273"/>
      <c r="ID18" s="273"/>
      <c r="IE18" s="273"/>
      <c r="IF18" s="273"/>
      <c r="IG18" s="273"/>
      <c r="IH18" s="273"/>
      <c r="II18" s="209"/>
      <c r="IJ18" s="277"/>
      <c r="IK18" s="277"/>
      <c r="IL18" s="277"/>
      <c r="IM18" s="277"/>
      <c r="IN18" s="277"/>
      <c r="IO18" s="277"/>
      <c r="IP18" s="278"/>
      <c r="IQ18" s="277"/>
      <c r="IR18" s="273"/>
      <c r="IS18" s="278"/>
      <c r="IT18" s="273"/>
      <c r="IU18" s="276"/>
      <c r="IV18" s="244"/>
      <c r="IW18" s="244"/>
      <c r="IX18" s="272"/>
      <c r="IY18" s="272"/>
      <c r="IZ18" s="272"/>
      <c r="JA18" s="272"/>
      <c r="JB18" s="274"/>
      <c r="JC18" s="273"/>
      <c r="JD18" s="273"/>
      <c r="JE18" s="273"/>
      <c r="JF18" s="273"/>
      <c r="JG18" s="273"/>
      <c r="JH18" s="273"/>
      <c r="JI18" s="273"/>
      <c r="JJ18" s="273"/>
      <c r="JK18" s="273"/>
      <c r="JL18" s="273"/>
      <c r="JM18" s="273"/>
      <c r="JN18" s="273"/>
      <c r="JO18" s="272"/>
      <c r="JP18" s="274"/>
      <c r="JQ18" s="274"/>
      <c r="JR18" s="274"/>
      <c r="JS18" s="274"/>
      <c r="JT18" s="274"/>
      <c r="JU18" s="274"/>
      <c r="JV18" s="275"/>
      <c r="JW18" s="274"/>
      <c r="JX18" s="273"/>
      <c r="JY18" s="275"/>
      <c r="JZ18" s="273"/>
      <c r="KA18" s="276"/>
      <c r="KB18" s="244"/>
      <c r="KC18" s="244"/>
      <c r="KD18" s="209"/>
      <c r="KE18" s="209"/>
      <c r="KF18" s="209"/>
      <c r="KG18" s="209"/>
      <c r="KH18" s="277"/>
      <c r="KI18" s="273"/>
      <c r="KJ18" s="273"/>
      <c r="KK18" s="273"/>
      <c r="KL18" s="273"/>
      <c r="KM18" s="273"/>
      <c r="KN18" s="273"/>
      <c r="KO18" s="273"/>
      <c r="KP18" s="273"/>
      <c r="KQ18" s="273"/>
      <c r="KR18" s="273"/>
      <c r="KS18" s="273"/>
      <c r="KT18" s="273"/>
      <c r="KU18" s="209"/>
      <c r="KV18" s="277"/>
      <c r="KW18" s="277"/>
      <c r="KX18" s="277"/>
      <c r="KY18" s="277"/>
      <c r="KZ18" s="277"/>
      <c r="LA18" s="277"/>
      <c r="LB18" s="278"/>
      <c r="LC18" s="277"/>
      <c r="LD18" s="273"/>
      <c r="LE18" s="278"/>
      <c r="LF18" s="273"/>
      <c r="LG18" s="276"/>
      <c r="LH18" s="244"/>
      <c r="LI18" s="244"/>
      <c r="LJ18" s="209"/>
      <c r="LK18" s="209"/>
      <c r="LL18" s="209"/>
      <c r="LM18" s="209"/>
      <c r="LN18" s="277"/>
      <c r="LO18" s="273"/>
      <c r="LP18" s="273"/>
      <c r="LQ18" s="273"/>
      <c r="LR18" s="273"/>
      <c r="LS18" s="273"/>
      <c r="LT18" s="273"/>
      <c r="LU18" s="273"/>
      <c r="LV18" s="273"/>
      <c r="LW18" s="273"/>
      <c r="LX18" s="273"/>
      <c r="LY18" s="273"/>
      <c r="LZ18" s="273"/>
      <c r="MA18" s="209"/>
      <c r="MB18" s="277"/>
      <c r="MC18" s="277"/>
      <c r="MD18" s="277"/>
      <c r="ME18" s="277"/>
      <c r="MF18" s="277"/>
      <c r="MG18" s="277"/>
      <c r="MH18" s="278"/>
      <c r="MI18" s="277"/>
      <c r="MJ18" s="273"/>
      <c r="MK18" s="278"/>
      <c r="ML18" s="273"/>
      <c r="MM18" s="276"/>
      <c r="MN18" s="244"/>
      <c r="MO18" s="244"/>
      <c r="MP18" s="209"/>
      <c r="MQ18" s="209"/>
      <c r="MR18" s="209"/>
      <c r="MS18" s="209"/>
      <c r="MT18" s="277"/>
      <c r="MU18" s="273"/>
      <c r="MV18" s="273"/>
      <c r="MW18" s="273"/>
      <c r="MX18" s="273"/>
      <c r="MY18" s="273"/>
      <c r="MZ18" s="273"/>
      <c r="NA18" s="273"/>
      <c r="NB18" s="273"/>
      <c r="NC18" s="273"/>
      <c r="ND18" s="273"/>
      <c r="NE18" s="273"/>
      <c r="NF18" s="273"/>
      <c r="NG18" s="209"/>
      <c r="NH18" s="277"/>
      <c r="NI18" s="277"/>
      <c r="NJ18" s="277"/>
      <c r="NK18" s="277"/>
      <c r="NL18" s="277"/>
      <c r="NM18" s="277"/>
      <c r="NN18" s="278"/>
      <c r="NO18" s="277"/>
      <c r="NP18" s="273"/>
      <c r="NQ18" s="278"/>
      <c r="NR18" s="273"/>
      <c r="NS18" s="276"/>
      <c r="NT18" s="384">
        <v>0</v>
      </c>
      <c r="NU18" s="384">
        <v>0</v>
      </c>
      <c r="NV18" s="384">
        <v>0</v>
      </c>
      <c r="NW18" s="384">
        <v>0</v>
      </c>
      <c r="NX18" s="384">
        <v>0</v>
      </c>
      <c r="NY18" s="384">
        <v>0</v>
      </c>
      <c r="NZ18" s="384">
        <v>0</v>
      </c>
      <c r="OA18" s="384">
        <v>0</v>
      </c>
      <c r="OB18" s="384">
        <v>0</v>
      </c>
      <c r="OC18" s="384">
        <v>0</v>
      </c>
      <c r="OD18" s="384">
        <v>0</v>
      </c>
      <c r="OE18" s="384">
        <v>0</v>
      </c>
      <c r="OF18" s="384">
        <v>0</v>
      </c>
      <c r="OG18" s="384">
        <v>0</v>
      </c>
      <c r="OH18" s="384">
        <v>0</v>
      </c>
      <c r="OI18" s="384">
        <v>0</v>
      </c>
      <c r="OJ18" s="384">
        <v>0</v>
      </c>
      <c r="OK18" s="384">
        <v>0</v>
      </c>
      <c r="OL18" s="384">
        <v>0</v>
      </c>
      <c r="OM18" s="384">
        <v>0</v>
      </c>
      <c r="ON18" s="384">
        <v>0</v>
      </c>
      <c r="OO18" s="384">
        <v>0</v>
      </c>
      <c r="OP18" s="384">
        <v>0</v>
      </c>
      <c r="OQ18" s="384">
        <v>0</v>
      </c>
      <c r="OR18" s="384">
        <v>0</v>
      </c>
      <c r="OS18" s="384">
        <v>0</v>
      </c>
      <c r="OT18" s="384">
        <v>0</v>
      </c>
      <c r="OU18" s="384">
        <v>0</v>
      </c>
      <c r="OV18" s="384">
        <v>0</v>
      </c>
      <c r="OW18" s="384">
        <v>0</v>
      </c>
      <c r="OX18" s="384">
        <v>0</v>
      </c>
      <c r="OY18" s="276">
        <f t="shared" si="9"/>
        <v>0</v>
      </c>
      <c r="OZ18" s="384">
        <v>0</v>
      </c>
      <c r="PA18" s="384">
        <v>0</v>
      </c>
      <c r="PB18" s="384">
        <v>0</v>
      </c>
      <c r="PC18" s="384">
        <v>0</v>
      </c>
      <c r="PD18" s="384">
        <v>0</v>
      </c>
      <c r="PE18" s="384">
        <v>0</v>
      </c>
      <c r="PF18" s="384">
        <v>0</v>
      </c>
      <c r="PG18" s="384">
        <v>0</v>
      </c>
      <c r="PH18" s="384">
        <v>0</v>
      </c>
      <c r="PI18" s="384">
        <v>0</v>
      </c>
      <c r="PJ18" s="384">
        <v>0</v>
      </c>
      <c r="PK18" s="384">
        <v>0</v>
      </c>
      <c r="PL18" s="384">
        <v>0</v>
      </c>
      <c r="PM18" s="384">
        <v>0</v>
      </c>
      <c r="PN18" s="384">
        <v>0</v>
      </c>
      <c r="PO18" s="384">
        <v>0</v>
      </c>
      <c r="PP18" s="384">
        <v>0</v>
      </c>
      <c r="PQ18" s="384">
        <v>0</v>
      </c>
      <c r="PR18" s="384">
        <v>0</v>
      </c>
      <c r="PS18" s="384">
        <v>0</v>
      </c>
      <c r="PT18" s="384">
        <v>0</v>
      </c>
      <c r="PU18" s="384">
        <v>0</v>
      </c>
      <c r="PV18" s="384">
        <v>0</v>
      </c>
      <c r="PW18" s="384">
        <v>0</v>
      </c>
      <c r="PX18" s="384">
        <v>0</v>
      </c>
      <c r="PY18" s="384">
        <v>0</v>
      </c>
      <c r="PZ18" s="384">
        <v>0</v>
      </c>
      <c r="QA18" s="384">
        <v>0</v>
      </c>
      <c r="QB18" s="384">
        <v>0</v>
      </c>
      <c r="QC18" s="384">
        <v>0</v>
      </c>
      <c r="QD18" s="276">
        <f t="shared" si="10"/>
        <v>0</v>
      </c>
      <c r="QE18" s="384">
        <v>0</v>
      </c>
      <c r="QF18" s="384">
        <v>0</v>
      </c>
      <c r="QG18" s="384">
        <v>0</v>
      </c>
      <c r="QH18" s="384">
        <v>0</v>
      </c>
      <c r="QI18" s="384">
        <v>0</v>
      </c>
      <c r="QJ18" s="384">
        <v>0</v>
      </c>
      <c r="QK18" s="384">
        <v>0</v>
      </c>
      <c r="QL18" s="384">
        <v>0</v>
      </c>
      <c r="QM18" s="384">
        <v>0</v>
      </c>
      <c r="QN18" s="384">
        <v>0</v>
      </c>
      <c r="QO18" s="384">
        <v>0</v>
      </c>
      <c r="QP18" s="384">
        <v>0</v>
      </c>
      <c r="QQ18" s="384">
        <v>0</v>
      </c>
      <c r="QR18" s="384">
        <v>0</v>
      </c>
      <c r="QS18" s="384">
        <v>0</v>
      </c>
      <c r="QT18" s="384">
        <v>0</v>
      </c>
      <c r="QU18" s="384">
        <v>0</v>
      </c>
      <c r="QV18" s="384">
        <v>0</v>
      </c>
      <c r="QW18" s="384">
        <v>0</v>
      </c>
      <c r="QX18" s="384">
        <v>0</v>
      </c>
      <c r="QY18" s="384">
        <v>0</v>
      </c>
      <c r="QZ18" s="384">
        <v>0</v>
      </c>
      <c r="RA18" s="384">
        <v>0</v>
      </c>
      <c r="RB18" s="384">
        <v>0</v>
      </c>
      <c r="RC18" s="384">
        <v>0</v>
      </c>
      <c r="RD18" s="384">
        <v>0</v>
      </c>
      <c r="RE18" s="384">
        <v>0</v>
      </c>
      <c r="RF18" s="384">
        <v>0</v>
      </c>
      <c r="RG18" s="384">
        <v>0</v>
      </c>
      <c r="RH18" s="384">
        <v>0</v>
      </c>
      <c r="RI18" s="384">
        <v>0</v>
      </c>
      <c r="RJ18" s="276">
        <v>0</v>
      </c>
      <c r="RK18" s="384">
        <v>0</v>
      </c>
      <c r="RL18" s="384">
        <v>0</v>
      </c>
      <c r="RM18" s="384">
        <v>0</v>
      </c>
      <c r="RN18" s="384">
        <v>0</v>
      </c>
      <c r="RO18" s="384">
        <v>0</v>
      </c>
      <c r="RP18" s="384">
        <v>0</v>
      </c>
      <c r="RQ18" s="384">
        <v>0</v>
      </c>
      <c r="RR18" s="384">
        <v>0</v>
      </c>
      <c r="RS18" s="384">
        <v>0</v>
      </c>
      <c r="RT18" s="384">
        <v>0</v>
      </c>
      <c r="RU18" s="384">
        <v>0</v>
      </c>
      <c r="RV18" s="384">
        <v>0</v>
      </c>
      <c r="RW18" s="384">
        <v>0</v>
      </c>
      <c r="RX18" s="384">
        <v>0</v>
      </c>
      <c r="RY18" s="384">
        <v>0</v>
      </c>
      <c r="RZ18" s="384">
        <v>0</v>
      </c>
      <c r="SA18" s="384">
        <v>0</v>
      </c>
      <c r="SB18" s="384">
        <v>0</v>
      </c>
      <c r="SC18" s="384">
        <v>0</v>
      </c>
      <c r="SD18" s="384">
        <v>0</v>
      </c>
      <c r="SE18" s="384">
        <v>0</v>
      </c>
      <c r="SF18" s="384">
        <v>0</v>
      </c>
      <c r="SG18" s="384">
        <v>0</v>
      </c>
      <c r="SH18" s="384">
        <v>0</v>
      </c>
      <c r="SI18" s="384">
        <v>0</v>
      </c>
      <c r="SJ18" s="384">
        <v>0</v>
      </c>
      <c r="SK18" s="384">
        <v>0</v>
      </c>
      <c r="SL18" s="384">
        <v>0</v>
      </c>
      <c r="SM18" s="384">
        <v>0</v>
      </c>
      <c r="SN18" s="384">
        <v>0</v>
      </c>
      <c r="SO18" s="235">
        <v>0</v>
      </c>
      <c r="SP18" s="384">
        <v>0</v>
      </c>
      <c r="SQ18" s="384">
        <v>0</v>
      </c>
      <c r="SR18" s="384">
        <v>0</v>
      </c>
      <c r="SS18" s="384">
        <v>0</v>
      </c>
      <c r="ST18" s="384">
        <v>0</v>
      </c>
      <c r="SU18" s="384">
        <v>0</v>
      </c>
      <c r="SV18" s="384">
        <v>0</v>
      </c>
      <c r="SW18" s="384">
        <v>0</v>
      </c>
      <c r="SX18" s="384">
        <v>0</v>
      </c>
      <c r="SY18" s="384">
        <v>0</v>
      </c>
      <c r="SZ18" s="384">
        <v>0</v>
      </c>
      <c r="TA18" s="384">
        <v>0</v>
      </c>
      <c r="TB18" s="384">
        <v>0</v>
      </c>
      <c r="TC18" s="384">
        <v>0</v>
      </c>
      <c r="TD18" s="384">
        <v>0</v>
      </c>
      <c r="TE18" s="384">
        <v>0</v>
      </c>
      <c r="TF18" s="384">
        <v>0</v>
      </c>
      <c r="TG18" s="384">
        <v>0</v>
      </c>
      <c r="TH18" s="384">
        <v>0</v>
      </c>
      <c r="TI18" s="384">
        <v>0</v>
      </c>
      <c r="TJ18" s="384">
        <v>0</v>
      </c>
      <c r="TK18" s="384">
        <v>0</v>
      </c>
      <c r="TL18" s="384">
        <v>0</v>
      </c>
      <c r="TM18" s="384">
        <v>0</v>
      </c>
      <c r="TN18" s="384">
        <v>0</v>
      </c>
      <c r="TO18" s="384">
        <v>0</v>
      </c>
      <c r="TP18" s="384">
        <v>0</v>
      </c>
      <c r="TQ18" s="384">
        <v>0</v>
      </c>
      <c r="TR18" s="384">
        <v>0</v>
      </c>
      <c r="TS18" s="384">
        <v>0</v>
      </c>
      <c r="TT18" s="384">
        <v>0</v>
      </c>
      <c r="TU18" s="235">
        <v>0</v>
      </c>
      <c r="TV18" s="384">
        <v>0</v>
      </c>
      <c r="TW18" s="384">
        <v>0</v>
      </c>
      <c r="TX18" s="384">
        <v>0</v>
      </c>
      <c r="TY18" s="384">
        <v>0</v>
      </c>
      <c r="TZ18" s="384">
        <v>0</v>
      </c>
      <c r="UA18" s="384">
        <v>0</v>
      </c>
      <c r="UB18" s="384">
        <v>0</v>
      </c>
      <c r="UC18" s="384">
        <v>0</v>
      </c>
      <c r="UD18" s="384">
        <v>0</v>
      </c>
      <c r="UE18" s="384">
        <v>0</v>
      </c>
      <c r="UF18" s="384">
        <v>0</v>
      </c>
      <c r="UG18" s="384">
        <v>0</v>
      </c>
      <c r="UH18" s="384">
        <v>0</v>
      </c>
      <c r="UI18" s="384">
        <v>0</v>
      </c>
      <c r="UJ18" s="384">
        <v>0</v>
      </c>
      <c r="UK18" s="384">
        <v>0</v>
      </c>
      <c r="UL18" s="384">
        <v>0</v>
      </c>
      <c r="UM18" s="384">
        <v>0</v>
      </c>
      <c r="UN18" s="384">
        <v>0</v>
      </c>
      <c r="UO18" s="384">
        <v>0</v>
      </c>
      <c r="UP18" s="384">
        <v>0</v>
      </c>
      <c r="UQ18" s="384">
        <v>0</v>
      </c>
      <c r="UR18" s="384">
        <v>0</v>
      </c>
      <c r="US18" s="384">
        <v>0</v>
      </c>
      <c r="UT18" s="384">
        <v>0</v>
      </c>
      <c r="UU18" s="384">
        <v>0</v>
      </c>
      <c r="UV18" s="384">
        <v>0</v>
      </c>
      <c r="UW18" s="384">
        <v>0</v>
      </c>
      <c r="UX18" s="384">
        <v>0</v>
      </c>
      <c r="UY18" s="384">
        <v>0</v>
      </c>
      <c r="UZ18" s="384">
        <v>0</v>
      </c>
      <c r="VA18" s="235">
        <v>0</v>
      </c>
      <c r="VB18" s="384">
        <v>0</v>
      </c>
      <c r="VC18" s="384">
        <v>0</v>
      </c>
      <c r="VD18" s="384">
        <v>0</v>
      </c>
      <c r="VE18" s="384">
        <v>0</v>
      </c>
      <c r="VF18" s="384">
        <v>0</v>
      </c>
      <c r="VG18" s="384">
        <v>0</v>
      </c>
      <c r="VH18" s="384">
        <v>0</v>
      </c>
      <c r="VI18" s="384">
        <v>0</v>
      </c>
      <c r="VJ18" s="384">
        <v>0</v>
      </c>
      <c r="VK18" s="384">
        <v>0</v>
      </c>
      <c r="VL18" s="384">
        <v>0</v>
      </c>
      <c r="VM18" s="384">
        <v>0</v>
      </c>
      <c r="VN18" s="384">
        <v>0</v>
      </c>
      <c r="VO18" s="384">
        <v>0</v>
      </c>
      <c r="VP18" s="384">
        <v>0</v>
      </c>
      <c r="VQ18" s="384">
        <v>0</v>
      </c>
      <c r="VR18" s="384">
        <v>0</v>
      </c>
      <c r="VS18" s="384">
        <v>0</v>
      </c>
      <c r="VT18" s="384">
        <v>0</v>
      </c>
      <c r="VU18" s="384">
        <v>0</v>
      </c>
      <c r="VV18" s="384">
        <v>0</v>
      </c>
      <c r="VW18" s="384">
        <v>0</v>
      </c>
      <c r="VX18" s="384">
        <v>0</v>
      </c>
      <c r="VY18" s="384">
        <v>0</v>
      </c>
      <c r="VZ18" s="384">
        <v>0</v>
      </c>
      <c r="WA18" s="384">
        <v>0</v>
      </c>
      <c r="WB18" s="384">
        <v>0</v>
      </c>
      <c r="WC18" s="384">
        <v>0</v>
      </c>
      <c r="WD18" s="384">
        <v>0</v>
      </c>
      <c r="WE18" s="384">
        <v>0</v>
      </c>
      <c r="WF18" s="235">
        <v>0</v>
      </c>
      <c r="WG18" s="384">
        <v>0</v>
      </c>
      <c r="WH18" s="384">
        <v>0</v>
      </c>
      <c r="WI18" s="384">
        <v>0</v>
      </c>
      <c r="WJ18" s="384">
        <v>0</v>
      </c>
      <c r="WK18" s="384">
        <v>0</v>
      </c>
      <c r="WL18" s="384">
        <v>0</v>
      </c>
      <c r="WM18" s="384">
        <v>0</v>
      </c>
      <c r="WN18" s="384">
        <v>0</v>
      </c>
      <c r="WO18" s="384">
        <v>0</v>
      </c>
      <c r="WP18" s="384">
        <v>0</v>
      </c>
      <c r="WQ18" s="384">
        <v>0</v>
      </c>
      <c r="WR18" s="384">
        <v>0</v>
      </c>
      <c r="WS18" s="384">
        <v>0</v>
      </c>
      <c r="WT18" s="384">
        <v>0</v>
      </c>
      <c r="WU18" s="384">
        <v>0</v>
      </c>
      <c r="WV18" s="384">
        <v>0</v>
      </c>
      <c r="WW18" s="384">
        <v>0</v>
      </c>
      <c r="WX18" s="384">
        <v>0</v>
      </c>
      <c r="WY18" s="384">
        <v>0</v>
      </c>
      <c r="WZ18" s="384">
        <v>0</v>
      </c>
      <c r="XA18" s="384">
        <v>0</v>
      </c>
      <c r="XB18" s="384">
        <v>0</v>
      </c>
      <c r="XC18" s="384">
        <v>0</v>
      </c>
      <c r="XD18" s="384">
        <v>0</v>
      </c>
      <c r="XE18" s="384">
        <v>0</v>
      </c>
      <c r="XF18" s="384">
        <v>0</v>
      </c>
      <c r="XG18" s="384">
        <v>0</v>
      </c>
      <c r="XH18" s="384">
        <v>0</v>
      </c>
      <c r="XI18" s="384">
        <v>0</v>
      </c>
      <c r="XJ18" s="384">
        <v>0</v>
      </c>
      <c r="XK18" s="384">
        <v>0</v>
      </c>
      <c r="XL18" s="235">
        <v>0</v>
      </c>
      <c r="XM18" s="384">
        <v>0</v>
      </c>
      <c r="XN18" s="384">
        <v>0</v>
      </c>
      <c r="XO18" s="384">
        <v>0</v>
      </c>
      <c r="XP18" s="384">
        <v>0</v>
      </c>
      <c r="XQ18" s="384">
        <v>0</v>
      </c>
      <c r="XR18" s="384">
        <v>0</v>
      </c>
      <c r="XS18" s="384">
        <v>0</v>
      </c>
      <c r="XT18" s="384">
        <v>0</v>
      </c>
      <c r="XU18" s="384">
        <v>0</v>
      </c>
      <c r="XV18" s="384">
        <v>0</v>
      </c>
      <c r="XW18" s="384">
        <v>0</v>
      </c>
      <c r="XX18" s="384">
        <v>0</v>
      </c>
      <c r="XY18" s="384">
        <v>0</v>
      </c>
      <c r="XZ18" s="384">
        <v>0</v>
      </c>
      <c r="YA18" s="384">
        <v>0</v>
      </c>
      <c r="YB18" s="384">
        <v>0</v>
      </c>
      <c r="YC18" s="384">
        <v>0</v>
      </c>
      <c r="YD18" s="384">
        <v>0</v>
      </c>
      <c r="YE18" s="384">
        <v>0</v>
      </c>
      <c r="YF18" s="384">
        <v>0</v>
      </c>
      <c r="YG18" s="384">
        <v>0</v>
      </c>
      <c r="YH18" s="384">
        <v>0</v>
      </c>
      <c r="YI18" s="384">
        <v>0</v>
      </c>
      <c r="YJ18" s="384">
        <v>0</v>
      </c>
      <c r="YK18" s="384">
        <v>0</v>
      </c>
      <c r="YL18" s="384">
        <v>0</v>
      </c>
      <c r="YM18" s="384">
        <v>0</v>
      </c>
      <c r="YN18" s="384">
        <v>0</v>
      </c>
      <c r="YO18" s="384">
        <v>0</v>
      </c>
      <c r="YP18" s="384">
        <v>0</v>
      </c>
      <c r="YQ18" s="384">
        <v>0</v>
      </c>
      <c r="YR18" s="235">
        <v>0</v>
      </c>
      <c r="YS18" s="384">
        <v>0</v>
      </c>
      <c r="YT18" s="384">
        <v>0</v>
      </c>
      <c r="YU18" s="384">
        <v>0</v>
      </c>
      <c r="YV18" s="384">
        <v>0</v>
      </c>
      <c r="YW18" s="384">
        <v>0</v>
      </c>
      <c r="YX18" s="384">
        <v>0</v>
      </c>
      <c r="YY18" s="384">
        <v>0</v>
      </c>
      <c r="YZ18" s="384">
        <v>0</v>
      </c>
      <c r="ZA18" s="384">
        <v>0</v>
      </c>
      <c r="ZB18" s="384">
        <v>0</v>
      </c>
      <c r="ZC18" s="384">
        <v>0</v>
      </c>
      <c r="ZD18" s="384">
        <v>0</v>
      </c>
      <c r="ZE18" s="384">
        <v>0</v>
      </c>
      <c r="ZF18" s="384">
        <v>0</v>
      </c>
      <c r="ZG18" s="384">
        <v>0</v>
      </c>
      <c r="ZH18" s="384">
        <v>0</v>
      </c>
      <c r="ZI18" s="384">
        <v>0</v>
      </c>
      <c r="ZJ18" s="384">
        <v>0</v>
      </c>
      <c r="ZK18" s="384">
        <v>0</v>
      </c>
      <c r="ZL18" s="384">
        <v>0</v>
      </c>
      <c r="ZM18" s="384">
        <v>0</v>
      </c>
      <c r="ZN18" s="384">
        <v>0</v>
      </c>
      <c r="ZO18" s="384">
        <v>0</v>
      </c>
      <c r="ZP18" s="384">
        <v>0</v>
      </c>
      <c r="ZQ18" s="384">
        <v>0</v>
      </c>
      <c r="ZR18" s="384">
        <v>0</v>
      </c>
      <c r="ZS18" s="384">
        <v>0</v>
      </c>
      <c r="ZT18" s="384">
        <v>0</v>
      </c>
      <c r="ZU18" s="384">
        <v>0</v>
      </c>
      <c r="ZV18" s="384">
        <v>0</v>
      </c>
      <c r="ZW18" s="384">
        <v>0</v>
      </c>
      <c r="ZX18" s="235">
        <v>0</v>
      </c>
      <c r="ZY18" s="384">
        <v>0</v>
      </c>
      <c r="ZZ18" s="384">
        <v>0</v>
      </c>
      <c r="AAA18" s="384">
        <v>0</v>
      </c>
      <c r="AAB18" s="384">
        <v>0</v>
      </c>
      <c r="AAC18" s="384">
        <v>0</v>
      </c>
      <c r="AAD18" s="384">
        <v>0</v>
      </c>
      <c r="AAE18" s="384">
        <v>0</v>
      </c>
      <c r="AAF18" s="384">
        <v>0</v>
      </c>
      <c r="AAG18" s="384">
        <v>0</v>
      </c>
      <c r="AAH18" s="384">
        <v>0</v>
      </c>
      <c r="AAI18" s="384">
        <v>0</v>
      </c>
      <c r="AAJ18" s="384">
        <v>0</v>
      </c>
      <c r="AAK18" s="384">
        <v>0</v>
      </c>
      <c r="AAL18" s="384">
        <v>0</v>
      </c>
      <c r="AAM18" s="384">
        <v>0</v>
      </c>
      <c r="AAN18" s="384">
        <v>0</v>
      </c>
      <c r="AAO18" s="384">
        <v>0</v>
      </c>
      <c r="AAP18" s="384">
        <v>0</v>
      </c>
      <c r="AAQ18" s="384">
        <v>0</v>
      </c>
      <c r="AAR18" s="384">
        <v>0</v>
      </c>
      <c r="AAS18" s="384">
        <v>0</v>
      </c>
      <c r="AAT18" s="384">
        <v>0</v>
      </c>
      <c r="AAU18" s="384">
        <v>0</v>
      </c>
      <c r="AAV18" s="384">
        <v>0</v>
      </c>
      <c r="AAW18" s="384">
        <v>0</v>
      </c>
      <c r="AAX18" s="384">
        <v>0</v>
      </c>
      <c r="AAY18" s="384">
        <v>0</v>
      </c>
      <c r="AAZ18" s="384">
        <v>0</v>
      </c>
      <c r="ABA18" s="276">
        <f t="shared" si="11"/>
        <v>0</v>
      </c>
      <c r="ABB18" s="384">
        <v>0</v>
      </c>
      <c r="ABC18" s="384">
        <v>0</v>
      </c>
      <c r="ABD18" s="384">
        <v>0</v>
      </c>
      <c r="ABE18" s="384">
        <v>0</v>
      </c>
      <c r="ABF18" s="384">
        <v>0</v>
      </c>
      <c r="ABG18" s="384">
        <v>0</v>
      </c>
      <c r="ABH18" s="384">
        <v>0</v>
      </c>
      <c r="ABI18" s="384">
        <v>0</v>
      </c>
      <c r="ABJ18" s="384">
        <v>0</v>
      </c>
      <c r="ABK18" s="384">
        <v>0</v>
      </c>
      <c r="ABL18" s="384">
        <v>0</v>
      </c>
      <c r="ABM18" s="384">
        <v>0</v>
      </c>
      <c r="ABN18" s="384">
        <v>0</v>
      </c>
      <c r="ABO18" s="384">
        <v>0</v>
      </c>
      <c r="ABP18" s="384">
        <v>0</v>
      </c>
      <c r="ABQ18" s="384">
        <v>0</v>
      </c>
      <c r="ABR18" s="384">
        <v>0</v>
      </c>
      <c r="ABS18" s="384">
        <v>0</v>
      </c>
      <c r="ABT18" s="384">
        <v>0</v>
      </c>
      <c r="ABU18" s="384">
        <v>0</v>
      </c>
      <c r="ABV18" s="384">
        <v>0</v>
      </c>
      <c r="ABW18" s="384">
        <v>0</v>
      </c>
      <c r="ABX18" s="384">
        <v>0</v>
      </c>
      <c r="ABY18" s="480">
        <v>0</v>
      </c>
      <c r="ABZ18" s="480">
        <v>0</v>
      </c>
      <c r="ACA18" s="480">
        <v>0</v>
      </c>
      <c r="ACB18" s="480">
        <v>0</v>
      </c>
      <c r="ACC18" s="480">
        <v>0</v>
      </c>
      <c r="ACD18" s="480">
        <v>0</v>
      </c>
      <c r="ACE18" s="480">
        <v>0</v>
      </c>
      <c r="ACF18" s="480">
        <v>0</v>
      </c>
      <c r="ACG18" s="276">
        <v>0</v>
      </c>
      <c r="ACH18" s="384">
        <v>0</v>
      </c>
      <c r="ACI18" s="384">
        <v>0</v>
      </c>
      <c r="ACJ18" s="384">
        <v>0</v>
      </c>
      <c r="ACK18" s="384">
        <v>0</v>
      </c>
      <c r="ACL18" s="384">
        <v>0</v>
      </c>
      <c r="ACM18" s="384">
        <v>0</v>
      </c>
      <c r="ACN18" s="384">
        <v>0</v>
      </c>
      <c r="ACO18" s="384">
        <v>0</v>
      </c>
      <c r="ACP18" s="384">
        <v>0</v>
      </c>
      <c r="ACQ18" s="384">
        <v>0</v>
      </c>
      <c r="ACR18" s="384">
        <v>0</v>
      </c>
      <c r="ACS18" s="384">
        <v>0</v>
      </c>
      <c r="ACT18" s="384">
        <v>0</v>
      </c>
      <c r="ACU18" s="384">
        <v>0</v>
      </c>
      <c r="ACV18" s="384">
        <v>0</v>
      </c>
      <c r="ACW18" s="384">
        <v>0</v>
      </c>
      <c r="ACX18" s="384">
        <v>0</v>
      </c>
      <c r="ACY18" s="384">
        <v>0</v>
      </c>
      <c r="ACZ18" s="384">
        <v>0</v>
      </c>
      <c r="ADA18" s="384">
        <v>0</v>
      </c>
      <c r="ADB18" s="384">
        <v>0</v>
      </c>
      <c r="ADC18" s="384">
        <v>0</v>
      </c>
      <c r="ADD18" s="384">
        <v>0</v>
      </c>
      <c r="ADE18" s="384">
        <v>0</v>
      </c>
      <c r="ADF18" s="384">
        <v>0</v>
      </c>
      <c r="ADG18" s="384">
        <v>0</v>
      </c>
      <c r="ADH18" s="384">
        <v>0</v>
      </c>
      <c r="ADI18" s="384">
        <v>0</v>
      </c>
      <c r="ADJ18" s="384">
        <v>0</v>
      </c>
      <c r="ADK18" s="384">
        <v>0</v>
      </c>
      <c r="ADL18" s="384">
        <v>0</v>
      </c>
      <c r="ADM18" s="276">
        <v>0</v>
      </c>
      <c r="ADN18" s="384">
        <v>0</v>
      </c>
      <c r="ADO18" s="384">
        <v>0</v>
      </c>
      <c r="ADP18" s="384">
        <v>0</v>
      </c>
      <c r="ADQ18" s="220">
        <v>0</v>
      </c>
      <c r="ADR18" s="220">
        <v>0</v>
      </c>
      <c r="ADS18" s="220">
        <v>0</v>
      </c>
      <c r="ADT18" s="220">
        <v>0</v>
      </c>
      <c r="ADU18" s="220">
        <v>0</v>
      </c>
      <c r="ADV18" s="220">
        <v>0</v>
      </c>
      <c r="ADW18" s="220">
        <v>0</v>
      </c>
      <c r="ADX18" s="220">
        <v>0</v>
      </c>
      <c r="ADY18" s="220">
        <v>0</v>
      </c>
      <c r="ADZ18" s="220">
        <v>0</v>
      </c>
      <c r="AEA18" s="220">
        <v>0</v>
      </c>
      <c r="AEB18" s="220">
        <v>0</v>
      </c>
      <c r="AEC18" s="220">
        <v>0</v>
      </c>
      <c r="AED18" s="220">
        <v>0</v>
      </c>
      <c r="AEE18" s="220">
        <v>0</v>
      </c>
      <c r="AEF18" s="220">
        <v>0</v>
      </c>
      <c r="AEG18" s="220">
        <v>0</v>
      </c>
      <c r="AEH18" s="220">
        <v>0</v>
      </c>
      <c r="AEI18" s="220">
        <v>0</v>
      </c>
      <c r="AEJ18" s="220">
        <v>0</v>
      </c>
      <c r="AEK18" s="220">
        <v>0</v>
      </c>
      <c r="AEL18" s="220">
        <v>0</v>
      </c>
      <c r="AEM18" s="220">
        <v>0</v>
      </c>
      <c r="AEN18" s="220">
        <v>0</v>
      </c>
      <c r="AEO18" s="384">
        <v>0</v>
      </c>
      <c r="AEP18" s="384">
        <v>0</v>
      </c>
      <c r="AEQ18" s="384">
        <v>0</v>
      </c>
      <c r="AER18" s="384">
        <v>0</v>
      </c>
      <c r="AES18" s="276">
        <v>0</v>
      </c>
      <c r="AET18" s="384">
        <v>0</v>
      </c>
      <c r="AEU18" s="384">
        <v>0</v>
      </c>
      <c r="AEV18" s="384">
        <v>0</v>
      </c>
      <c r="AEW18" s="384">
        <v>0</v>
      </c>
      <c r="AEX18" s="384">
        <v>0</v>
      </c>
      <c r="AEY18" s="384">
        <v>0</v>
      </c>
      <c r="AEZ18" s="384">
        <v>0</v>
      </c>
      <c r="AFA18" s="384">
        <v>0</v>
      </c>
      <c r="AFB18" s="384">
        <v>0</v>
      </c>
      <c r="AFC18" s="384">
        <v>0</v>
      </c>
      <c r="AFD18" s="384">
        <v>0</v>
      </c>
      <c r="AFE18" s="384">
        <v>0</v>
      </c>
      <c r="AFF18" s="384">
        <v>0</v>
      </c>
      <c r="AFG18" s="384">
        <v>0</v>
      </c>
      <c r="AFH18" s="384">
        <v>0</v>
      </c>
      <c r="AFI18" s="384">
        <v>0</v>
      </c>
      <c r="AFJ18" s="384">
        <v>0</v>
      </c>
      <c r="AFK18" s="384">
        <v>0</v>
      </c>
      <c r="AFL18" s="384">
        <v>0</v>
      </c>
      <c r="AFM18" s="384">
        <v>0</v>
      </c>
      <c r="AFN18" s="384">
        <v>0</v>
      </c>
      <c r="AFO18" s="384">
        <v>0</v>
      </c>
      <c r="AFP18" s="384">
        <v>0</v>
      </c>
      <c r="AFQ18" s="384">
        <v>0</v>
      </c>
      <c r="AFR18" s="384">
        <v>0</v>
      </c>
      <c r="AFS18" s="384">
        <v>0</v>
      </c>
      <c r="AFT18" s="384">
        <v>0</v>
      </c>
      <c r="AFU18" s="384">
        <v>0</v>
      </c>
      <c r="AFV18" s="384">
        <v>0</v>
      </c>
      <c r="AFW18" s="384">
        <v>0</v>
      </c>
      <c r="AFX18" s="276">
        <v>0</v>
      </c>
      <c r="AFY18" s="220">
        <v>0</v>
      </c>
      <c r="AFZ18" s="220">
        <v>0</v>
      </c>
      <c r="AGA18" s="220">
        <v>0</v>
      </c>
      <c r="AGB18" s="220">
        <v>0</v>
      </c>
      <c r="AGC18" s="220">
        <v>0</v>
      </c>
      <c r="AGD18" s="220">
        <v>0</v>
      </c>
      <c r="AGE18" s="220">
        <v>0</v>
      </c>
      <c r="AGF18" s="220">
        <v>0</v>
      </c>
      <c r="AGG18" s="220">
        <v>0</v>
      </c>
      <c r="AGH18" s="220">
        <v>0</v>
      </c>
      <c r="AGI18" s="220">
        <v>0</v>
      </c>
      <c r="AGJ18" s="220">
        <v>0</v>
      </c>
      <c r="AGK18" s="220">
        <v>0</v>
      </c>
      <c r="AGL18" s="220">
        <v>0</v>
      </c>
      <c r="AGM18" s="220">
        <v>0</v>
      </c>
      <c r="AGN18" s="220">
        <v>0</v>
      </c>
      <c r="AGO18" s="220">
        <v>0</v>
      </c>
      <c r="AGP18" s="220">
        <v>0</v>
      </c>
      <c r="AGQ18" s="220">
        <v>0</v>
      </c>
      <c r="AGR18" s="220">
        <v>0</v>
      </c>
      <c r="AGS18" s="220">
        <v>0</v>
      </c>
      <c r="AGT18" s="220">
        <v>0</v>
      </c>
      <c r="AGU18" s="220">
        <v>0</v>
      </c>
      <c r="AGV18" s="220">
        <v>0</v>
      </c>
      <c r="AGW18" s="220">
        <v>0</v>
      </c>
      <c r="AGX18" s="220">
        <v>0</v>
      </c>
      <c r="AGY18" s="220">
        <v>0</v>
      </c>
      <c r="AGZ18" s="220">
        <v>0</v>
      </c>
      <c r="AHA18" s="220">
        <v>0</v>
      </c>
      <c r="AHB18" s="220">
        <v>0</v>
      </c>
      <c r="AHC18" s="220">
        <v>0</v>
      </c>
      <c r="AHD18" s="276">
        <v>0</v>
      </c>
      <c r="AHE18" s="220">
        <v>0</v>
      </c>
      <c r="AHF18" s="220">
        <v>0</v>
      </c>
      <c r="AHG18" s="220">
        <v>0</v>
      </c>
      <c r="AHH18" s="490">
        <v>7183.5379999999996</v>
      </c>
      <c r="AHI18" s="490">
        <v>7301.6379999999999</v>
      </c>
      <c r="AHJ18" s="490">
        <v>7300.4009999999998</v>
      </c>
      <c r="AHK18" s="220">
        <v>0</v>
      </c>
      <c r="AHL18" s="220">
        <v>0</v>
      </c>
      <c r="AHM18" s="220">
        <v>0</v>
      </c>
      <c r="AHN18" s="220">
        <v>0</v>
      </c>
      <c r="AHO18" s="220">
        <v>0</v>
      </c>
      <c r="AHP18" s="220">
        <v>0</v>
      </c>
      <c r="AHQ18" s="220">
        <v>0</v>
      </c>
      <c r="AHR18" s="220">
        <v>0</v>
      </c>
      <c r="AHS18" s="220">
        <v>0</v>
      </c>
      <c r="AHT18" s="220">
        <v>0</v>
      </c>
      <c r="AHU18" s="220">
        <v>0</v>
      </c>
      <c r="AHV18" s="220">
        <v>0</v>
      </c>
      <c r="AHW18" s="220">
        <v>0</v>
      </c>
      <c r="AHX18" s="220">
        <v>0</v>
      </c>
      <c r="AHY18" s="220">
        <v>0</v>
      </c>
      <c r="AHZ18" s="220">
        <v>0</v>
      </c>
      <c r="AIA18" s="220">
        <v>0</v>
      </c>
      <c r="AIB18" s="220">
        <v>0</v>
      </c>
      <c r="AIC18" s="220">
        <v>0</v>
      </c>
      <c r="AID18" s="220">
        <v>0</v>
      </c>
      <c r="AIE18" s="220">
        <v>0</v>
      </c>
      <c r="AIF18" s="220">
        <v>0</v>
      </c>
      <c r="AIG18" s="220">
        <v>0</v>
      </c>
      <c r="AIH18" s="220">
        <v>0</v>
      </c>
      <c r="AII18" s="220">
        <v>0</v>
      </c>
      <c r="AIJ18" s="235">
        <v>21785.576999999997</v>
      </c>
      <c r="AIK18" s="479">
        <v>0</v>
      </c>
      <c r="AIL18" s="479">
        <v>0</v>
      </c>
      <c r="AIM18" s="479">
        <v>0</v>
      </c>
      <c r="AIN18" s="479">
        <v>0</v>
      </c>
      <c r="AIO18" s="479">
        <v>0</v>
      </c>
      <c r="AIP18" s="479">
        <v>0</v>
      </c>
      <c r="AIQ18" s="479">
        <v>0</v>
      </c>
      <c r="AIR18" s="479">
        <v>0</v>
      </c>
      <c r="AIS18" s="479">
        <v>0</v>
      </c>
      <c r="AIT18" s="479">
        <v>0</v>
      </c>
      <c r="AIU18" s="479">
        <v>0</v>
      </c>
      <c r="AIV18" s="479">
        <v>0</v>
      </c>
      <c r="AIW18" s="479">
        <v>0</v>
      </c>
      <c r="AIX18" s="479">
        <v>0</v>
      </c>
      <c r="AIY18" s="479">
        <v>0</v>
      </c>
      <c r="AIZ18" s="479">
        <v>0</v>
      </c>
      <c r="AJA18" s="479">
        <v>0</v>
      </c>
      <c r="AJB18" s="479">
        <v>0</v>
      </c>
      <c r="AJC18" s="479">
        <v>0</v>
      </c>
      <c r="AJD18" s="479">
        <v>0</v>
      </c>
      <c r="AJE18" s="479">
        <v>0</v>
      </c>
      <c r="AJF18" s="479">
        <v>0</v>
      </c>
      <c r="AJG18" s="479">
        <v>0</v>
      </c>
      <c r="AJH18" s="479">
        <v>0</v>
      </c>
      <c r="AJI18" s="479">
        <v>0</v>
      </c>
      <c r="AJJ18" s="479">
        <v>0</v>
      </c>
      <c r="AJK18" s="479">
        <v>0</v>
      </c>
      <c r="AJL18" s="479">
        <v>0</v>
      </c>
      <c r="AJM18" s="479">
        <v>0</v>
      </c>
      <c r="AJN18" s="479">
        <v>0</v>
      </c>
      <c r="AJO18" s="235">
        <v>0</v>
      </c>
      <c r="AJP18" s="499">
        <v>7318.223</v>
      </c>
      <c r="AJQ18" s="479">
        <v>0</v>
      </c>
      <c r="AJR18" s="479">
        <v>0</v>
      </c>
      <c r="AJS18" s="479">
        <v>0</v>
      </c>
      <c r="AJT18" s="479">
        <v>0</v>
      </c>
      <c r="AJU18" s="479">
        <v>0</v>
      </c>
      <c r="AJV18" s="479">
        <v>0</v>
      </c>
      <c r="AJW18" s="479">
        <v>0</v>
      </c>
      <c r="AJX18" s="479">
        <v>0</v>
      </c>
      <c r="AJY18" s="479">
        <v>0</v>
      </c>
      <c r="AJZ18" s="479">
        <v>0</v>
      </c>
      <c r="AKA18" s="479">
        <v>0</v>
      </c>
      <c r="AKB18" s="479">
        <v>0</v>
      </c>
      <c r="AKC18" s="479">
        <v>0</v>
      </c>
      <c r="AKD18" s="479">
        <v>0</v>
      </c>
      <c r="AKE18" s="479">
        <v>0</v>
      </c>
      <c r="AKF18" s="479">
        <v>0</v>
      </c>
      <c r="AKG18" s="479">
        <v>0</v>
      </c>
      <c r="AKH18" s="479">
        <v>0</v>
      </c>
      <c r="AKI18" s="479">
        <v>0</v>
      </c>
      <c r="AKJ18" s="479">
        <v>0</v>
      </c>
      <c r="AKK18" s="479">
        <v>0</v>
      </c>
      <c r="AKL18" s="479">
        <v>0</v>
      </c>
      <c r="AKM18" s="479">
        <v>0</v>
      </c>
      <c r="AKN18" s="479">
        <v>0</v>
      </c>
      <c r="AKO18" s="479">
        <v>0</v>
      </c>
      <c r="AKP18" s="479">
        <v>0</v>
      </c>
      <c r="AKQ18" s="479">
        <v>0</v>
      </c>
      <c r="AKR18" s="479">
        <v>0</v>
      </c>
      <c r="AKS18" s="479">
        <v>0</v>
      </c>
      <c r="AKT18" s="479">
        <v>0</v>
      </c>
      <c r="AKU18" s="235">
        <v>7318.223</v>
      </c>
      <c r="AKV18" s="479">
        <v>0</v>
      </c>
      <c r="AKW18" s="479">
        <v>0</v>
      </c>
      <c r="AKX18" s="479">
        <v>0</v>
      </c>
      <c r="AKY18" s="479">
        <v>0</v>
      </c>
      <c r="AKZ18" s="479">
        <v>0</v>
      </c>
      <c r="ALA18" s="479">
        <v>0</v>
      </c>
      <c r="ALB18" s="479">
        <v>0</v>
      </c>
      <c r="ALC18" s="479">
        <v>0</v>
      </c>
      <c r="ALD18" s="479">
        <v>0</v>
      </c>
      <c r="ALE18" s="479">
        <v>0</v>
      </c>
      <c r="ALF18" s="479">
        <v>0</v>
      </c>
      <c r="ALG18" s="479">
        <v>0</v>
      </c>
      <c r="ALH18" s="479">
        <v>0</v>
      </c>
      <c r="ALI18" s="479">
        <v>0</v>
      </c>
      <c r="ALJ18" s="479">
        <v>0</v>
      </c>
      <c r="ALK18" s="479">
        <v>0</v>
      </c>
      <c r="ALL18" s="479">
        <v>0</v>
      </c>
      <c r="ALM18" s="479">
        <v>0</v>
      </c>
      <c r="ALN18" s="479">
        <v>0</v>
      </c>
      <c r="ALO18" s="479">
        <v>0</v>
      </c>
      <c r="ALP18" s="479">
        <v>0</v>
      </c>
      <c r="ALQ18" s="479">
        <v>0</v>
      </c>
      <c r="ALR18" s="479">
        <v>0</v>
      </c>
      <c r="ALS18" s="479">
        <v>0</v>
      </c>
      <c r="ALT18" s="479">
        <v>0</v>
      </c>
      <c r="ALU18" s="479">
        <v>0</v>
      </c>
      <c r="ALV18" s="479">
        <v>0</v>
      </c>
      <c r="ALW18" s="479">
        <v>0</v>
      </c>
      <c r="ALX18" s="479">
        <v>0</v>
      </c>
      <c r="ALY18" s="479">
        <v>0</v>
      </c>
      <c r="ALZ18" s="235">
        <v>0</v>
      </c>
      <c r="AMA18" s="479">
        <v>0</v>
      </c>
      <c r="AMB18" s="479">
        <v>0</v>
      </c>
      <c r="AMC18" s="479">
        <v>0</v>
      </c>
      <c r="AMD18" s="479">
        <v>0</v>
      </c>
      <c r="AME18" s="479">
        <v>0</v>
      </c>
      <c r="AMF18" s="479">
        <v>0</v>
      </c>
      <c r="AMG18" s="479">
        <v>0</v>
      </c>
      <c r="AMH18" s="479">
        <v>0</v>
      </c>
      <c r="AMI18" s="479">
        <v>0</v>
      </c>
      <c r="AMJ18" s="479">
        <v>0</v>
      </c>
      <c r="AMK18" s="479">
        <v>0</v>
      </c>
      <c r="AML18" s="479">
        <v>0</v>
      </c>
      <c r="AMM18" s="479">
        <v>0</v>
      </c>
      <c r="AMN18" s="479">
        <v>0</v>
      </c>
      <c r="AMO18" s="479">
        <v>0</v>
      </c>
      <c r="AMP18" s="479">
        <v>0</v>
      </c>
      <c r="AMQ18" s="479">
        <v>0</v>
      </c>
      <c r="AMR18" s="479">
        <v>0</v>
      </c>
      <c r="AMS18" s="479">
        <v>0</v>
      </c>
      <c r="AMT18" s="479">
        <v>0</v>
      </c>
      <c r="AMU18" s="479">
        <v>0</v>
      </c>
      <c r="AMV18" s="479">
        <v>0</v>
      </c>
      <c r="AMW18" s="479">
        <v>0</v>
      </c>
      <c r="AMX18" s="479">
        <v>0</v>
      </c>
      <c r="AMY18" s="479">
        <v>0</v>
      </c>
      <c r="AMZ18" s="479">
        <v>0</v>
      </c>
      <c r="ANA18" s="479">
        <v>0</v>
      </c>
      <c r="ANB18" s="479">
        <v>0</v>
      </c>
      <c r="ANC18" s="479">
        <v>0</v>
      </c>
      <c r="AND18" s="479"/>
      <c r="ANE18" s="479">
        <v>0</v>
      </c>
      <c r="ANF18" s="235">
        <f t="shared" si="2"/>
        <v>0</v>
      </c>
      <c r="ANG18" s="480">
        <v>0</v>
      </c>
      <c r="ANH18" s="480">
        <v>0</v>
      </c>
      <c r="ANI18" s="480">
        <v>0</v>
      </c>
      <c r="ANJ18" s="480">
        <v>0</v>
      </c>
      <c r="ANK18" s="480">
        <v>0</v>
      </c>
      <c r="ANL18" s="480">
        <v>0</v>
      </c>
      <c r="ANM18" s="480">
        <v>0</v>
      </c>
      <c r="ANN18" s="480">
        <v>0</v>
      </c>
      <c r="ANO18" s="480">
        <v>0</v>
      </c>
      <c r="ANP18" s="480">
        <v>0</v>
      </c>
      <c r="ANQ18" s="480">
        <v>0</v>
      </c>
      <c r="ANR18" s="480">
        <v>0</v>
      </c>
      <c r="ANS18" s="480">
        <v>0</v>
      </c>
      <c r="ANT18" s="480">
        <v>0</v>
      </c>
      <c r="ANU18" s="480">
        <v>0</v>
      </c>
      <c r="ANV18" s="480">
        <v>0</v>
      </c>
      <c r="ANW18" s="480">
        <v>0</v>
      </c>
      <c r="ANX18" s="480">
        <v>0</v>
      </c>
      <c r="ANY18" s="480">
        <v>0</v>
      </c>
      <c r="ANZ18" s="480">
        <v>0</v>
      </c>
      <c r="AOA18" s="480">
        <v>0</v>
      </c>
      <c r="AOB18" s="480">
        <v>0</v>
      </c>
      <c r="AOC18" s="480">
        <v>0</v>
      </c>
      <c r="AOD18" s="480">
        <v>0</v>
      </c>
      <c r="AOE18" s="480">
        <v>0</v>
      </c>
      <c r="AOF18" s="480">
        <v>0</v>
      </c>
      <c r="AOG18" s="480">
        <v>0</v>
      </c>
      <c r="AOH18" s="480">
        <v>0</v>
      </c>
      <c r="AOI18" s="276">
        <v>0</v>
      </c>
      <c r="AOJ18" s="480">
        <v>0</v>
      </c>
      <c r="AOK18" s="480">
        <v>0</v>
      </c>
      <c r="AOL18" s="480">
        <v>0</v>
      </c>
      <c r="AOM18" s="480">
        <v>0</v>
      </c>
      <c r="AON18" s="480">
        <v>0</v>
      </c>
      <c r="AOO18" s="480">
        <v>0</v>
      </c>
      <c r="AOP18" s="480">
        <v>0</v>
      </c>
      <c r="AOQ18" s="480">
        <v>0</v>
      </c>
      <c r="AOR18" s="480">
        <v>0</v>
      </c>
      <c r="AOS18" s="480">
        <v>0</v>
      </c>
      <c r="AOT18" s="480">
        <v>0</v>
      </c>
      <c r="AOU18" s="480">
        <v>0</v>
      </c>
      <c r="AOV18" s="480">
        <v>0</v>
      </c>
      <c r="AOW18" s="480">
        <v>0</v>
      </c>
      <c r="AOX18" s="480">
        <v>0</v>
      </c>
      <c r="AOY18" s="480">
        <v>0</v>
      </c>
      <c r="AOZ18" s="480">
        <v>0</v>
      </c>
      <c r="APA18" s="480">
        <v>0</v>
      </c>
      <c r="APB18" s="480">
        <v>0</v>
      </c>
      <c r="APC18" s="480">
        <v>0</v>
      </c>
      <c r="APD18" s="480">
        <v>0</v>
      </c>
      <c r="APE18" s="480">
        <v>0</v>
      </c>
      <c r="APF18" s="480">
        <v>0</v>
      </c>
      <c r="APG18" s="480">
        <v>0</v>
      </c>
      <c r="APH18" s="480">
        <v>0</v>
      </c>
      <c r="API18" s="480">
        <v>0</v>
      </c>
      <c r="APJ18" s="480">
        <v>0</v>
      </c>
      <c r="APK18" s="480">
        <v>0</v>
      </c>
      <c r="APL18" s="480">
        <v>0</v>
      </c>
      <c r="APM18" s="480">
        <v>0</v>
      </c>
      <c r="APN18" s="480">
        <v>0</v>
      </c>
      <c r="APO18" s="276">
        <v>0</v>
      </c>
      <c r="APP18" s="480">
        <v>0</v>
      </c>
      <c r="APQ18" s="480">
        <v>0</v>
      </c>
      <c r="APR18" s="480">
        <v>0</v>
      </c>
      <c r="APS18" s="480">
        <v>0</v>
      </c>
      <c r="APT18" s="480">
        <v>0</v>
      </c>
      <c r="APU18" s="480">
        <v>0</v>
      </c>
      <c r="APV18" s="480">
        <v>0</v>
      </c>
      <c r="APW18" s="480">
        <v>0</v>
      </c>
      <c r="APX18" s="480">
        <v>0</v>
      </c>
      <c r="APY18" s="480">
        <v>0</v>
      </c>
      <c r="APZ18" s="480">
        <v>0</v>
      </c>
      <c r="AQA18" s="480">
        <v>0</v>
      </c>
      <c r="AQB18" s="480">
        <v>0</v>
      </c>
      <c r="AQC18" s="480">
        <v>0</v>
      </c>
      <c r="AQD18" s="480">
        <v>0</v>
      </c>
      <c r="AQE18" s="480">
        <v>0</v>
      </c>
      <c r="AQF18" s="480">
        <v>0</v>
      </c>
      <c r="AQG18" s="480">
        <v>0</v>
      </c>
      <c r="AQH18" s="480">
        <v>0</v>
      </c>
      <c r="AQI18" s="480">
        <v>0</v>
      </c>
      <c r="AQJ18" s="480">
        <v>0</v>
      </c>
      <c r="AQK18" s="480">
        <v>0</v>
      </c>
      <c r="AQL18" s="480">
        <v>0</v>
      </c>
      <c r="AQM18" s="480">
        <v>0</v>
      </c>
      <c r="AQN18" s="480">
        <v>0</v>
      </c>
      <c r="AQO18" s="480">
        <v>0</v>
      </c>
      <c r="AQP18" s="480">
        <v>0</v>
      </c>
      <c r="AQQ18" s="480">
        <v>0</v>
      </c>
      <c r="AQR18" s="480">
        <v>0</v>
      </c>
      <c r="AQS18" s="480">
        <v>0</v>
      </c>
      <c r="AQT18" s="276">
        <f t="shared" si="12"/>
        <v>0</v>
      </c>
      <c r="AQU18" s="517">
        <v>7308.6190000000006</v>
      </c>
      <c r="AQV18" s="480">
        <v>0</v>
      </c>
      <c r="AQW18" s="480">
        <v>0</v>
      </c>
      <c r="AQX18" s="480">
        <v>0</v>
      </c>
      <c r="AQY18" s="480">
        <v>0</v>
      </c>
      <c r="AQZ18" s="480">
        <v>0</v>
      </c>
      <c r="ARA18" s="480">
        <v>0</v>
      </c>
      <c r="ARB18" s="480">
        <v>0</v>
      </c>
      <c r="ARC18" s="480">
        <v>0</v>
      </c>
      <c r="ARD18" s="480">
        <v>0</v>
      </c>
      <c r="ARE18" s="480">
        <v>0</v>
      </c>
      <c r="ARF18" s="480">
        <v>0</v>
      </c>
      <c r="ARG18" s="480">
        <v>0</v>
      </c>
      <c r="ARH18" s="480">
        <v>0</v>
      </c>
      <c r="ARI18" s="480">
        <v>0</v>
      </c>
      <c r="ARJ18" s="480">
        <v>0</v>
      </c>
      <c r="ARK18" s="480">
        <v>0</v>
      </c>
      <c r="ARL18" s="480">
        <v>0</v>
      </c>
      <c r="ARM18" s="480">
        <v>0</v>
      </c>
      <c r="ARN18" s="480">
        <v>0</v>
      </c>
      <c r="ARO18" s="480">
        <v>0</v>
      </c>
      <c r="ARP18" s="480">
        <v>0</v>
      </c>
      <c r="ARQ18" s="480">
        <v>0</v>
      </c>
      <c r="ARR18" s="480">
        <v>0</v>
      </c>
      <c r="ARS18" s="480">
        <v>0</v>
      </c>
      <c r="ART18" s="480">
        <v>0</v>
      </c>
      <c r="ARU18" s="480">
        <v>0</v>
      </c>
      <c r="ARV18" s="480">
        <v>0</v>
      </c>
      <c r="ARW18" s="480">
        <v>0</v>
      </c>
      <c r="ARX18" s="480">
        <v>0</v>
      </c>
      <c r="ARY18" s="480">
        <v>0</v>
      </c>
      <c r="ARZ18" s="276">
        <f t="shared" si="13"/>
        <v>7308.6190000000006</v>
      </c>
      <c r="ASA18" s="480">
        <v>0</v>
      </c>
      <c r="ASB18" s="480">
        <v>0</v>
      </c>
      <c r="ASC18" s="480">
        <v>0</v>
      </c>
      <c r="ASD18" s="480">
        <v>0</v>
      </c>
      <c r="ASE18" s="480">
        <v>0</v>
      </c>
      <c r="ASF18" s="480">
        <v>0</v>
      </c>
      <c r="ASG18" s="480">
        <v>0</v>
      </c>
      <c r="ASH18" s="480">
        <v>0</v>
      </c>
      <c r="ASI18" s="480">
        <v>0</v>
      </c>
      <c r="ASJ18" s="480">
        <v>0</v>
      </c>
      <c r="ASK18" s="480">
        <v>0</v>
      </c>
      <c r="ASL18" s="480">
        <v>0</v>
      </c>
      <c r="ASM18" s="480">
        <v>0</v>
      </c>
      <c r="ASN18" s="480">
        <v>0</v>
      </c>
      <c r="ASO18" s="480">
        <v>0</v>
      </c>
      <c r="ASP18" s="480">
        <v>0</v>
      </c>
      <c r="ASQ18" s="480">
        <v>0</v>
      </c>
      <c r="ASR18" s="480">
        <v>0</v>
      </c>
      <c r="ASS18" s="480">
        <v>0</v>
      </c>
      <c r="AST18" s="480">
        <v>0</v>
      </c>
      <c r="ASU18" s="480">
        <v>0</v>
      </c>
      <c r="ASV18" s="480">
        <v>0</v>
      </c>
      <c r="ASW18" s="480">
        <v>0</v>
      </c>
      <c r="ASX18" s="480">
        <v>0</v>
      </c>
      <c r="ASY18" s="480">
        <v>0</v>
      </c>
      <c r="ASZ18" s="480">
        <v>0</v>
      </c>
      <c r="ATA18" s="480">
        <v>0</v>
      </c>
      <c r="ATB18" s="480">
        <v>0</v>
      </c>
      <c r="ATC18" s="480">
        <v>0</v>
      </c>
      <c r="ATD18" s="480">
        <v>0</v>
      </c>
      <c r="ATE18" s="276">
        <v>0</v>
      </c>
      <c r="ATF18" s="480">
        <v>0</v>
      </c>
      <c r="ATG18" s="480">
        <v>0</v>
      </c>
      <c r="ATH18" s="480">
        <v>0</v>
      </c>
      <c r="ATI18" s="480">
        <v>0</v>
      </c>
      <c r="ATJ18" s="480">
        <v>0</v>
      </c>
      <c r="ATK18" s="480">
        <v>0</v>
      </c>
      <c r="ATL18" s="480">
        <v>0</v>
      </c>
      <c r="ATM18" s="480">
        <v>0</v>
      </c>
      <c r="ATN18" s="480">
        <v>0</v>
      </c>
      <c r="ATO18" s="480">
        <v>0</v>
      </c>
      <c r="ATP18" s="480">
        <v>0</v>
      </c>
      <c r="ATQ18" s="480">
        <v>0</v>
      </c>
      <c r="ATR18" s="480">
        <v>0</v>
      </c>
      <c r="ATS18" s="480">
        <v>0</v>
      </c>
      <c r="ATT18" s="480">
        <v>0</v>
      </c>
      <c r="ATU18" s="480">
        <v>0</v>
      </c>
      <c r="ATV18" s="480">
        <v>0</v>
      </c>
      <c r="ATW18" s="480">
        <v>0</v>
      </c>
      <c r="ATX18" s="480">
        <v>0</v>
      </c>
      <c r="ATY18" s="480">
        <v>0</v>
      </c>
      <c r="ATZ18" s="480">
        <v>0</v>
      </c>
      <c r="AUA18" s="480">
        <v>0</v>
      </c>
      <c r="AUB18" s="480">
        <v>0</v>
      </c>
      <c r="AUC18" s="480">
        <v>0</v>
      </c>
      <c r="AUD18" s="480">
        <v>0</v>
      </c>
      <c r="AUE18" s="480">
        <v>0</v>
      </c>
      <c r="AUF18" s="480">
        <v>0</v>
      </c>
      <c r="AUG18" s="480">
        <v>0</v>
      </c>
      <c r="AUH18" s="480">
        <v>0</v>
      </c>
      <c r="AUI18" s="480">
        <v>0</v>
      </c>
      <c r="AUJ18" s="480"/>
      <c r="AUK18" s="276">
        <v>0</v>
      </c>
      <c r="AUL18" s="480">
        <v>0</v>
      </c>
      <c r="AUM18" s="480">
        <v>0</v>
      </c>
      <c r="AUN18" s="480">
        <v>0</v>
      </c>
      <c r="AUO18" s="480">
        <v>0</v>
      </c>
      <c r="AUP18" s="480">
        <v>0</v>
      </c>
      <c r="AUQ18" s="480">
        <v>0</v>
      </c>
      <c r="AUR18" s="480">
        <v>0</v>
      </c>
      <c r="AUS18" s="480">
        <v>0</v>
      </c>
      <c r="AUT18" s="480">
        <v>0</v>
      </c>
      <c r="AUU18" s="480">
        <v>0</v>
      </c>
      <c r="AUV18" s="480">
        <v>0</v>
      </c>
      <c r="AUW18" s="480">
        <v>0</v>
      </c>
      <c r="AUX18" s="517">
        <v>7315.9849999999997</v>
      </c>
      <c r="AUY18" s="480">
        <v>0</v>
      </c>
      <c r="AUZ18" s="480">
        <v>0</v>
      </c>
      <c r="AVA18" s="480">
        <v>0</v>
      </c>
      <c r="AVB18" s="480">
        <v>0</v>
      </c>
      <c r="AVC18" s="480">
        <v>0</v>
      </c>
      <c r="AVD18" s="480">
        <v>0</v>
      </c>
      <c r="AVE18" s="480">
        <v>0</v>
      </c>
      <c r="AVF18" s="480">
        <v>0</v>
      </c>
      <c r="AVG18" s="480">
        <v>0</v>
      </c>
      <c r="AVH18" s="517">
        <v>7304.7559999999994</v>
      </c>
      <c r="AVI18" s="480">
        <v>0</v>
      </c>
      <c r="AVJ18" s="480">
        <v>0</v>
      </c>
      <c r="AVK18" s="480">
        <v>0</v>
      </c>
      <c r="AVL18" s="480">
        <v>0</v>
      </c>
      <c r="AVM18" s="480">
        <v>0</v>
      </c>
      <c r="AVN18" s="480">
        <v>0</v>
      </c>
      <c r="AVO18" s="480">
        <v>0</v>
      </c>
      <c r="AVP18" s="480">
        <v>0</v>
      </c>
      <c r="AVQ18" s="235">
        <f t="shared" si="3"/>
        <v>14620.740999999998</v>
      </c>
      <c r="AVR18" s="480">
        <v>0</v>
      </c>
      <c r="AVS18" s="480">
        <v>0</v>
      </c>
      <c r="AVT18" s="480">
        <v>0</v>
      </c>
      <c r="AVU18" s="480">
        <v>0</v>
      </c>
      <c r="AVV18" s="480">
        <v>0</v>
      </c>
      <c r="AVW18" s="480">
        <v>0</v>
      </c>
      <c r="AVX18" s="480">
        <v>0</v>
      </c>
      <c r="AVY18" s="480">
        <v>0</v>
      </c>
      <c r="AVZ18" s="480">
        <v>0</v>
      </c>
      <c r="AWA18" s="480">
        <v>0</v>
      </c>
      <c r="AWB18" s="480">
        <v>0</v>
      </c>
      <c r="AWC18" s="480">
        <v>0</v>
      </c>
      <c r="AWD18" s="480">
        <v>0</v>
      </c>
      <c r="AWE18" s="480">
        <v>0</v>
      </c>
      <c r="AWF18" s="480">
        <v>0</v>
      </c>
      <c r="AWG18" s="480">
        <v>0</v>
      </c>
      <c r="AWH18" s="480">
        <v>0</v>
      </c>
      <c r="AWI18" s="480">
        <v>0</v>
      </c>
      <c r="AWJ18" s="480">
        <v>0</v>
      </c>
      <c r="AWK18" s="480">
        <v>0</v>
      </c>
      <c r="AWL18" s="480">
        <v>0</v>
      </c>
      <c r="AWM18" s="480">
        <v>0</v>
      </c>
      <c r="AWN18" s="480">
        <v>0</v>
      </c>
      <c r="AWO18" s="480">
        <v>0</v>
      </c>
      <c r="AWP18" s="480">
        <v>0</v>
      </c>
      <c r="AWQ18" s="480">
        <v>0</v>
      </c>
      <c r="AWR18" s="480">
        <v>0</v>
      </c>
      <c r="AWS18" s="480">
        <v>0</v>
      </c>
      <c r="AWT18" s="480">
        <v>0</v>
      </c>
      <c r="AWU18" s="480">
        <v>0</v>
      </c>
      <c r="AWV18" s="235">
        <v>0</v>
      </c>
      <c r="AWW18" s="480">
        <v>0</v>
      </c>
      <c r="AWX18" s="480">
        <v>0</v>
      </c>
      <c r="AWY18" s="480">
        <v>0</v>
      </c>
      <c r="AWZ18" s="480">
        <v>0</v>
      </c>
      <c r="AXA18" s="480">
        <v>0</v>
      </c>
      <c r="AXB18" s="480">
        <v>0</v>
      </c>
      <c r="AXC18" s="480">
        <v>0</v>
      </c>
      <c r="AXD18" s="480">
        <v>0</v>
      </c>
      <c r="AXE18" s="480">
        <v>0</v>
      </c>
      <c r="AXF18" s="480">
        <v>0</v>
      </c>
      <c r="AXG18" s="480">
        <v>0</v>
      </c>
      <c r="AXH18" s="480">
        <v>0</v>
      </c>
      <c r="AXI18" s="480">
        <v>0</v>
      </c>
      <c r="AXJ18" s="480">
        <v>0</v>
      </c>
      <c r="AXK18" s="480">
        <v>0</v>
      </c>
      <c r="AXL18" s="480">
        <v>0</v>
      </c>
      <c r="AXM18" s="480">
        <v>0</v>
      </c>
      <c r="AXN18" s="480">
        <v>0</v>
      </c>
      <c r="AXO18" s="480">
        <v>0</v>
      </c>
      <c r="AXP18" s="480">
        <v>0</v>
      </c>
      <c r="AXQ18" s="480">
        <v>0</v>
      </c>
      <c r="AXR18" s="480">
        <v>0</v>
      </c>
      <c r="AXS18" s="480">
        <v>0</v>
      </c>
      <c r="AXT18" s="480">
        <v>0</v>
      </c>
      <c r="AXU18" s="480">
        <v>0</v>
      </c>
      <c r="AXV18" s="480">
        <v>0</v>
      </c>
      <c r="AXW18" s="480">
        <v>0</v>
      </c>
      <c r="AXX18" s="480">
        <v>0</v>
      </c>
      <c r="AXY18" s="480">
        <v>0</v>
      </c>
      <c r="AXZ18" s="480">
        <v>0</v>
      </c>
      <c r="AYA18" s="480">
        <v>0</v>
      </c>
      <c r="AYB18" s="235">
        <v>0</v>
      </c>
      <c r="AYC18" s="480">
        <v>0</v>
      </c>
      <c r="AYD18" s="480">
        <v>0</v>
      </c>
      <c r="AYE18" s="480">
        <v>0</v>
      </c>
      <c r="AYF18" s="480">
        <v>0</v>
      </c>
      <c r="AYG18" s="480">
        <v>0</v>
      </c>
      <c r="AYH18" s="480">
        <v>0</v>
      </c>
      <c r="AYI18" s="480">
        <v>0</v>
      </c>
      <c r="AYJ18" s="480">
        <v>0</v>
      </c>
      <c r="AYK18" s="480">
        <v>0</v>
      </c>
      <c r="AYL18" s="480">
        <v>0</v>
      </c>
      <c r="AYM18" s="480">
        <v>0</v>
      </c>
      <c r="AYN18" s="480">
        <v>0</v>
      </c>
      <c r="AYO18" s="480">
        <v>0</v>
      </c>
      <c r="AYP18" s="480">
        <v>0</v>
      </c>
      <c r="AYQ18" s="480">
        <v>0</v>
      </c>
      <c r="AYR18" s="480">
        <v>0</v>
      </c>
      <c r="AYS18" s="480">
        <v>0</v>
      </c>
      <c r="AYT18" s="480">
        <v>0</v>
      </c>
      <c r="AYU18" s="480">
        <v>0</v>
      </c>
      <c r="AYV18" s="480">
        <v>0</v>
      </c>
      <c r="AYW18" s="480">
        <v>0</v>
      </c>
      <c r="AYX18" s="480">
        <v>0</v>
      </c>
      <c r="AYY18" s="480">
        <v>0</v>
      </c>
      <c r="AYZ18" s="480">
        <v>0</v>
      </c>
      <c r="AZA18" s="480">
        <v>0</v>
      </c>
      <c r="AZB18" s="480">
        <v>0</v>
      </c>
      <c r="AZC18" s="480">
        <v>0</v>
      </c>
      <c r="AZD18" s="480">
        <v>0</v>
      </c>
      <c r="AZE18" s="480">
        <v>0</v>
      </c>
      <c r="AZF18" s="480">
        <v>0</v>
      </c>
      <c r="AZG18" s="235">
        <v>0</v>
      </c>
      <c r="AZH18" s="480">
        <f>Actual!F208</f>
        <v>0</v>
      </c>
      <c r="AZI18" s="480">
        <f>Actual!G208</f>
        <v>0</v>
      </c>
      <c r="AZJ18" s="480">
        <f>Actual!H208</f>
        <v>0</v>
      </c>
      <c r="AZK18" s="480">
        <f>Actual!I208</f>
        <v>0</v>
      </c>
      <c r="AZL18" s="480">
        <f>Actual!J208</f>
        <v>0</v>
      </c>
      <c r="AZM18" s="480">
        <f>Actual!K208</f>
        <v>0</v>
      </c>
      <c r="AZN18" s="480">
        <f>Actual!L208</f>
        <v>0</v>
      </c>
      <c r="AZO18" s="480">
        <f>Actual!M208</f>
        <v>0</v>
      </c>
      <c r="AZP18" s="480">
        <f>Actual!N208</f>
        <v>0</v>
      </c>
      <c r="AZQ18" s="480">
        <f>Actual!O208</f>
        <v>0</v>
      </c>
      <c r="AZR18" s="480">
        <f>Actual!P208</f>
        <v>0</v>
      </c>
      <c r="AZS18" s="480">
        <f>Actual!Q208</f>
        <v>0</v>
      </c>
      <c r="AZT18" s="480">
        <f>Actual!R208</f>
        <v>0</v>
      </c>
      <c r="AZU18" s="480">
        <f>Actual!S208</f>
        <v>0</v>
      </c>
      <c r="AZV18" s="480">
        <f>Actual!T208</f>
        <v>0</v>
      </c>
      <c r="AZW18" s="480">
        <f>Actual!U208</f>
        <v>0</v>
      </c>
      <c r="AZX18" s="480">
        <f>Actual!V208</f>
        <v>0</v>
      </c>
      <c r="AZY18" s="480">
        <f>Actual!W208</f>
        <v>0</v>
      </c>
      <c r="AZZ18" s="480">
        <f>Actual!X208</f>
        <v>0</v>
      </c>
      <c r="BAA18" s="480">
        <f>Actual!Y208</f>
        <v>0</v>
      </c>
      <c r="BAB18" s="480">
        <f>Actual!Z208</f>
        <v>0</v>
      </c>
      <c r="BAC18" s="480">
        <f>Actual!AA208</f>
        <v>0</v>
      </c>
      <c r="BAD18" s="480">
        <f>Actual!AB208</f>
        <v>0</v>
      </c>
      <c r="BAE18" s="480">
        <f>Actual!AC208</f>
        <v>0</v>
      </c>
      <c r="BAF18" s="480">
        <f>Actual!AD208</f>
        <v>0</v>
      </c>
      <c r="BAG18" s="480">
        <f>Actual!AE208</f>
        <v>0</v>
      </c>
      <c r="BAH18" s="480">
        <f>Actual!AF208</f>
        <v>0</v>
      </c>
      <c r="BAI18" s="480">
        <f>Actual!AG208</f>
        <v>0</v>
      </c>
      <c r="BAJ18" s="480">
        <f>Actual!AH208</f>
        <v>0</v>
      </c>
      <c r="BAK18" s="480">
        <f>Actual!AI208</f>
        <v>0</v>
      </c>
      <c r="BAL18" s="480">
        <f>Actual!AJ208</f>
        <v>0</v>
      </c>
      <c r="BAM18" s="235">
        <f t="shared" si="27"/>
        <v>0</v>
      </c>
    </row>
    <row r="19" spans="2:1391" s="243" customFormat="1" ht="15" hidden="1" customHeight="1">
      <c r="B19" s="279" t="s">
        <v>368</v>
      </c>
      <c r="C19" s="477">
        <v>0</v>
      </c>
      <c r="D19" s="477">
        <v>0</v>
      </c>
      <c r="E19" s="477">
        <v>0</v>
      </c>
      <c r="F19" s="477">
        <v>0</v>
      </c>
      <c r="G19" s="477">
        <v>0</v>
      </c>
      <c r="H19" s="477">
        <v>0</v>
      </c>
      <c r="I19" s="477">
        <v>0</v>
      </c>
      <c r="J19" s="477">
        <v>0</v>
      </c>
      <c r="K19" s="477">
        <v>0</v>
      </c>
      <c r="L19" s="477">
        <v>0</v>
      </c>
      <c r="M19" s="477">
        <v>0</v>
      </c>
      <c r="N19" s="477">
        <v>0</v>
      </c>
      <c r="O19" s="477">
        <v>0</v>
      </c>
      <c r="P19" s="477">
        <v>0</v>
      </c>
      <c r="Q19" s="477">
        <v>0</v>
      </c>
      <c r="R19" s="477">
        <v>0</v>
      </c>
      <c r="S19" s="477">
        <v>0</v>
      </c>
      <c r="T19" s="477">
        <v>0</v>
      </c>
      <c r="U19" s="477">
        <v>0</v>
      </c>
      <c r="V19" s="477">
        <v>0</v>
      </c>
      <c r="W19" s="477">
        <v>0</v>
      </c>
      <c r="X19" s="477">
        <v>0</v>
      </c>
      <c r="Y19" s="477">
        <v>0</v>
      </c>
      <c r="Z19" s="477">
        <v>0</v>
      </c>
      <c r="AA19" s="477">
        <v>0</v>
      </c>
      <c r="AB19" s="477">
        <v>0</v>
      </c>
      <c r="AC19" s="477">
        <v>0</v>
      </c>
      <c r="AD19" s="477">
        <v>0</v>
      </c>
      <c r="AE19" s="477">
        <v>0</v>
      </c>
      <c r="AF19" s="477">
        <v>0</v>
      </c>
      <c r="AG19" s="477">
        <v>0</v>
      </c>
      <c r="AH19" s="276">
        <f t="shared" si="26"/>
        <v>0</v>
      </c>
      <c r="AI19" s="244"/>
      <c r="AJ19" s="244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3"/>
      <c r="AV19" s="274"/>
      <c r="AW19" s="273"/>
      <c r="AX19" s="273"/>
      <c r="AY19" s="273"/>
      <c r="AZ19" s="273"/>
      <c r="BA19" s="273"/>
      <c r="BB19" s="275"/>
      <c r="BC19" s="274"/>
      <c r="BD19" s="274"/>
      <c r="BE19" s="274"/>
      <c r="BF19" s="274"/>
      <c r="BG19" s="274"/>
      <c r="BH19" s="274"/>
      <c r="BI19" s="275"/>
      <c r="BJ19" s="275"/>
      <c r="BK19" s="276"/>
      <c r="BL19" s="244"/>
      <c r="BM19" s="244"/>
      <c r="BN19" s="209"/>
      <c r="BO19" s="209"/>
      <c r="BP19" s="209"/>
      <c r="BQ19" s="209"/>
      <c r="BR19" s="277"/>
      <c r="BS19" s="273"/>
      <c r="BT19" s="273"/>
      <c r="BU19" s="273"/>
      <c r="BV19" s="273"/>
      <c r="BW19" s="273"/>
      <c r="BX19" s="273"/>
      <c r="BY19" s="273"/>
      <c r="BZ19" s="273"/>
      <c r="CA19" s="273"/>
      <c r="CB19" s="273"/>
      <c r="CC19" s="273"/>
      <c r="CD19" s="273"/>
      <c r="CE19" s="209"/>
      <c r="CF19" s="277"/>
      <c r="CG19" s="277"/>
      <c r="CH19" s="277"/>
      <c r="CI19" s="277"/>
      <c r="CJ19" s="277"/>
      <c r="CK19" s="277"/>
      <c r="CL19" s="278"/>
      <c r="CM19" s="277"/>
      <c r="CN19" s="273"/>
      <c r="CO19" s="278"/>
      <c r="CP19" s="273"/>
      <c r="CQ19" s="276"/>
      <c r="CR19" s="244"/>
      <c r="CS19" s="244"/>
      <c r="CT19" s="209"/>
      <c r="CU19" s="209"/>
      <c r="CV19" s="209"/>
      <c r="CW19" s="209"/>
      <c r="CX19" s="277"/>
      <c r="CY19" s="273"/>
      <c r="CZ19" s="273"/>
      <c r="DA19" s="273"/>
      <c r="DB19" s="273"/>
      <c r="DC19" s="273"/>
      <c r="DD19" s="273"/>
      <c r="DE19" s="273"/>
      <c r="DF19" s="273"/>
      <c r="DG19" s="273"/>
      <c r="DH19" s="273"/>
      <c r="DI19" s="273"/>
      <c r="DJ19" s="273"/>
      <c r="DK19" s="209"/>
      <c r="DL19" s="277"/>
      <c r="DM19" s="277"/>
      <c r="DN19" s="277"/>
      <c r="DO19" s="277"/>
      <c r="DP19" s="277"/>
      <c r="DQ19" s="277"/>
      <c r="DR19" s="278"/>
      <c r="DS19" s="277"/>
      <c r="DT19" s="273"/>
      <c r="DU19" s="278"/>
      <c r="DV19" s="273"/>
      <c r="DW19" s="276"/>
      <c r="DX19" s="244"/>
      <c r="DY19" s="244"/>
      <c r="DZ19" s="209"/>
      <c r="EA19" s="209"/>
      <c r="EB19" s="209"/>
      <c r="EC19" s="209"/>
      <c r="ED19" s="280"/>
      <c r="EE19" s="283"/>
      <c r="EF19" s="283"/>
      <c r="EG19" s="283"/>
      <c r="EH19" s="280"/>
      <c r="EI19" s="273"/>
      <c r="EJ19" s="273"/>
      <c r="EK19" s="273"/>
      <c r="EL19" s="273"/>
      <c r="EM19" s="273"/>
      <c r="EN19" s="273"/>
      <c r="EO19" s="273"/>
      <c r="EP19" s="273"/>
      <c r="EQ19" s="209"/>
      <c r="ER19" s="277"/>
      <c r="ES19" s="273"/>
      <c r="ET19" s="274"/>
      <c r="EU19" s="273"/>
      <c r="EV19" s="273"/>
      <c r="EW19" s="273"/>
      <c r="EX19" s="274"/>
      <c r="EY19" s="274"/>
      <c r="EZ19" s="273"/>
      <c r="FA19" s="278"/>
      <c r="FB19" s="273"/>
      <c r="FC19" s="276"/>
      <c r="FD19" s="244"/>
      <c r="FE19" s="244"/>
      <c r="FF19" s="209"/>
      <c r="FG19" s="209"/>
      <c r="FH19" s="209"/>
      <c r="FI19" s="209"/>
      <c r="FJ19" s="277"/>
      <c r="FK19" s="273"/>
      <c r="FL19" s="273"/>
      <c r="FM19" s="273"/>
      <c r="FN19" s="273"/>
      <c r="FO19" s="273"/>
      <c r="FP19" s="273"/>
      <c r="FQ19" s="273"/>
      <c r="FR19" s="273"/>
      <c r="FS19" s="273"/>
      <c r="FT19" s="273"/>
      <c r="FU19" s="273"/>
      <c r="FV19" s="273"/>
      <c r="FW19" s="209"/>
      <c r="FX19" s="277"/>
      <c r="FY19" s="277"/>
      <c r="FZ19" s="277"/>
      <c r="GA19" s="277"/>
      <c r="GB19" s="277"/>
      <c r="GC19" s="277"/>
      <c r="GD19" s="278"/>
      <c r="GE19" s="277"/>
      <c r="GF19" s="273"/>
      <c r="GG19" s="278"/>
      <c r="GH19" s="273"/>
      <c r="GI19" s="276"/>
      <c r="GJ19" s="244"/>
      <c r="GK19" s="244"/>
      <c r="GL19" s="209"/>
      <c r="GM19" s="209"/>
      <c r="GN19" s="209"/>
      <c r="GO19" s="209"/>
      <c r="GP19" s="277"/>
      <c r="GQ19" s="273"/>
      <c r="GR19" s="274"/>
      <c r="GS19" s="273"/>
      <c r="GT19" s="273"/>
      <c r="GU19" s="273"/>
      <c r="GV19" s="274"/>
      <c r="GW19" s="274"/>
      <c r="GX19" s="273"/>
      <c r="GY19" s="273"/>
      <c r="GZ19" s="273"/>
      <c r="HA19" s="273"/>
      <c r="HB19" s="273"/>
      <c r="HC19" s="209"/>
      <c r="HD19" s="277"/>
      <c r="HE19" s="277"/>
      <c r="HF19" s="277"/>
      <c r="HG19" s="277"/>
      <c r="HH19" s="277"/>
      <c r="HI19" s="277"/>
      <c r="HJ19" s="278"/>
      <c r="HK19" s="277"/>
      <c r="HL19" s="273"/>
      <c r="HM19" s="278"/>
      <c r="HN19" s="273"/>
      <c r="HO19" s="276"/>
      <c r="HP19" s="244"/>
      <c r="HQ19" s="244"/>
      <c r="HR19" s="209"/>
      <c r="HS19" s="209"/>
      <c r="HT19" s="209"/>
      <c r="HU19" s="209"/>
      <c r="HV19" s="277"/>
      <c r="HW19" s="273"/>
      <c r="HX19" s="273"/>
      <c r="HY19" s="273"/>
      <c r="HZ19" s="273"/>
      <c r="IA19" s="273"/>
      <c r="IB19" s="273"/>
      <c r="IC19" s="273"/>
      <c r="ID19" s="273"/>
      <c r="IE19" s="273"/>
      <c r="IF19" s="273"/>
      <c r="IG19" s="273"/>
      <c r="IH19" s="273"/>
      <c r="II19" s="209"/>
      <c r="IJ19" s="277"/>
      <c r="IK19" s="277"/>
      <c r="IL19" s="277"/>
      <c r="IM19" s="277"/>
      <c r="IN19" s="277"/>
      <c r="IO19" s="277"/>
      <c r="IP19" s="278"/>
      <c r="IQ19" s="277"/>
      <c r="IR19" s="273"/>
      <c r="IS19" s="278"/>
      <c r="IT19" s="273"/>
      <c r="IU19" s="276"/>
      <c r="IV19" s="244"/>
      <c r="IW19" s="244"/>
      <c r="IX19" s="272"/>
      <c r="IY19" s="272"/>
      <c r="IZ19" s="272"/>
      <c r="JA19" s="272"/>
      <c r="JB19" s="274"/>
      <c r="JC19" s="273"/>
      <c r="JD19" s="273"/>
      <c r="JE19" s="273"/>
      <c r="JF19" s="273"/>
      <c r="JG19" s="273"/>
      <c r="JH19" s="273"/>
      <c r="JI19" s="273"/>
      <c r="JJ19" s="273"/>
      <c r="JK19" s="273"/>
      <c r="JL19" s="273"/>
      <c r="JM19" s="273"/>
      <c r="JN19" s="273"/>
      <c r="JO19" s="272"/>
      <c r="JP19" s="274"/>
      <c r="JQ19" s="274"/>
      <c r="JR19" s="274"/>
      <c r="JS19" s="274"/>
      <c r="JT19" s="274"/>
      <c r="JU19" s="274"/>
      <c r="JV19" s="275"/>
      <c r="JW19" s="274"/>
      <c r="JX19" s="273"/>
      <c r="JY19" s="275"/>
      <c r="JZ19" s="273"/>
      <c r="KA19" s="276"/>
      <c r="KB19" s="244"/>
      <c r="KC19" s="244"/>
      <c r="KD19" s="209"/>
      <c r="KE19" s="209"/>
      <c r="KF19" s="209"/>
      <c r="KG19" s="209"/>
      <c r="KH19" s="277"/>
      <c r="KI19" s="273"/>
      <c r="KJ19" s="273"/>
      <c r="KK19" s="273"/>
      <c r="KL19" s="273"/>
      <c r="KM19" s="273"/>
      <c r="KN19" s="273"/>
      <c r="KO19" s="273"/>
      <c r="KP19" s="273"/>
      <c r="KQ19" s="273"/>
      <c r="KR19" s="273"/>
      <c r="KS19" s="273"/>
      <c r="KT19" s="273"/>
      <c r="KU19" s="209"/>
      <c r="KV19" s="277"/>
      <c r="KW19" s="277"/>
      <c r="KX19" s="277"/>
      <c r="KY19" s="277"/>
      <c r="KZ19" s="277"/>
      <c r="LA19" s="277"/>
      <c r="LB19" s="278"/>
      <c r="LC19" s="277"/>
      <c r="LD19" s="273"/>
      <c r="LE19" s="278"/>
      <c r="LF19" s="273"/>
      <c r="LG19" s="276"/>
      <c r="LH19" s="244"/>
      <c r="LI19" s="244"/>
      <c r="LJ19" s="209"/>
      <c r="LK19" s="209"/>
      <c r="LL19" s="209"/>
      <c r="LM19" s="209"/>
      <c r="LN19" s="277"/>
      <c r="LO19" s="273"/>
      <c r="LP19" s="273"/>
      <c r="LQ19" s="273"/>
      <c r="LR19" s="273"/>
      <c r="LS19" s="273"/>
      <c r="LT19" s="273"/>
      <c r="LU19" s="273"/>
      <c r="LV19" s="273"/>
      <c r="LW19" s="273"/>
      <c r="LX19" s="273"/>
      <c r="LY19" s="273"/>
      <c r="LZ19" s="273"/>
      <c r="MA19" s="209"/>
      <c r="MB19" s="277"/>
      <c r="MC19" s="277"/>
      <c r="MD19" s="277"/>
      <c r="ME19" s="277"/>
      <c r="MF19" s="277"/>
      <c r="MG19" s="277"/>
      <c r="MH19" s="278"/>
      <c r="MI19" s="277"/>
      <c r="MJ19" s="273"/>
      <c r="MK19" s="278"/>
      <c r="ML19" s="273"/>
      <c r="MM19" s="276"/>
      <c r="MN19" s="244"/>
      <c r="MO19" s="244"/>
      <c r="MP19" s="209"/>
      <c r="MQ19" s="209"/>
      <c r="MR19" s="209"/>
      <c r="MS19" s="209"/>
      <c r="MT19" s="277"/>
      <c r="MU19" s="273"/>
      <c r="MV19" s="273"/>
      <c r="MW19" s="273"/>
      <c r="MX19" s="273"/>
      <c r="MY19" s="273"/>
      <c r="MZ19" s="273"/>
      <c r="NA19" s="273"/>
      <c r="NB19" s="273"/>
      <c r="NC19" s="273"/>
      <c r="ND19" s="273"/>
      <c r="NE19" s="273"/>
      <c r="NF19" s="273"/>
      <c r="NG19" s="209"/>
      <c r="NH19" s="277"/>
      <c r="NI19" s="277"/>
      <c r="NJ19" s="277"/>
      <c r="NK19" s="277"/>
      <c r="NL19" s="277"/>
      <c r="NM19" s="277"/>
      <c r="NN19" s="278"/>
      <c r="NO19" s="277"/>
      <c r="NP19" s="273"/>
      <c r="NQ19" s="278"/>
      <c r="NR19" s="273"/>
      <c r="NS19" s="276"/>
      <c r="NT19" s="277">
        <v>0</v>
      </c>
      <c r="NU19" s="277">
        <v>0</v>
      </c>
      <c r="NV19" s="277">
        <v>0</v>
      </c>
      <c r="NW19" s="277">
        <v>0</v>
      </c>
      <c r="NX19" s="277">
        <v>0</v>
      </c>
      <c r="NY19" s="277">
        <v>0</v>
      </c>
      <c r="NZ19" s="277">
        <v>0</v>
      </c>
      <c r="OA19" s="277">
        <v>0</v>
      </c>
      <c r="OB19" s="277">
        <v>0</v>
      </c>
      <c r="OC19" s="277">
        <v>0</v>
      </c>
      <c r="OD19" s="277">
        <v>0</v>
      </c>
      <c r="OE19" s="277">
        <v>0</v>
      </c>
      <c r="OF19" s="277">
        <v>0</v>
      </c>
      <c r="OG19" s="277">
        <v>0</v>
      </c>
      <c r="OH19" s="277">
        <v>0</v>
      </c>
      <c r="OI19" s="277">
        <v>0</v>
      </c>
      <c r="OJ19" s="277">
        <v>0</v>
      </c>
      <c r="OK19" s="277">
        <v>0</v>
      </c>
      <c r="OL19" s="277">
        <v>0</v>
      </c>
      <c r="OM19" s="277">
        <v>0</v>
      </c>
      <c r="ON19" s="277">
        <v>0</v>
      </c>
      <c r="OO19" s="277">
        <v>0</v>
      </c>
      <c r="OP19" s="277">
        <v>0</v>
      </c>
      <c r="OQ19" s="277">
        <v>0</v>
      </c>
      <c r="OR19" s="277">
        <v>0</v>
      </c>
      <c r="OS19" s="277">
        <v>0</v>
      </c>
      <c r="OT19" s="277">
        <v>0</v>
      </c>
      <c r="OU19" s="277">
        <v>0</v>
      </c>
      <c r="OV19" s="277">
        <v>0</v>
      </c>
      <c r="OW19" s="277">
        <v>0</v>
      </c>
      <c r="OX19" s="277">
        <v>0</v>
      </c>
      <c r="OY19" s="276">
        <f t="shared" si="9"/>
        <v>0</v>
      </c>
      <c r="OZ19" s="277">
        <v>0</v>
      </c>
      <c r="PA19" s="277">
        <v>0</v>
      </c>
      <c r="PB19" s="277">
        <v>0</v>
      </c>
      <c r="PC19" s="277">
        <v>0</v>
      </c>
      <c r="PD19" s="277">
        <v>0</v>
      </c>
      <c r="PE19" s="277">
        <v>0</v>
      </c>
      <c r="PF19" s="277">
        <v>0</v>
      </c>
      <c r="PG19" s="277">
        <v>0</v>
      </c>
      <c r="PH19" s="277">
        <v>0</v>
      </c>
      <c r="PI19" s="277">
        <v>0</v>
      </c>
      <c r="PJ19" s="277">
        <v>0</v>
      </c>
      <c r="PK19" s="277">
        <v>0</v>
      </c>
      <c r="PL19" s="277">
        <v>0</v>
      </c>
      <c r="PM19" s="277">
        <v>0</v>
      </c>
      <c r="PN19" s="277">
        <v>0</v>
      </c>
      <c r="PO19" s="277">
        <v>0</v>
      </c>
      <c r="PP19" s="277">
        <v>0</v>
      </c>
      <c r="PQ19" s="277">
        <v>0</v>
      </c>
      <c r="PR19" s="277">
        <v>0</v>
      </c>
      <c r="PS19" s="277">
        <v>0</v>
      </c>
      <c r="PT19" s="277">
        <v>0</v>
      </c>
      <c r="PU19" s="277">
        <v>0</v>
      </c>
      <c r="PV19" s="277">
        <v>0</v>
      </c>
      <c r="PW19" s="277">
        <v>0</v>
      </c>
      <c r="PX19" s="277">
        <v>0</v>
      </c>
      <c r="PY19" s="277">
        <v>0</v>
      </c>
      <c r="PZ19" s="277">
        <v>0</v>
      </c>
      <c r="QA19" s="277">
        <v>0</v>
      </c>
      <c r="QB19" s="277">
        <v>0</v>
      </c>
      <c r="QC19" s="277">
        <v>0</v>
      </c>
      <c r="QD19" s="276">
        <f t="shared" si="10"/>
        <v>0</v>
      </c>
      <c r="QE19" s="277">
        <v>0</v>
      </c>
      <c r="QF19" s="277">
        <v>0</v>
      </c>
      <c r="QG19" s="277">
        <v>0</v>
      </c>
      <c r="QH19" s="277">
        <v>0</v>
      </c>
      <c r="QI19" s="277">
        <v>0</v>
      </c>
      <c r="QJ19" s="277">
        <v>0</v>
      </c>
      <c r="QK19" s="277">
        <v>0</v>
      </c>
      <c r="QL19" s="277">
        <v>0</v>
      </c>
      <c r="QM19" s="277">
        <v>0</v>
      </c>
      <c r="QN19" s="277">
        <v>0</v>
      </c>
      <c r="QO19" s="277">
        <v>0</v>
      </c>
      <c r="QP19" s="277">
        <v>0</v>
      </c>
      <c r="QQ19" s="277">
        <v>0</v>
      </c>
      <c r="QR19" s="277">
        <v>0</v>
      </c>
      <c r="QS19" s="277">
        <v>0</v>
      </c>
      <c r="QT19" s="277">
        <v>0</v>
      </c>
      <c r="QU19" s="277">
        <v>0</v>
      </c>
      <c r="QV19" s="277">
        <v>0</v>
      </c>
      <c r="QW19" s="277">
        <v>0</v>
      </c>
      <c r="QX19" s="277">
        <v>0</v>
      </c>
      <c r="QY19" s="277">
        <v>0</v>
      </c>
      <c r="QZ19" s="277">
        <v>0</v>
      </c>
      <c r="RA19" s="277">
        <v>0</v>
      </c>
      <c r="RB19" s="277">
        <v>0</v>
      </c>
      <c r="RC19" s="277">
        <v>0</v>
      </c>
      <c r="RD19" s="277">
        <v>0</v>
      </c>
      <c r="RE19" s="277">
        <v>0</v>
      </c>
      <c r="RF19" s="277">
        <v>0</v>
      </c>
      <c r="RG19" s="277">
        <v>0</v>
      </c>
      <c r="RH19" s="277">
        <v>0</v>
      </c>
      <c r="RI19" s="277">
        <v>0</v>
      </c>
      <c r="RJ19" s="276">
        <v>0</v>
      </c>
      <c r="RK19" s="277">
        <v>0</v>
      </c>
      <c r="RL19" s="277">
        <v>0</v>
      </c>
      <c r="RM19" s="277">
        <v>0</v>
      </c>
      <c r="RN19" s="277">
        <v>0</v>
      </c>
      <c r="RO19" s="277">
        <v>0</v>
      </c>
      <c r="RP19" s="277">
        <v>0</v>
      </c>
      <c r="RQ19" s="277">
        <v>0</v>
      </c>
      <c r="RR19" s="277">
        <v>0</v>
      </c>
      <c r="RS19" s="277">
        <v>0</v>
      </c>
      <c r="RT19" s="277">
        <v>0</v>
      </c>
      <c r="RU19" s="277">
        <v>0</v>
      </c>
      <c r="RV19" s="277">
        <v>0</v>
      </c>
      <c r="RW19" s="277">
        <v>0</v>
      </c>
      <c r="RX19" s="277">
        <v>0</v>
      </c>
      <c r="RY19" s="277">
        <v>0</v>
      </c>
      <c r="RZ19" s="277">
        <v>0</v>
      </c>
      <c r="SA19" s="277">
        <v>0</v>
      </c>
      <c r="SB19" s="277">
        <v>0</v>
      </c>
      <c r="SC19" s="277">
        <v>0</v>
      </c>
      <c r="SD19" s="277">
        <v>0</v>
      </c>
      <c r="SE19" s="277">
        <v>0</v>
      </c>
      <c r="SF19" s="277">
        <v>0</v>
      </c>
      <c r="SG19" s="277">
        <v>0</v>
      </c>
      <c r="SH19" s="277">
        <v>0</v>
      </c>
      <c r="SI19" s="277">
        <v>0</v>
      </c>
      <c r="SJ19" s="277">
        <v>0</v>
      </c>
      <c r="SK19" s="277">
        <v>0</v>
      </c>
      <c r="SL19" s="277">
        <v>0</v>
      </c>
      <c r="SM19" s="277">
        <v>0</v>
      </c>
      <c r="SN19" s="277">
        <v>0</v>
      </c>
      <c r="SO19" s="235">
        <v>0</v>
      </c>
      <c r="SP19" s="277">
        <v>0</v>
      </c>
      <c r="SQ19" s="277">
        <v>0</v>
      </c>
      <c r="SR19" s="277">
        <v>0</v>
      </c>
      <c r="SS19" s="277">
        <v>0</v>
      </c>
      <c r="ST19" s="277">
        <v>0</v>
      </c>
      <c r="SU19" s="277">
        <v>0</v>
      </c>
      <c r="SV19" s="277">
        <v>0</v>
      </c>
      <c r="SW19" s="277">
        <v>0</v>
      </c>
      <c r="SX19" s="277">
        <v>0</v>
      </c>
      <c r="SY19" s="277">
        <v>0</v>
      </c>
      <c r="SZ19" s="277">
        <v>0</v>
      </c>
      <c r="TA19" s="277">
        <v>0</v>
      </c>
      <c r="TB19" s="277">
        <v>0</v>
      </c>
      <c r="TC19" s="277">
        <v>0</v>
      </c>
      <c r="TD19" s="277">
        <v>0</v>
      </c>
      <c r="TE19" s="277">
        <v>0</v>
      </c>
      <c r="TF19" s="277">
        <v>0</v>
      </c>
      <c r="TG19" s="277">
        <v>0</v>
      </c>
      <c r="TH19" s="277">
        <v>0</v>
      </c>
      <c r="TI19" s="277">
        <v>0</v>
      </c>
      <c r="TJ19" s="277">
        <v>0</v>
      </c>
      <c r="TK19" s="277">
        <v>0</v>
      </c>
      <c r="TL19" s="277">
        <v>0</v>
      </c>
      <c r="TM19" s="277">
        <v>0</v>
      </c>
      <c r="TN19" s="277">
        <v>0</v>
      </c>
      <c r="TO19" s="277">
        <v>0</v>
      </c>
      <c r="TP19" s="277">
        <v>0</v>
      </c>
      <c r="TQ19" s="277">
        <v>0</v>
      </c>
      <c r="TR19" s="277">
        <v>0</v>
      </c>
      <c r="TS19" s="277">
        <v>0</v>
      </c>
      <c r="TT19" s="277">
        <v>0</v>
      </c>
      <c r="TU19" s="235">
        <v>0</v>
      </c>
      <c r="TV19" s="277">
        <v>0</v>
      </c>
      <c r="TW19" s="277">
        <v>0</v>
      </c>
      <c r="TX19" s="277">
        <v>0</v>
      </c>
      <c r="TY19" s="277">
        <v>0</v>
      </c>
      <c r="TZ19" s="277">
        <v>0</v>
      </c>
      <c r="UA19" s="277">
        <v>0</v>
      </c>
      <c r="UB19" s="277">
        <v>0</v>
      </c>
      <c r="UC19" s="277">
        <v>0</v>
      </c>
      <c r="UD19" s="277">
        <v>0</v>
      </c>
      <c r="UE19" s="277">
        <v>0</v>
      </c>
      <c r="UF19" s="277">
        <v>0</v>
      </c>
      <c r="UG19" s="277">
        <v>0</v>
      </c>
      <c r="UH19" s="277">
        <v>0</v>
      </c>
      <c r="UI19" s="277">
        <v>0</v>
      </c>
      <c r="UJ19" s="277">
        <v>0</v>
      </c>
      <c r="UK19" s="277">
        <v>0</v>
      </c>
      <c r="UL19" s="277">
        <v>0</v>
      </c>
      <c r="UM19" s="277">
        <v>0</v>
      </c>
      <c r="UN19" s="277">
        <v>0</v>
      </c>
      <c r="UO19" s="277">
        <v>0</v>
      </c>
      <c r="UP19" s="277">
        <v>0</v>
      </c>
      <c r="UQ19" s="277">
        <v>0</v>
      </c>
      <c r="UR19" s="277">
        <v>0</v>
      </c>
      <c r="US19" s="277">
        <v>0</v>
      </c>
      <c r="UT19" s="277">
        <v>0</v>
      </c>
      <c r="UU19" s="277">
        <v>0</v>
      </c>
      <c r="UV19" s="277">
        <v>0</v>
      </c>
      <c r="UW19" s="277">
        <v>0</v>
      </c>
      <c r="UX19" s="277">
        <v>0</v>
      </c>
      <c r="UY19" s="277">
        <v>0</v>
      </c>
      <c r="UZ19" s="277">
        <v>0</v>
      </c>
      <c r="VA19" s="235">
        <v>0</v>
      </c>
      <c r="VB19" s="277">
        <v>0</v>
      </c>
      <c r="VC19" s="277">
        <v>0</v>
      </c>
      <c r="VD19" s="277">
        <v>0</v>
      </c>
      <c r="VE19" s="277">
        <v>0</v>
      </c>
      <c r="VF19" s="277">
        <v>0</v>
      </c>
      <c r="VG19" s="277">
        <v>0</v>
      </c>
      <c r="VH19" s="277">
        <v>0</v>
      </c>
      <c r="VI19" s="277">
        <v>0</v>
      </c>
      <c r="VJ19" s="277">
        <v>0</v>
      </c>
      <c r="VK19" s="277">
        <v>0</v>
      </c>
      <c r="VL19" s="277">
        <v>0</v>
      </c>
      <c r="VM19" s="277">
        <v>0</v>
      </c>
      <c r="VN19" s="277">
        <v>0</v>
      </c>
      <c r="VO19" s="277">
        <v>0</v>
      </c>
      <c r="VP19" s="277">
        <v>0</v>
      </c>
      <c r="VQ19" s="277">
        <v>0</v>
      </c>
      <c r="VR19" s="277">
        <v>0</v>
      </c>
      <c r="VS19" s="277">
        <v>0</v>
      </c>
      <c r="VT19" s="277">
        <v>0</v>
      </c>
      <c r="VU19" s="277">
        <v>0</v>
      </c>
      <c r="VV19" s="277">
        <v>0</v>
      </c>
      <c r="VW19" s="277">
        <v>0</v>
      </c>
      <c r="VX19" s="277">
        <v>0</v>
      </c>
      <c r="VY19" s="277">
        <v>0</v>
      </c>
      <c r="VZ19" s="277">
        <v>0</v>
      </c>
      <c r="WA19" s="277">
        <v>0</v>
      </c>
      <c r="WB19" s="277">
        <v>0</v>
      </c>
      <c r="WC19" s="277">
        <v>0</v>
      </c>
      <c r="WD19" s="277">
        <v>0</v>
      </c>
      <c r="WE19" s="277">
        <v>0</v>
      </c>
      <c r="WF19" s="235">
        <v>0</v>
      </c>
      <c r="WG19" s="277">
        <v>0</v>
      </c>
      <c r="WH19" s="277">
        <v>0</v>
      </c>
      <c r="WI19" s="277">
        <v>0</v>
      </c>
      <c r="WJ19" s="277">
        <v>0</v>
      </c>
      <c r="WK19" s="277">
        <v>0</v>
      </c>
      <c r="WL19" s="277">
        <v>0</v>
      </c>
      <c r="WM19" s="277">
        <v>0</v>
      </c>
      <c r="WN19" s="277">
        <v>0</v>
      </c>
      <c r="WO19" s="277">
        <v>0</v>
      </c>
      <c r="WP19" s="277">
        <v>0</v>
      </c>
      <c r="WQ19" s="277">
        <v>0</v>
      </c>
      <c r="WR19" s="277">
        <v>0</v>
      </c>
      <c r="WS19" s="277">
        <v>0</v>
      </c>
      <c r="WT19" s="277">
        <v>0</v>
      </c>
      <c r="WU19" s="277">
        <v>0</v>
      </c>
      <c r="WV19" s="277">
        <v>0</v>
      </c>
      <c r="WW19" s="277">
        <v>0</v>
      </c>
      <c r="WX19" s="277">
        <v>0</v>
      </c>
      <c r="WY19" s="277">
        <v>0</v>
      </c>
      <c r="WZ19" s="277">
        <v>0</v>
      </c>
      <c r="XA19" s="277">
        <v>0</v>
      </c>
      <c r="XB19" s="277">
        <v>0</v>
      </c>
      <c r="XC19" s="277">
        <v>0</v>
      </c>
      <c r="XD19" s="277">
        <v>0</v>
      </c>
      <c r="XE19" s="277">
        <v>0</v>
      </c>
      <c r="XF19" s="277">
        <v>0</v>
      </c>
      <c r="XG19" s="277">
        <v>0</v>
      </c>
      <c r="XH19" s="277">
        <v>0</v>
      </c>
      <c r="XI19" s="277">
        <v>0</v>
      </c>
      <c r="XJ19" s="277">
        <v>0</v>
      </c>
      <c r="XK19" s="277">
        <v>0</v>
      </c>
      <c r="XL19" s="235">
        <v>0</v>
      </c>
      <c r="XM19" s="277">
        <v>0</v>
      </c>
      <c r="XN19" s="277">
        <v>0</v>
      </c>
      <c r="XO19" s="277">
        <v>0</v>
      </c>
      <c r="XP19" s="277">
        <v>0</v>
      </c>
      <c r="XQ19" s="277">
        <v>0</v>
      </c>
      <c r="XR19" s="277">
        <v>0</v>
      </c>
      <c r="XS19" s="277">
        <v>0</v>
      </c>
      <c r="XT19" s="277">
        <v>0</v>
      </c>
      <c r="XU19" s="277">
        <v>0</v>
      </c>
      <c r="XV19" s="277">
        <v>0</v>
      </c>
      <c r="XW19" s="277">
        <v>0</v>
      </c>
      <c r="XX19" s="277">
        <v>0</v>
      </c>
      <c r="XY19" s="277">
        <v>0</v>
      </c>
      <c r="XZ19" s="277">
        <v>0</v>
      </c>
      <c r="YA19" s="277">
        <v>0</v>
      </c>
      <c r="YB19" s="277">
        <v>0</v>
      </c>
      <c r="YC19" s="277">
        <v>0</v>
      </c>
      <c r="YD19" s="277">
        <v>0</v>
      </c>
      <c r="YE19" s="277">
        <v>0</v>
      </c>
      <c r="YF19" s="277">
        <v>0</v>
      </c>
      <c r="YG19" s="277">
        <v>0</v>
      </c>
      <c r="YH19" s="277">
        <v>0</v>
      </c>
      <c r="YI19" s="277">
        <v>0</v>
      </c>
      <c r="YJ19" s="277">
        <v>0</v>
      </c>
      <c r="YK19" s="277">
        <v>0</v>
      </c>
      <c r="YL19" s="277">
        <v>0</v>
      </c>
      <c r="YM19" s="277">
        <v>0</v>
      </c>
      <c r="YN19" s="277">
        <v>0</v>
      </c>
      <c r="YO19" s="277">
        <v>0</v>
      </c>
      <c r="YP19" s="277">
        <v>0</v>
      </c>
      <c r="YQ19" s="277">
        <v>0</v>
      </c>
      <c r="YR19" s="235">
        <v>0</v>
      </c>
      <c r="YS19" s="277">
        <v>0</v>
      </c>
      <c r="YT19" s="277">
        <v>0</v>
      </c>
      <c r="YU19" s="277">
        <v>0</v>
      </c>
      <c r="YV19" s="277">
        <v>0</v>
      </c>
      <c r="YW19" s="277">
        <v>0</v>
      </c>
      <c r="YX19" s="277">
        <v>0</v>
      </c>
      <c r="YY19" s="277">
        <v>0</v>
      </c>
      <c r="YZ19" s="277">
        <v>0</v>
      </c>
      <c r="ZA19" s="277">
        <v>0</v>
      </c>
      <c r="ZB19" s="277">
        <v>0</v>
      </c>
      <c r="ZC19" s="277">
        <v>0</v>
      </c>
      <c r="ZD19" s="277">
        <v>0</v>
      </c>
      <c r="ZE19" s="277">
        <v>0</v>
      </c>
      <c r="ZF19" s="277">
        <v>0</v>
      </c>
      <c r="ZG19" s="277">
        <v>0</v>
      </c>
      <c r="ZH19" s="277">
        <v>0</v>
      </c>
      <c r="ZI19" s="277">
        <v>0</v>
      </c>
      <c r="ZJ19" s="277">
        <v>0</v>
      </c>
      <c r="ZK19" s="277">
        <v>0</v>
      </c>
      <c r="ZL19" s="277">
        <v>0</v>
      </c>
      <c r="ZM19" s="277">
        <v>0</v>
      </c>
      <c r="ZN19" s="277">
        <v>0</v>
      </c>
      <c r="ZO19" s="277">
        <v>0</v>
      </c>
      <c r="ZP19" s="277">
        <v>0</v>
      </c>
      <c r="ZQ19" s="277">
        <v>0</v>
      </c>
      <c r="ZR19" s="277">
        <v>0</v>
      </c>
      <c r="ZS19" s="277">
        <v>0</v>
      </c>
      <c r="ZT19" s="277">
        <v>0</v>
      </c>
      <c r="ZU19" s="277">
        <v>0</v>
      </c>
      <c r="ZV19" s="277">
        <v>0</v>
      </c>
      <c r="ZW19" s="277">
        <v>0</v>
      </c>
      <c r="ZX19" s="235">
        <v>0</v>
      </c>
      <c r="ZY19" s="277">
        <v>0</v>
      </c>
      <c r="ZZ19" s="277">
        <v>0</v>
      </c>
      <c r="AAA19" s="277">
        <v>0</v>
      </c>
      <c r="AAB19" s="277">
        <v>0</v>
      </c>
      <c r="AAC19" s="277">
        <v>0</v>
      </c>
      <c r="AAD19" s="277">
        <v>0</v>
      </c>
      <c r="AAE19" s="277">
        <v>0</v>
      </c>
      <c r="AAF19" s="277">
        <v>0</v>
      </c>
      <c r="AAG19" s="277">
        <v>0</v>
      </c>
      <c r="AAH19" s="277">
        <v>0</v>
      </c>
      <c r="AAI19" s="277">
        <v>0</v>
      </c>
      <c r="AAJ19" s="277">
        <v>0</v>
      </c>
      <c r="AAK19" s="277">
        <v>0</v>
      </c>
      <c r="AAL19" s="277">
        <v>0</v>
      </c>
      <c r="AAM19" s="277">
        <v>0</v>
      </c>
      <c r="AAN19" s="277">
        <v>0</v>
      </c>
      <c r="AAO19" s="277">
        <v>0</v>
      </c>
      <c r="AAP19" s="277">
        <v>0</v>
      </c>
      <c r="AAQ19" s="277">
        <v>0</v>
      </c>
      <c r="AAR19" s="277">
        <v>0</v>
      </c>
      <c r="AAS19" s="277">
        <v>0</v>
      </c>
      <c r="AAT19" s="277">
        <v>0</v>
      </c>
      <c r="AAU19" s="277">
        <v>0</v>
      </c>
      <c r="AAV19" s="277">
        <v>0</v>
      </c>
      <c r="AAW19" s="277">
        <v>0</v>
      </c>
      <c r="AAX19" s="277">
        <v>0</v>
      </c>
      <c r="AAY19" s="277">
        <v>0</v>
      </c>
      <c r="AAZ19" s="277">
        <v>0</v>
      </c>
      <c r="ABA19" s="276">
        <f t="shared" si="11"/>
        <v>0</v>
      </c>
      <c r="ABB19" s="277">
        <v>0</v>
      </c>
      <c r="ABC19" s="277">
        <v>0</v>
      </c>
      <c r="ABD19" s="277">
        <v>0</v>
      </c>
      <c r="ABE19" s="277">
        <v>0</v>
      </c>
      <c r="ABF19" s="277">
        <v>0</v>
      </c>
      <c r="ABG19" s="277">
        <v>0</v>
      </c>
      <c r="ABH19" s="277">
        <v>0</v>
      </c>
      <c r="ABI19" s="277">
        <v>0</v>
      </c>
      <c r="ABJ19" s="277">
        <v>0</v>
      </c>
      <c r="ABK19" s="277">
        <v>0</v>
      </c>
      <c r="ABL19" s="277">
        <v>0</v>
      </c>
      <c r="ABM19" s="277">
        <v>0</v>
      </c>
      <c r="ABN19" s="277">
        <v>0</v>
      </c>
      <c r="ABO19" s="277">
        <v>0</v>
      </c>
      <c r="ABP19" s="277">
        <v>0</v>
      </c>
      <c r="ABQ19" s="277">
        <v>0</v>
      </c>
      <c r="ABR19" s="277">
        <v>0</v>
      </c>
      <c r="ABS19" s="277">
        <v>0</v>
      </c>
      <c r="ABT19" s="277">
        <v>0</v>
      </c>
      <c r="ABU19" s="277">
        <v>0</v>
      </c>
      <c r="ABV19" s="277">
        <v>0</v>
      </c>
      <c r="ABW19" s="277">
        <v>0</v>
      </c>
      <c r="ABX19" s="277">
        <v>0</v>
      </c>
      <c r="ABY19" s="477">
        <v>0</v>
      </c>
      <c r="ABZ19" s="477">
        <v>0</v>
      </c>
      <c r="ACA19" s="477">
        <v>0</v>
      </c>
      <c r="ACB19" s="477">
        <v>0</v>
      </c>
      <c r="ACC19" s="477">
        <v>0</v>
      </c>
      <c r="ACD19" s="477">
        <v>0</v>
      </c>
      <c r="ACE19" s="477">
        <v>0</v>
      </c>
      <c r="ACF19" s="477">
        <v>0</v>
      </c>
      <c r="ACG19" s="276">
        <v>0</v>
      </c>
      <c r="ACH19" s="277">
        <v>0</v>
      </c>
      <c r="ACI19" s="277">
        <v>0</v>
      </c>
      <c r="ACJ19" s="277">
        <v>0</v>
      </c>
      <c r="ACK19" s="277">
        <v>0</v>
      </c>
      <c r="ACL19" s="277">
        <v>0</v>
      </c>
      <c r="ACM19" s="277">
        <v>0</v>
      </c>
      <c r="ACN19" s="277">
        <v>0</v>
      </c>
      <c r="ACO19" s="277">
        <v>0</v>
      </c>
      <c r="ACP19" s="277">
        <v>0</v>
      </c>
      <c r="ACQ19" s="277">
        <v>0</v>
      </c>
      <c r="ACR19" s="277">
        <v>0</v>
      </c>
      <c r="ACS19" s="277">
        <v>0</v>
      </c>
      <c r="ACT19" s="277">
        <v>0</v>
      </c>
      <c r="ACU19" s="277">
        <v>0</v>
      </c>
      <c r="ACV19" s="277">
        <v>0</v>
      </c>
      <c r="ACW19" s="277">
        <v>0</v>
      </c>
      <c r="ACX19" s="277">
        <v>0</v>
      </c>
      <c r="ACY19" s="277">
        <v>0</v>
      </c>
      <c r="ACZ19" s="277">
        <v>0</v>
      </c>
      <c r="ADA19" s="277">
        <v>0</v>
      </c>
      <c r="ADB19" s="277">
        <v>0</v>
      </c>
      <c r="ADC19" s="277">
        <v>0</v>
      </c>
      <c r="ADD19" s="277">
        <v>0</v>
      </c>
      <c r="ADE19" s="277">
        <v>0</v>
      </c>
      <c r="ADF19" s="277">
        <v>0</v>
      </c>
      <c r="ADG19" s="277">
        <v>0</v>
      </c>
      <c r="ADH19" s="277">
        <v>0</v>
      </c>
      <c r="ADI19" s="277">
        <v>0</v>
      </c>
      <c r="ADJ19" s="277">
        <v>0</v>
      </c>
      <c r="ADK19" s="277">
        <v>0</v>
      </c>
      <c r="ADL19" s="277">
        <v>0</v>
      </c>
      <c r="ADM19" s="276">
        <v>0</v>
      </c>
      <c r="ADN19" s="277">
        <v>0</v>
      </c>
      <c r="ADO19" s="277">
        <v>0</v>
      </c>
      <c r="ADP19" s="277">
        <v>0</v>
      </c>
      <c r="ADQ19" s="220">
        <v>0</v>
      </c>
      <c r="ADR19" s="220">
        <v>0</v>
      </c>
      <c r="ADS19" s="220">
        <v>0</v>
      </c>
      <c r="ADT19" s="220">
        <v>0</v>
      </c>
      <c r="ADU19" s="220">
        <v>0</v>
      </c>
      <c r="ADV19" s="220">
        <v>0</v>
      </c>
      <c r="ADW19" s="220">
        <v>0</v>
      </c>
      <c r="ADX19" s="220">
        <v>0</v>
      </c>
      <c r="ADY19" s="220">
        <v>0</v>
      </c>
      <c r="ADZ19" s="220">
        <v>0</v>
      </c>
      <c r="AEA19" s="220">
        <v>0</v>
      </c>
      <c r="AEB19" s="220">
        <v>0</v>
      </c>
      <c r="AEC19" s="220">
        <v>0</v>
      </c>
      <c r="AED19" s="220">
        <v>0</v>
      </c>
      <c r="AEE19" s="220">
        <v>0</v>
      </c>
      <c r="AEF19" s="220">
        <v>0</v>
      </c>
      <c r="AEG19" s="220">
        <v>0</v>
      </c>
      <c r="AEH19" s="220">
        <v>0</v>
      </c>
      <c r="AEI19" s="220">
        <v>0</v>
      </c>
      <c r="AEJ19" s="220">
        <v>0</v>
      </c>
      <c r="AEK19" s="220">
        <v>0</v>
      </c>
      <c r="AEL19" s="220">
        <v>0</v>
      </c>
      <c r="AEM19" s="220">
        <v>0</v>
      </c>
      <c r="AEN19" s="220">
        <v>0</v>
      </c>
      <c r="AEO19" s="277">
        <v>0</v>
      </c>
      <c r="AEP19" s="277">
        <v>0</v>
      </c>
      <c r="AEQ19" s="277">
        <v>0</v>
      </c>
      <c r="AER19" s="277">
        <v>0</v>
      </c>
      <c r="AES19" s="276">
        <v>0</v>
      </c>
      <c r="AET19" s="277">
        <v>0</v>
      </c>
      <c r="AEU19" s="277">
        <v>0</v>
      </c>
      <c r="AEV19" s="277">
        <v>0</v>
      </c>
      <c r="AEW19" s="277">
        <v>0</v>
      </c>
      <c r="AEX19" s="277">
        <v>0</v>
      </c>
      <c r="AEY19" s="277">
        <v>0</v>
      </c>
      <c r="AEZ19" s="277">
        <v>0</v>
      </c>
      <c r="AFA19" s="277">
        <v>0</v>
      </c>
      <c r="AFB19" s="277">
        <v>0</v>
      </c>
      <c r="AFC19" s="277">
        <v>0</v>
      </c>
      <c r="AFD19" s="277">
        <v>0</v>
      </c>
      <c r="AFE19" s="277">
        <v>0</v>
      </c>
      <c r="AFF19" s="277">
        <v>0</v>
      </c>
      <c r="AFG19" s="277">
        <v>0</v>
      </c>
      <c r="AFH19" s="277">
        <v>0</v>
      </c>
      <c r="AFI19" s="277">
        <v>0</v>
      </c>
      <c r="AFJ19" s="277">
        <v>0</v>
      </c>
      <c r="AFK19" s="277">
        <v>0</v>
      </c>
      <c r="AFL19" s="277">
        <v>0</v>
      </c>
      <c r="AFM19" s="277">
        <v>0</v>
      </c>
      <c r="AFN19" s="277">
        <v>0</v>
      </c>
      <c r="AFO19" s="277">
        <v>0</v>
      </c>
      <c r="AFP19" s="277">
        <v>0</v>
      </c>
      <c r="AFQ19" s="277">
        <v>0</v>
      </c>
      <c r="AFR19" s="277">
        <v>0</v>
      </c>
      <c r="AFS19" s="277">
        <v>0</v>
      </c>
      <c r="AFT19" s="277">
        <v>0</v>
      </c>
      <c r="AFU19" s="277">
        <v>0</v>
      </c>
      <c r="AFV19" s="277">
        <v>0</v>
      </c>
      <c r="AFW19" s="277">
        <v>0</v>
      </c>
      <c r="AFX19" s="276">
        <v>0</v>
      </c>
      <c r="AFY19" s="220">
        <v>0</v>
      </c>
      <c r="AFZ19" s="220">
        <v>0</v>
      </c>
      <c r="AGA19" s="220">
        <v>0</v>
      </c>
      <c r="AGB19" s="220">
        <v>0</v>
      </c>
      <c r="AGC19" s="220">
        <v>0</v>
      </c>
      <c r="AGD19" s="220">
        <v>0</v>
      </c>
      <c r="AGE19" s="220">
        <v>0</v>
      </c>
      <c r="AGF19" s="220">
        <v>0</v>
      </c>
      <c r="AGG19" s="220">
        <v>0</v>
      </c>
      <c r="AGH19" s="220">
        <v>0</v>
      </c>
      <c r="AGI19" s="220">
        <v>0</v>
      </c>
      <c r="AGJ19" s="220">
        <v>0</v>
      </c>
      <c r="AGK19" s="220">
        <v>0</v>
      </c>
      <c r="AGL19" s="220">
        <v>0</v>
      </c>
      <c r="AGM19" s="220">
        <v>0</v>
      </c>
      <c r="AGN19" s="220">
        <v>0</v>
      </c>
      <c r="AGO19" s="220">
        <v>0</v>
      </c>
      <c r="AGP19" s="220">
        <v>0</v>
      </c>
      <c r="AGQ19" s="220">
        <v>0</v>
      </c>
      <c r="AGR19" s="220">
        <v>0</v>
      </c>
      <c r="AGS19" s="220">
        <v>0</v>
      </c>
      <c r="AGT19" s="220">
        <v>0</v>
      </c>
      <c r="AGU19" s="220">
        <v>0</v>
      </c>
      <c r="AGV19" s="220">
        <v>0</v>
      </c>
      <c r="AGW19" s="220">
        <v>0</v>
      </c>
      <c r="AGX19" s="220">
        <v>0</v>
      </c>
      <c r="AGY19" s="220">
        <v>0</v>
      </c>
      <c r="AGZ19" s="220">
        <v>0</v>
      </c>
      <c r="AHA19" s="220">
        <v>0</v>
      </c>
      <c r="AHB19" s="220">
        <v>0</v>
      </c>
      <c r="AHC19" s="220">
        <v>0</v>
      </c>
      <c r="AHD19" s="276">
        <v>0</v>
      </c>
      <c r="AHE19" s="220">
        <v>0</v>
      </c>
      <c r="AHF19" s="220">
        <v>0</v>
      </c>
      <c r="AHG19" s="220">
        <v>0</v>
      </c>
      <c r="AHH19" s="220">
        <v>0</v>
      </c>
      <c r="AHI19" s="220">
        <v>0</v>
      </c>
      <c r="AHJ19" s="220">
        <v>0</v>
      </c>
      <c r="AHK19" s="220">
        <v>0</v>
      </c>
      <c r="AHL19" s="220">
        <v>0</v>
      </c>
      <c r="AHM19" s="220">
        <v>0</v>
      </c>
      <c r="AHN19" s="220">
        <v>0</v>
      </c>
      <c r="AHO19" s="220">
        <v>0</v>
      </c>
      <c r="AHP19" s="220">
        <v>0</v>
      </c>
      <c r="AHQ19" s="220">
        <v>0</v>
      </c>
      <c r="AHR19" s="220">
        <v>0</v>
      </c>
      <c r="AHS19" s="220">
        <v>0</v>
      </c>
      <c r="AHT19" s="220">
        <v>0</v>
      </c>
      <c r="AHU19" s="220">
        <v>0</v>
      </c>
      <c r="AHV19" s="220">
        <v>0</v>
      </c>
      <c r="AHW19" s="220">
        <v>0</v>
      </c>
      <c r="AHX19" s="220">
        <v>0</v>
      </c>
      <c r="AHY19" s="220">
        <v>0</v>
      </c>
      <c r="AHZ19" s="220">
        <v>0</v>
      </c>
      <c r="AIA19" s="220">
        <v>0</v>
      </c>
      <c r="AIB19" s="220">
        <v>0</v>
      </c>
      <c r="AIC19" s="220">
        <v>0</v>
      </c>
      <c r="AID19" s="220">
        <v>0</v>
      </c>
      <c r="AIE19" s="220">
        <v>0</v>
      </c>
      <c r="AIF19" s="220">
        <v>0</v>
      </c>
      <c r="AIG19" s="220">
        <v>0</v>
      </c>
      <c r="AIH19" s="220">
        <v>0</v>
      </c>
      <c r="AII19" s="220">
        <v>0</v>
      </c>
      <c r="AIJ19" s="235">
        <v>0</v>
      </c>
      <c r="AIK19" s="479">
        <v>0</v>
      </c>
      <c r="AIL19" s="479">
        <v>0</v>
      </c>
      <c r="AIM19" s="479">
        <v>0</v>
      </c>
      <c r="AIN19" s="479">
        <v>0</v>
      </c>
      <c r="AIO19" s="479">
        <v>0</v>
      </c>
      <c r="AIP19" s="479">
        <v>0</v>
      </c>
      <c r="AIQ19" s="479">
        <v>0</v>
      </c>
      <c r="AIR19" s="479">
        <v>0</v>
      </c>
      <c r="AIS19" s="479">
        <v>0</v>
      </c>
      <c r="AIT19" s="479">
        <v>0</v>
      </c>
      <c r="AIU19" s="479">
        <v>0</v>
      </c>
      <c r="AIV19" s="479">
        <v>0</v>
      </c>
      <c r="AIW19" s="479">
        <v>0</v>
      </c>
      <c r="AIX19" s="479">
        <v>0</v>
      </c>
      <c r="AIY19" s="479">
        <v>0</v>
      </c>
      <c r="AIZ19" s="479">
        <v>0</v>
      </c>
      <c r="AJA19" s="479">
        <v>0</v>
      </c>
      <c r="AJB19" s="479">
        <v>0</v>
      </c>
      <c r="AJC19" s="479">
        <v>0</v>
      </c>
      <c r="AJD19" s="479">
        <v>0</v>
      </c>
      <c r="AJE19" s="479">
        <v>0</v>
      </c>
      <c r="AJF19" s="479">
        <v>0</v>
      </c>
      <c r="AJG19" s="479">
        <v>0</v>
      </c>
      <c r="AJH19" s="479">
        <v>0</v>
      </c>
      <c r="AJI19" s="479">
        <v>0</v>
      </c>
      <c r="AJJ19" s="479">
        <v>0</v>
      </c>
      <c r="AJK19" s="479">
        <v>0</v>
      </c>
      <c r="AJL19" s="479">
        <v>0</v>
      </c>
      <c r="AJM19" s="479">
        <v>0</v>
      </c>
      <c r="AJN19" s="479">
        <v>0</v>
      </c>
      <c r="AJO19" s="235">
        <v>0</v>
      </c>
      <c r="AJP19" s="479">
        <v>0</v>
      </c>
      <c r="AJQ19" s="479">
        <v>0</v>
      </c>
      <c r="AJR19" s="508">
        <v>7300</v>
      </c>
      <c r="AJS19" s="508">
        <v>7308</v>
      </c>
      <c r="AJT19" s="479">
        <v>0</v>
      </c>
      <c r="AJU19" s="479">
        <v>0</v>
      </c>
      <c r="AJV19" s="479">
        <v>0</v>
      </c>
      <c r="AJW19" s="479">
        <v>0</v>
      </c>
      <c r="AJX19" s="479">
        <v>0</v>
      </c>
      <c r="AJY19" s="479">
        <v>0</v>
      </c>
      <c r="AJZ19" s="479">
        <v>0</v>
      </c>
      <c r="AKA19" s="508">
        <v>7300</v>
      </c>
      <c r="AKB19" s="479">
        <v>0</v>
      </c>
      <c r="AKC19" s="479">
        <v>0</v>
      </c>
      <c r="AKD19" s="479">
        <v>0</v>
      </c>
      <c r="AKE19" s="479">
        <v>0</v>
      </c>
      <c r="AKF19" s="479">
        <v>0</v>
      </c>
      <c r="AKG19" s="479">
        <v>0</v>
      </c>
      <c r="AKH19" s="479">
        <v>0</v>
      </c>
      <c r="AKI19" s="479">
        <v>0</v>
      </c>
      <c r="AKJ19" s="479">
        <v>0</v>
      </c>
      <c r="AKK19" s="479">
        <v>0</v>
      </c>
      <c r="AKL19" s="479">
        <v>0</v>
      </c>
      <c r="AKM19" s="479">
        <v>0</v>
      </c>
      <c r="AKN19" s="479">
        <v>0</v>
      </c>
      <c r="AKO19" s="508">
        <v>14600</v>
      </c>
      <c r="AKP19" s="479">
        <v>0</v>
      </c>
      <c r="AKQ19" s="479">
        <v>0</v>
      </c>
      <c r="AKR19" s="479">
        <v>0</v>
      </c>
      <c r="AKS19" s="479"/>
      <c r="AKT19" s="479">
        <v>0</v>
      </c>
      <c r="AKU19" s="235">
        <v>36508</v>
      </c>
      <c r="AKV19" s="479">
        <v>0</v>
      </c>
      <c r="AKW19" s="479">
        <v>0</v>
      </c>
      <c r="AKX19" s="479">
        <v>0</v>
      </c>
      <c r="AKY19" s="479">
        <v>0</v>
      </c>
      <c r="AKZ19" s="479">
        <v>0</v>
      </c>
      <c r="ALA19" s="479">
        <v>0</v>
      </c>
      <c r="ALB19" s="479">
        <v>0</v>
      </c>
      <c r="ALC19" s="479">
        <v>0</v>
      </c>
      <c r="ALD19" s="479">
        <v>0</v>
      </c>
      <c r="ALE19" s="479">
        <v>0</v>
      </c>
      <c r="ALF19" s="479">
        <v>0</v>
      </c>
      <c r="ALG19" s="479">
        <v>0</v>
      </c>
      <c r="ALH19" s="479">
        <v>0</v>
      </c>
      <c r="ALI19" s="479">
        <v>0</v>
      </c>
      <c r="ALJ19" s="479">
        <v>0</v>
      </c>
      <c r="ALK19" s="479">
        <v>0</v>
      </c>
      <c r="ALL19" s="479">
        <v>0</v>
      </c>
      <c r="ALM19" s="479">
        <v>0</v>
      </c>
      <c r="ALN19" s="479">
        <v>0</v>
      </c>
      <c r="ALO19" s="479">
        <v>0</v>
      </c>
      <c r="ALP19" s="479">
        <v>0</v>
      </c>
      <c r="ALQ19" s="479">
        <v>0</v>
      </c>
      <c r="ALR19" s="479">
        <v>0</v>
      </c>
      <c r="ALS19" s="479">
        <v>0</v>
      </c>
      <c r="ALT19" s="479">
        <v>0</v>
      </c>
      <c r="ALU19" s="479">
        <v>0</v>
      </c>
      <c r="ALV19" s="479">
        <v>0</v>
      </c>
      <c r="ALW19" s="479">
        <v>0</v>
      </c>
      <c r="ALX19" s="479">
        <v>0</v>
      </c>
      <c r="ALY19" s="479"/>
      <c r="ALZ19" s="235">
        <v>0</v>
      </c>
      <c r="AMA19" s="479">
        <v>0</v>
      </c>
      <c r="AMB19" s="479">
        <v>0</v>
      </c>
      <c r="AMC19" s="479">
        <v>0</v>
      </c>
      <c r="AMD19" s="479">
        <v>0</v>
      </c>
      <c r="AME19" s="479">
        <v>0</v>
      </c>
      <c r="AMF19" s="479">
        <v>0</v>
      </c>
      <c r="AMG19" s="479">
        <v>0</v>
      </c>
      <c r="AMH19" s="479">
        <v>0</v>
      </c>
      <c r="AMI19" s="479">
        <v>0</v>
      </c>
      <c r="AMJ19" s="479">
        <v>0</v>
      </c>
      <c r="AMK19" s="479">
        <v>0</v>
      </c>
      <c r="AML19" s="479">
        <v>0</v>
      </c>
      <c r="AMM19" s="479">
        <v>0</v>
      </c>
      <c r="AMN19" s="479">
        <v>0</v>
      </c>
      <c r="AMO19" s="479">
        <v>0</v>
      </c>
      <c r="AMP19" s="479">
        <v>0</v>
      </c>
      <c r="AMQ19" s="479">
        <v>0</v>
      </c>
      <c r="AMR19" s="479">
        <v>0</v>
      </c>
      <c r="AMS19" s="479">
        <v>0</v>
      </c>
      <c r="AMT19" s="479">
        <v>0</v>
      </c>
      <c r="AMU19" s="479">
        <v>0</v>
      </c>
      <c r="AMV19" s="479">
        <v>0</v>
      </c>
      <c r="AMW19" s="479">
        <v>0</v>
      </c>
      <c r="AMX19" s="479">
        <v>0</v>
      </c>
      <c r="AMY19" s="479">
        <v>0</v>
      </c>
      <c r="AMZ19" s="479">
        <v>0</v>
      </c>
      <c r="ANA19" s="479">
        <v>0</v>
      </c>
      <c r="ANB19" s="479">
        <v>0</v>
      </c>
      <c r="ANC19" s="479">
        <v>0</v>
      </c>
      <c r="AND19" s="479"/>
      <c r="ANE19" s="479"/>
      <c r="ANF19" s="235">
        <f t="shared" si="2"/>
        <v>0</v>
      </c>
      <c r="ANG19" s="477">
        <v>0</v>
      </c>
      <c r="ANH19" s="477">
        <v>0</v>
      </c>
      <c r="ANI19" s="477">
        <v>0</v>
      </c>
      <c r="ANJ19" s="477">
        <v>0</v>
      </c>
      <c r="ANK19" s="477">
        <v>0</v>
      </c>
      <c r="ANL19" s="477">
        <v>0</v>
      </c>
      <c r="ANM19" s="477">
        <v>0</v>
      </c>
      <c r="ANN19" s="477">
        <v>0</v>
      </c>
      <c r="ANO19" s="477">
        <v>0</v>
      </c>
      <c r="ANP19" s="477">
        <v>0</v>
      </c>
      <c r="ANQ19" s="477">
        <v>0</v>
      </c>
      <c r="ANR19" s="477">
        <v>0</v>
      </c>
      <c r="ANS19" s="477">
        <v>0</v>
      </c>
      <c r="ANT19" s="477">
        <v>0</v>
      </c>
      <c r="ANU19" s="477">
        <v>0</v>
      </c>
      <c r="ANV19" s="477">
        <v>0</v>
      </c>
      <c r="ANW19" s="477">
        <v>0</v>
      </c>
      <c r="ANX19" s="477">
        <v>0</v>
      </c>
      <c r="ANY19" s="477">
        <v>0</v>
      </c>
      <c r="ANZ19" s="477">
        <v>0</v>
      </c>
      <c r="AOA19" s="477">
        <v>0</v>
      </c>
      <c r="AOB19" s="477">
        <v>0</v>
      </c>
      <c r="AOC19" s="477">
        <v>0</v>
      </c>
      <c r="AOD19" s="477">
        <v>0</v>
      </c>
      <c r="AOE19" s="477">
        <v>0</v>
      </c>
      <c r="AOF19" s="477">
        <v>0</v>
      </c>
      <c r="AOG19" s="477">
        <v>0</v>
      </c>
      <c r="AOH19" s="477">
        <v>0</v>
      </c>
      <c r="AOI19" s="276">
        <v>0</v>
      </c>
      <c r="AOJ19" s="477">
        <v>0</v>
      </c>
      <c r="AOK19" s="477">
        <v>0</v>
      </c>
      <c r="AOL19" s="477">
        <v>0</v>
      </c>
      <c r="AOM19" s="477">
        <v>0</v>
      </c>
      <c r="AON19" s="477">
        <v>0</v>
      </c>
      <c r="AOO19" s="477">
        <v>0</v>
      </c>
      <c r="AOP19" s="477">
        <v>0</v>
      </c>
      <c r="AOQ19" s="477">
        <v>0</v>
      </c>
      <c r="AOR19" s="477">
        <v>0</v>
      </c>
      <c r="AOS19" s="477">
        <v>0</v>
      </c>
      <c r="AOT19" s="477">
        <v>0</v>
      </c>
      <c r="AOU19" s="477">
        <v>0</v>
      </c>
      <c r="AOV19" s="477">
        <v>0</v>
      </c>
      <c r="AOW19" s="477">
        <v>0</v>
      </c>
      <c r="AOX19" s="477">
        <v>0</v>
      </c>
      <c r="AOY19" s="477">
        <v>0</v>
      </c>
      <c r="AOZ19" s="477">
        <v>0</v>
      </c>
      <c r="APA19" s="477">
        <v>0</v>
      </c>
      <c r="APB19" s="477">
        <v>0</v>
      </c>
      <c r="APC19" s="477">
        <v>0</v>
      </c>
      <c r="APD19" s="477">
        <v>0</v>
      </c>
      <c r="APE19" s="477">
        <v>0</v>
      </c>
      <c r="APF19" s="477">
        <v>0</v>
      </c>
      <c r="APG19" s="477">
        <v>0</v>
      </c>
      <c r="APH19" s="477">
        <v>0</v>
      </c>
      <c r="API19" s="477">
        <v>0</v>
      </c>
      <c r="APJ19" s="477">
        <v>0</v>
      </c>
      <c r="APK19" s="477">
        <v>0</v>
      </c>
      <c r="APL19" s="477">
        <v>0</v>
      </c>
      <c r="APM19" s="477">
        <v>0</v>
      </c>
      <c r="APN19" s="477">
        <v>0</v>
      </c>
      <c r="APO19" s="276">
        <v>0</v>
      </c>
      <c r="APP19" s="477">
        <v>0</v>
      </c>
      <c r="APQ19" s="477">
        <v>0</v>
      </c>
      <c r="APR19" s="477">
        <v>0</v>
      </c>
      <c r="APS19" s="477">
        <v>0</v>
      </c>
      <c r="APT19" s="477">
        <v>0</v>
      </c>
      <c r="APU19" s="477">
        <v>0</v>
      </c>
      <c r="APV19" s="477">
        <v>0</v>
      </c>
      <c r="APW19" s="477">
        <v>0</v>
      </c>
      <c r="APX19" s="477">
        <v>0</v>
      </c>
      <c r="APY19" s="477">
        <v>0</v>
      </c>
      <c r="APZ19" s="477">
        <v>0</v>
      </c>
      <c r="AQA19" s="477">
        <v>0</v>
      </c>
      <c r="AQB19" s="477">
        <v>0</v>
      </c>
      <c r="AQC19" s="477">
        <v>0</v>
      </c>
      <c r="AQD19" s="477">
        <v>0</v>
      </c>
      <c r="AQE19" s="477">
        <v>0</v>
      </c>
      <c r="AQF19" s="477">
        <v>0</v>
      </c>
      <c r="AQG19" s="477">
        <v>0</v>
      </c>
      <c r="AQH19" s="477">
        <v>0</v>
      </c>
      <c r="AQI19" s="477">
        <v>0</v>
      </c>
      <c r="AQJ19" s="477">
        <v>0</v>
      </c>
      <c r="AQK19" s="477">
        <v>0</v>
      </c>
      <c r="AQL19" s="477">
        <v>0</v>
      </c>
      <c r="AQM19" s="477">
        <v>0</v>
      </c>
      <c r="AQN19" s="477">
        <v>0</v>
      </c>
      <c r="AQO19" s="477">
        <v>0</v>
      </c>
      <c r="AQP19" s="477">
        <v>0</v>
      </c>
      <c r="AQQ19" s="477">
        <v>0</v>
      </c>
      <c r="AQR19" s="477">
        <v>0</v>
      </c>
      <c r="AQS19" s="477">
        <v>0</v>
      </c>
      <c r="AQT19" s="276">
        <f t="shared" si="12"/>
        <v>0</v>
      </c>
      <c r="AQU19" s="477">
        <v>0</v>
      </c>
      <c r="AQV19" s="477">
        <v>0</v>
      </c>
      <c r="AQW19" s="477">
        <v>0</v>
      </c>
      <c r="AQX19" s="477">
        <v>0</v>
      </c>
      <c r="AQY19" s="477">
        <v>0</v>
      </c>
      <c r="AQZ19" s="477">
        <v>0</v>
      </c>
      <c r="ARA19" s="477">
        <v>0</v>
      </c>
      <c r="ARB19" s="477">
        <v>0</v>
      </c>
      <c r="ARC19" s="477">
        <v>0</v>
      </c>
      <c r="ARD19" s="477">
        <v>0</v>
      </c>
      <c r="ARE19" s="477">
        <v>0</v>
      </c>
      <c r="ARF19" s="477">
        <v>0</v>
      </c>
      <c r="ARG19" s="477">
        <v>0</v>
      </c>
      <c r="ARH19" s="477">
        <v>0</v>
      </c>
      <c r="ARI19" s="477">
        <v>0</v>
      </c>
      <c r="ARJ19" s="477">
        <v>0</v>
      </c>
      <c r="ARK19" s="477">
        <v>0</v>
      </c>
      <c r="ARL19" s="477">
        <v>0</v>
      </c>
      <c r="ARM19" s="477">
        <v>0</v>
      </c>
      <c r="ARN19" s="477">
        <v>0</v>
      </c>
      <c r="ARO19" s="477">
        <v>0</v>
      </c>
      <c r="ARP19" s="477">
        <v>0</v>
      </c>
      <c r="ARQ19" s="477">
        <v>0</v>
      </c>
      <c r="ARR19" s="477">
        <v>0</v>
      </c>
      <c r="ARS19" s="477">
        <v>0</v>
      </c>
      <c r="ART19" s="477">
        <v>0</v>
      </c>
      <c r="ARU19" s="477">
        <v>0</v>
      </c>
      <c r="ARV19" s="477">
        <v>0</v>
      </c>
      <c r="ARW19" s="477">
        <v>0</v>
      </c>
      <c r="ARX19" s="477"/>
      <c r="ARY19" s="477">
        <v>0</v>
      </c>
      <c r="ARZ19" s="276">
        <f t="shared" si="13"/>
        <v>0</v>
      </c>
      <c r="ASA19" s="477">
        <v>0</v>
      </c>
      <c r="ASB19" s="477">
        <v>0</v>
      </c>
      <c r="ASC19" s="477">
        <v>0</v>
      </c>
      <c r="ASD19" s="477">
        <v>0</v>
      </c>
      <c r="ASE19" s="477">
        <v>0</v>
      </c>
      <c r="ASF19" s="477">
        <v>0</v>
      </c>
      <c r="ASG19" s="477">
        <v>0</v>
      </c>
      <c r="ASH19" s="477">
        <v>0</v>
      </c>
      <c r="ASI19" s="477">
        <v>0</v>
      </c>
      <c r="ASJ19" s="477">
        <v>0</v>
      </c>
      <c r="ASK19" s="477">
        <v>0</v>
      </c>
      <c r="ASL19" s="477">
        <v>0</v>
      </c>
      <c r="ASM19" s="477">
        <v>0</v>
      </c>
      <c r="ASN19" s="477">
        <v>0</v>
      </c>
      <c r="ASO19" s="477">
        <v>0</v>
      </c>
      <c r="ASP19" s="477">
        <v>0</v>
      </c>
      <c r="ASQ19" s="477">
        <v>0</v>
      </c>
      <c r="ASR19" s="477">
        <v>0</v>
      </c>
      <c r="ASS19" s="477">
        <v>0</v>
      </c>
      <c r="AST19" s="477">
        <v>0</v>
      </c>
      <c r="ASU19" s="477">
        <v>0</v>
      </c>
      <c r="ASV19" s="477">
        <v>0</v>
      </c>
      <c r="ASW19" s="477">
        <v>0</v>
      </c>
      <c r="ASX19" s="477">
        <v>0</v>
      </c>
      <c r="ASY19" s="477">
        <v>0</v>
      </c>
      <c r="ASZ19" s="477">
        <v>0</v>
      </c>
      <c r="ATA19" s="477">
        <v>0</v>
      </c>
      <c r="ATB19" s="477">
        <v>0</v>
      </c>
      <c r="ATC19" s="477">
        <v>0</v>
      </c>
      <c r="ATD19" s="477"/>
      <c r="ATE19" s="276">
        <v>0</v>
      </c>
      <c r="ATF19" s="477">
        <v>0</v>
      </c>
      <c r="ATG19" s="477">
        <v>0</v>
      </c>
      <c r="ATH19" s="477">
        <v>0</v>
      </c>
      <c r="ATI19" s="477">
        <v>0</v>
      </c>
      <c r="ATJ19" s="477">
        <v>0</v>
      </c>
      <c r="ATK19" s="477">
        <v>0</v>
      </c>
      <c r="ATL19" s="477">
        <v>0</v>
      </c>
      <c r="ATM19" s="477">
        <v>0</v>
      </c>
      <c r="ATN19" s="477">
        <v>0</v>
      </c>
      <c r="ATO19" s="477">
        <v>0</v>
      </c>
      <c r="ATP19" s="477">
        <v>0</v>
      </c>
      <c r="ATQ19" s="477">
        <v>0</v>
      </c>
      <c r="ATR19" s="477">
        <v>0</v>
      </c>
      <c r="ATS19" s="477">
        <v>0</v>
      </c>
      <c r="ATT19" s="477">
        <v>0</v>
      </c>
      <c r="ATU19" s="477">
        <v>0</v>
      </c>
      <c r="ATV19" s="477">
        <v>0</v>
      </c>
      <c r="ATW19" s="477">
        <v>0</v>
      </c>
      <c r="ATX19" s="477">
        <v>0</v>
      </c>
      <c r="ATY19" s="477">
        <v>0</v>
      </c>
      <c r="ATZ19" s="477">
        <v>0</v>
      </c>
      <c r="AUA19" s="477">
        <v>0</v>
      </c>
      <c r="AUB19" s="477">
        <v>0</v>
      </c>
      <c r="AUC19" s="477">
        <v>0</v>
      </c>
      <c r="AUD19" s="477">
        <v>0</v>
      </c>
      <c r="AUE19" s="477">
        <v>0</v>
      </c>
      <c r="AUF19" s="477">
        <v>0</v>
      </c>
      <c r="AUG19" s="477">
        <v>0</v>
      </c>
      <c r="AUH19" s="477">
        <v>0</v>
      </c>
      <c r="AUI19" s="477">
        <v>0</v>
      </c>
      <c r="AUJ19" s="477"/>
      <c r="AUK19" s="276">
        <v>0</v>
      </c>
      <c r="AUL19" s="477">
        <v>0</v>
      </c>
      <c r="AUM19" s="477">
        <v>0</v>
      </c>
      <c r="AUN19" s="477">
        <v>0</v>
      </c>
      <c r="AUO19" s="477">
        <v>0</v>
      </c>
      <c r="AUP19" s="477">
        <v>0</v>
      </c>
      <c r="AUQ19" s="477">
        <v>0</v>
      </c>
      <c r="AUR19" s="477">
        <v>0</v>
      </c>
      <c r="AUS19" s="477">
        <v>0</v>
      </c>
      <c r="AUT19" s="477">
        <v>0</v>
      </c>
      <c r="AUU19" s="477">
        <v>0</v>
      </c>
      <c r="AUV19" s="477">
        <v>0</v>
      </c>
      <c r="AUW19" s="477">
        <v>0</v>
      </c>
      <c r="AUX19" s="477">
        <v>0</v>
      </c>
      <c r="AUY19" s="477">
        <v>0</v>
      </c>
      <c r="AUZ19" s="477">
        <v>0</v>
      </c>
      <c r="AVA19" s="477">
        <v>0</v>
      </c>
      <c r="AVB19" s="477">
        <v>0</v>
      </c>
      <c r="AVC19" s="477">
        <v>0</v>
      </c>
      <c r="AVD19" s="477">
        <v>0</v>
      </c>
      <c r="AVE19" s="477">
        <v>0</v>
      </c>
      <c r="AVF19" s="477">
        <v>0</v>
      </c>
      <c r="AVG19" s="477">
        <v>0</v>
      </c>
      <c r="AVH19" s="477">
        <v>0</v>
      </c>
      <c r="AVI19" s="477">
        <v>0</v>
      </c>
      <c r="AVJ19" s="477">
        <v>0</v>
      </c>
      <c r="AVK19" s="477">
        <v>0</v>
      </c>
      <c r="AVL19" s="477">
        <v>0</v>
      </c>
      <c r="AVM19" s="477">
        <v>0</v>
      </c>
      <c r="AVN19" s="477">
        <v>0</v>
      </c>
      <c r="AVO19" s="477">
        <v>0</v>
      </c>
      <c r="AVP19" s="477"/>
      <c r="AVQ19" s="235">
        <f t="shared" si="3"/>
        <v>0</v>
      </c>
      <c r="AVR19" s="477">
        <v>0</v>
      </c>
      <c r="AVS19" s="477">
        <v>0</v>
      </c>
      <c r="AVT19" s="477">
        <v>0</v>
      </c>
      <c r="AVU19" s="477">
        <v>0</v>
      </c>
      <c r="AVV19" s="477">
        <v>0</v>
      </c>
      <c r="AVW19" s="477">
        <v>0</v>
      </c>
      <c r="AVX19" s="477">
        <v>0</v>
      </c>
      <c r="AVY19" s="477">
        <v>0</v>
      </c>
      <c r="AVZ19" s="477">
        <v>0</v>
      </c>
      <c r="AWA19" s="477">
        <v>0</v>
      </c>
      <c r="AWB19" s="477">
        <v>0</v>
      </c>
      <c r="AWC19" s="477">
        <v>0</v>
      </c>
      <c r="AWD19" s="477">
        <v>0</v>
      </c>
      <c r="AWE19" s="477">
        <v>0</v>
      </c>
      <c r="AWF19" s="477">
        <v>0</v>
      </c>
      <c r="AWG19" s="477">
        <v>0</v>
      </c>
      <c r="AWH19" s="477">
        <v>0</v>
      </c>
      <c r="AWI19" s="477">
        <v>0</v>
      </c>
      <c r="AWJ19" s="477">
        <v>0</v>
      </c>
      <c r="AWK19" s="477">
        <v>0</v>
      </c>
      <c r="AWL19" s="477">
        <v>0</v>
      </c>
      <c r="AWM19" s="477">
        <v>0</v>
      </c>
      <c r="AWN19" s="477">
        <v>0</v>
      </c>
      <c r="AWO19" s="477">
        <v>0</v>
      </c>
      <c r="AWP19" s="477">
        <v>0</v>
      </c>
      <c r="AWQ19" s="477">
        <v>0</v>
      </c>
      <c r="AWR19" s="477">
        <v>0</v>
      </c>
      <c r="AWS19" s="477">
        <v>0</v>
      </c>
      <c r="AWT19" s="477">
        <v>0</v>
      </c>
      <c r="AWU19" s="477">
        <v>0</v>
      </c>
      <c r="AWV19" s="235">
        <v>0</v>
      </c>
      <c r="AWW19" s="477">
        <v>0</v>
      </c>
      <c r="AWX19" s="477">
        <v>0</v>
      </c>
      <c r="AWY19" s="477">
        <v>0</v>
      </c>
      <c r="AWZ19" s="477">
        <v>0</v>
      </c>
      <c r="AXA19" s="477">
        <v>0</v>
      </c>
      <c r="AXB19" s="477">
        <v>0</v>
      </c>
      <c r="AXC19" s="477">
        <v>0</v>
      </c>
      <c r="AXD19" s="477">
        <v>0</v>
      </c>
      <c r="AXE19" s="477">
        <v>0</v>
      </c>
      <c r="AXF19" s="477">
        <v>0</v>
      </c>
      <c r="AXG19" s="477">
        <v>0</v>
      </c>
      <c r="AXH19" s="477">
        <v>0</v>
      </c>
      <c r="AXI19" s="477">
        <v>0</v>
      </c>
      <c r="AXJ19" s="477">
        <v>0</v>
      </c>
      <c r="AXK19" s="477">
        <v>0</v>
      </c>
      <c r="AXL19" s="477">
        <v>0</v>
      </c>
      <c r="AXM19" s="477">
        <v>0</v>
      </c>
      <c r="AXN19" s="477">
        <v>0</v>
      </c>
      <c r="AXO19" s="477">
        <v>0</v>
      </c>
      <c r="AXP19" s="477">
        <v>0</v>
      </c>
      <c r="AXQ19" s="477">
        <v>0</v>
      </c>
      <c r="AXR19" s="477">
        <v>0</v>
      </c>
      <c r="AXS19" s="477">
        <v>0</v>
      </c>
      <c r="AXT19" s="477">
        <v>0</v>
      </c>
      <c r="AXU19" s="477">
        <v>0</v>
      </c>
      <c r="AXV19" s="477">
        <v>0</v>
      </c>
      <c r="AXW19" s="477">
        <v>0</v>
      </c>
      <c r="AXX19" s="477">
        <v>0</v>
      </c>
      <c r="AXY19" s="477">
        <v>0</v>
      </c>
      <c r="AXZ19" s="477">
        <v>0</v>
      </c>
      <c r="AYA19" s="477">
        <v>0</v>
      </c>
      <c r="AYB19" s="235">
        <v>0</v>
      </c>
      <c r="AYC19" s="477">
        <v>0</v>
      </c>
      <c r="AYD19" s="477">
        <v>0</v>
      </c>
      <c r="AYE19" s="477">
        <v>0</v>
      </c>
      <c r="AYF19" s="477">
        <v>0</v>
      </c>
      <c r="AYG19" s="477">
        <v>0</v>
      </c>
      <c r="AYH19" s="477">
        <v>0</v>
      </c>
      <c r="AYI19" s="477">
        <v>0</v>
      </c>
      <c r="AYJ19" s="477">
        <v>0</v>
      </c>
      <c r="AYK19" s="477">
        <v>0</v>
      </c>
      <c r="AYL19" s="477">
        <v>0</v>
      </c>
      <c r="AYM19" s="477">
        <v>0</v>
      </c>
      <c r="AYN19" s="477">
        <v>0</v>
      </c>
      <c r="AYO19" s="477">
        <v>0</v>
      </c>
      <c r="AYP19" s="477">
        <v>0</v>
      </c>
      <c r="AYQ19" s="477">
        <v>0</v>
      </c>
      <c r="AYR19" s="477">
        <v>0</v>
      </c>
      <c r="AYS19" s="477">
        <v>0</v>
      </c>
      <c r="AYT19" s="477">
        <v>0</v>
      </c>
      <c r="AYU19" s="477">
        <v>0</v>
      </c>
      <c r="AYV19" s="477">
        <v>0</v>
      </c>
      <c r="AYW19" s="477">
        <v>0</v>
      </c>
      <c r="AYX19" s="477">
        <v>0</v>
      </c>
      <c r="AYY19" s="477">
        <v>0</v>
      </c>
      <c r="AYZ19" s="477">
        <v>0</v>
      </c>
      <c r="AZA19" s="477">
        <v>0</v>
      </c>
      <c r="AZB19" s="477">
        <v>0</v>
      </c>
      <c r="AZC19" s="477">
        <v>0</v>
      </c>
      <c r="AZD19" s="477">
        <v>0</v>
      </c>
      <c r="AZE19" s="477">
        <v>0</v>
      </c>
      <c r="AZF19" s="477">
        <v>0</v>
      </c>
      <c r="AZG19" s="235">
        <v>0</v>
      </c>
      <c r="AZH19" s="477">
        <v>0</v>
      </c>
      <c r="AZI19" s="477">
        <v>0</v>
      </c>
      <c r="AZJ19" s="477">
        <v>0</v>
      </c>
      <c r="AZK19" s="477">
        <v>0</v>
      </c>
      <c r="AZL19" s="477">
        <v>0</v>
      </c>
      <c r="AZM19" s="477">
        <v>0</v>
      </c>
      <c r="AZN19" s="477">
        <v>0</v>
      </c>
      <c r="AZO19" s="477">
        <v>0</v>
      </c>
      <c r="AZP19" s="477">
        <v>0</v>
      </c>
      <c r="AZQ19" s="477">
        <v>0</v>
      </c>
      <c r="AZR19" s="477">
        <v>0</v>
      </c>
      <c r="AZS19" s="477">
        <v>0</v>
      </c>
      <c r="AZT19" s="477">
        <v>0</v>
      </c>
      <c r="AZU19" s="477">
        <v>0</v>
      </c>
      <c r="AZV19" s="477">
        <v>0</v>
      </c>
      <c r="AZW19" s="477">
        <v>0</v>
      </c>
      <c r="AZX19" s="477">
        <v>0</v>
      </c>
      <c r="AZY19" s="477">
        <v>0</v>
      </c>
      <c r="AZZ19" s="477">
        <v>0</v>
      </c>
      <c r="BAA19" s="477">
        <v>0</v>
      </c>
      <c r="BAB19" s="477">
        <v>0</v>
      </c>
      <c r="BAC19" s="477">
        <v>0</v>
      </c>
      <c r="BAD19" s="477">
        <v>0</v>
      </c>
      <c r="BAE19" s="477">
        <v>0</v>
      </c>
      <c r="BAF19" s="477">
        <v>0</v>
      </c>
      <c r="BAG19" s="477">
        <v>0</v>
      </c>
      <c r="BAH19" s="477">
        <v>0</v>
      </c>
      <c r="BAI19" s="477">
        <v>0</v>
      </c>
      <c r="BAJ19" s="477">
        <v>0</v>
      </c>
      <c r="BAK19" s="477">
        <v>0</v>
      </c>
      <c r="BAL19" s="477">
        <v>0</v>
      </c>
      <c r="BAM19" s="235">
        <f t="shared" si="27"/>
        <v>0</v>
      </c>
    </row>
    <row r="20" spans="2:1391" s="243" customFormat="1" ht="15" hidden="1" customHeight="1">
      <c r="B20" s="475" t="s">
        <v>369</v>
      </c>
      <c r="C20" s="481">
        <v>0</v>
      </c>
      <c r="D20" s="481">
        <v>0</v>
      </c>
      <c r="E20" s="481">
        <v>0</v>
      </c>
      <c r="F20" s="481">
        <v>0</v>
      </c>
      <c r="G20" s="481">
        <v>0</v>
      </c>
      <c r="H20" s="481">
        <v>0</v>
      </c>
      <c r="I20" s="481">
        <v>0</v>
      </c>
      <c r="J20" s="481">
        <v>0</v>
      </c>
      <c r="K20" s="481">
        <v>0</v>
      </c>
      <c r="L20" s="481">
        <v>0</v>
      </c>
      <c r="M20" s="481">
        <v>0</v>
      </c>
      <c r="N20" s="481">
        <v>0</v>
      </c>
      <c r="O20" s="481">
        <v>0</v>
      </c>
      <c r="P20" s="481">
        <v>0</v>
      </c>
      <c r="Q20" s="481">
        <v>0</v>
      </c>
      <c r="R20" s="481">
        <v>0</v>
      </c>
      <c r="S20" s="481">
        <v>0</v>
      </c>
      <c r="T20" s="481">
        <v>0</v>
      </c>
      <c r="U20" s="481">
        <v>0</v>
      </c>
      <c r="V20" s="481">
        <v>0</v>
      </c>
      <c r="W20" s="481">
        <v>0</v>
      </c>
      <c r="X20" s="481">
        <v>0</v>
      </c>
      <c r="Y20" s="481">
        <v>0</v>
      </c>
      <c r="Z20" s="481">
        <v>0</v>
      </c>
      <c r="AA20" s="481">
        <v>0</v>
      </c>
      <c r="AB20" s="481">
        <v>0</v>
      </c>
      <c r="AC20" s="481">
        <v>0</v>
      </c>
      <c r="AD20" s="481">
        <v>0</v>
      </c>
      <c r="AE20" s="481">
        <v>0</v>
      </c>
      <c r="AF20" s="481">
        <v>0</v>
      </c>
      <c r="AG20" s="481">
        <v>0</v>
      </c>
      <c r="AH20" s="410">
        <f t="shared" si="26"/>
        <v>0</v>
      </c>
      <c r="AI20" s="244"/>
      <c r="AJ20" s="244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3"/>
      <c r="AV20" s="274"/>
      <c r="AW20" s="273"/>
      <c r="AX20" s="273"/>
      <c r="AY20" s="273"/>
      <c r="AZ20" s="273"/>
      <c r="BA20" s="273"/>
      <c r="BB20" s="275"/>
      <c r="BC20" s="274"/>
      <c r="BD20" s="274"/>
      <c r="BE20" s="274"/>
      <c r="BF20" s="274"/>
      <c r="BG20" s="274"/>
      <c r="BH20" s="274"/>
      <c r="BI20" s="275"/>
      <c r="BJ20" s="275"/>
      <c r="BK20" s="276"/>
      <c r="BL20" s="244"/>
      <c r="BM20" s="244"/>
      <c r="BN20" s="209"/>
      <c r="BO20" s="209"/>
      <c r="BP20" s="209"/>
      <c r="BQ20" s="209"/>
      <c r="BR20" s="277"/>
      <c r="BS20" s="273"/>
      <c r="BT20" s="273"/>
      <c r="BU20" s="273"/>
      <c r="BV20" s="273"/>
      <c r="BW20" s="273"/>
      <c r="BX20" s="273"/>
      <c r="BY20" s="273"/>
      <c r="BZ20" s="273"/>
      <c r="CA20" s="273"/>
      <c r="CB20" s="273"/>
      <c r="CC20" s="273"/>
      <c r="CD20" s="273"/>
      <c r="CE20" s="209"/>
      <c r="CF20" s="277"/>
      <c r="CG20" s="277"/>
      <c r="CH20" s="277"/>
      <c r="CI20" s="277"/>
      <c r="CJ20" s="277"/>
      <c r="CK20" s="277"/>
      <c r="CL20" s="278"/>
      <c r="CM20" s="277"/>
      <c r="CN20" s="273"/>
      <c r="CO20" s="278"/>
      <c r="CP20" s="273"/>
      <c r="CQ20" s="276"/>
      <c r="CR20" s="244"/>
      <c r="CS20" s="244"/>
      <c r="CT20" s="209"/>
      <c r="CU20" s="209"/>
      <c r="CV20" s="209"/>
      <c r="CW20" s="209"/>
      <c r="CX20" s="277"/>
      <c r="CY20" s="273"/>
      <c r="CZ20" s="273"/>
      <c r="DA20" s="273"/>
      <c r="DB20" s="273"/>
      <c r="DC20" s="273"/>
      <c r="DD20" s="273"/>
      <c r="DE20" s="273"/>
      <c r="DF20" s="273"/>
      <c r="DG20" s="273"/>
      <c r="DH20" s="273"/>
      <c r="DI20" s="273"/>
      <c r="DJ20" s="273"/>
      <c r="DK20" s="209"/>
      <c r="DL20" s="277"/>
      <c r="DM20" s="277"/>
      <c r="DN20" s="277"/>
      <c r="DO20" s="277"/>
      <c r="DP20" s="277"/>
      <c r="DQ20" s="277"/>
      <c r="DR20" s="278"/>
      <c r="DS20" s="277"/>
      <c r="DT20" s="273"/>
      <c r="DU20" s="278"/>
      <c r="DV20" s="273"/>
      <c r="DW20" s="276"/>
      <c r="DX20" s="244"/>
      <c r="DY20" s="244"/>
      <c r="DZ20" s="209"/>
      <c r="EA20" s="209"/>
      <c r="EB20" s="209"/>
      <c r="EC20" s="209"/>
      <c r="ED20" s="281">
        <v>5022.8389999999999</v>
      </c>
      <c r="EE20" s="277"/>
      <c r="EF20" s="277"/>
      <c r="EG20" s="277"/>
      <c r="EH20" s="281">
        <v>7320.5910000000003</v>
      </c>
      <c r="EI20" s="273"/>
      <c r="EJ20" s="273"/>
      <c r="EK20" s="273"/>
      <c r="EL20" s="273"/>
      <c r="EM20" s="273"/>
      <c r="EN20" s="273"/>
      <c r="EO20" s="273"/>
      <c r="EP20" s="273"/>
      <c r="EQ20" s="209"/>
      <c r="ER20" s="277"/>
      <c r="ES20" s="273"/>
      <c r="ET20" s="274"/>
      <c r="EU20" s="273"/>
      <c r="EV20" s="273"/>
      <c r="EW20" s="273"/>
      <c r="EX20" s="274"/>
      <c r="EY20" s="274"/>
      <c r="EZ20" s="273"/>
      <c r="FA20" s="278"/>
      <c r="FB20" s="273"/>
      <c r="FC20" s="276"/>
      <c r="FD20" s="244"/>
      <c r="FE20" s="244"/>
      <c r="FF20" s="209"/>
      <c r="FG20" s="209"/>
      <c r="FH20" s="209"/>
      <c r="FI20" s="209"/>
      <c r="FJ20" s="277"/>
      <c r="FK20" s="273"/>
      <c r="FL20" s="273"/>
      <c r="FM20" s="273"/>
      <c r="FN20" s="273"/>
      <c r="FO20" s="273"/>
      <c r="FP20" s="273"/>
      <c r="FQ20" s="273"/>
      <c r="FR20" s="273"/>
      <c r="FS20" s="273"/>
      <c r="FT20" s="273"/>
      <c r="FU20" s="273"/>
      <c r="FV20" s="273"/>
      <c r="FW20" s="209"/>
      <c r="FX20" s="277"/>
      <c r="FY20" s="277"/>
      <c r="FZ20" s="277"/>
      <c r="GA20" s="277"/>
      <c r="GB20" s="277"/>
      <c r="GC20" s="277"/>
      <c r="GD20" s="278"/>
      <c r="GE20" s="277"/>
      <c r="GF20" s="273"/>
      <c r="GG20" s="278"/>
      <c r="GH20" s="273"/>
      <c r="GI20" s="276"/>
      <c r="GJ20" s="244"/>
      <c r="GK20" s="244"/>
      <c r="GL20" s="209"/>
      <c r="GM20" s="209"/>
      <c r="GN20" s="209"/>
      <c r="GO20" s="209"/>
      <c r="GP20" s="277"/>
      <c r="GQ20" s="273"/>
      <c r="GR20" s="274"/>
      <c r="GS20" s="273"/>
      <c r="GT20" s="273"/>
      <c r="GU20" s="273"/>
      <c r="GV20" s="274"/>
      <c r="GW20" s="274"/>
      <c r="GX20" s="273"/>
      <c r="GY20" s="273"/>
      <c r="GZ20" s="273"/>
      <c r="HA20" s="273"/>
      <c r="HB20" s="273"/>
      <c r="HC20" s="209"/>
      <c r="HD20" s="277"/>
      <c r="HE20" s="277"/>
      <c r="HF20" s="277"/>
      <c r="HG20" s="277"/>
      <c r="HH20" s="277"/>
      <c r="HI20" s="277"/>
      <c r="HJ20" s="278"/>
      <c r="HK20" s="277"/>
      <c r="HL20" s="273"/>
      <c r="HM20" s="278"/>
      <c r="HN20" s="273"/>
      <c r="HO20" s="276"/>
      <c r="HP20" s="244"/>
      <c r="HQ20" s="244"/>
      <c r="HR20" s="209"/>
      <c r="HS20" s="209"/>
      <c r="HT20" s="209"/>
      <c r="HU20" s="209"/>
      <c r="HV20" s="277"/>
      <c r="HW20" s="273"/>
      <c r="HX20" s="273"/>
      <c r="HY20" s="273"/>
      <c r="HZ20" s="273"/>
      <c r="IA20" s="273"/>
      <c r="IB20" s="273"/>
      <c r="IC20" s="273"/>
      <c r="ID20" s="273"/>
      <c r="IE20" s="273"/>
      <c r="IF20" s="273"/>
      <c r="IG20" s="273"/>
      <c r="IH20" s="273"/>
      <c r="II20" s="209"/>
      <c r="IJ20" s="277"/>
      <c r="IK20" s="277"/>
      <c r="IL20" s="277"/>
      <c r="IM20" s="277"/>
      <c r="IN20" s="277"/>
      <c r="IO20" s="277"/>
      <c r="IP20" s="278"/>
      <c r="IQ20" s="277"/>
      <c r="IR20" s="273"/>
      <c r="IS20" s="278"/>
      <c r="IT20" s="273"/>
      <c r="IU20" s="276"/>
      <c r="IV20" s="244"/>
      <c r="IW20" s="244"/>
      <c r="IX20" s="272"/>
      <c r="IY20" s="272"/>
      <c r="IZ20" s="272"/>
      <c r="JA20" s="272"/>
      <c r="JB20" s="274"/>
      <c r="JC20" s="273"/>
      <c r="JD20" s="273"/>
      <c r="JE20" s="273"/>
      <c r="JF20" s="273"/>
      <c r="JG20" s="273"/>
      <c r="JH20" s="273"/>
      <c r="JI20" s="273"/>
      <c r="JJ20" s="273"/>
      <c r="JK20" s="273"/>
      <c r="JL20" s="273"/>
      <c r="JM20" s="273"/>
      <c r="JN20" s="273"/>
      <c r="JO20" s="272"/>
      <c r="JP20" s="274"/>
      <c r="JQ20" s="274"/>
      <c r="JR20" s="274"/>
      <c r="JS20" s="274"/>
      <c r="JT20" s="274"/>
      <c r="JU20" s="274"/>
      <c r="JV20" s="275"/>
      <c r="JW20" s="274"/>
      <c r="JX20" s="273"/>
      <c r="JY20" s="275"/>
      <c r="JZ20" s="273"/>
      <c r="KA20" s="276"/>
      <c r="KB20" s="244"/>
      <c r="KC20" s="244"/>
      <c r="KD20" s="209"/>
      <c r="KE20" s="209"/>
      <c r="KF20" s="209"/>
      <c r="KG20" s="209"/>
      <c r="KH20" s="277"/>
      <c r="KI20" s="273"/>
      <c r="KJ20" s="273"/>
      <c r="KK20" s="273"/>
      <c r="KL20" s="273"/>
      <c r="KM20" s="273"/>
      <c r="KN20" s="273"/>
      <c r="KO20" s="273"/>
      <c r="KP20" s="273"/>
      <c r="KQ20" s="273"/>
      <c r="KR20" s="273"/>
      <c r="KS20" s="273"/>
      <c r="KT20" s="273"/>
      <c r="KU20" s="209"/>
      <c r="KV20" s="277"/>
      <c r="KW20" s="277"/>
      <c r="KX20" s="277"/>
      <c r="KY20" s="277"/>
      <c r="KZ20" s="277"/>
      <c r="LA20" s="277"/>
      <c r="LB20" s="278"/>
      <c r="LC20" s="277"/>
      <c r="LD20" s="273"/>
      <c r="LE20" s="278"/>
      <c r="LF20" s="273"/>
      <c r="LG20" s="276"/>
      <c r="LH20" s="244"/>
      <c r="LI20" s="244"/>
      <c r="LJ20" s="209"/>
      <c r="LK20" s="209"/>
      <c r="LL20" s="209"/>
      <c r="LM20" s="209"/>
      <c r="LN20" s="277"/>
      <c r="LO20" s="273"/>
      <c r="LP20" s="273"/>
      <c r="LQ20" s="273"/>
      <c r="LR20" s="273"/>
      <c r="LS20" s="273"/>
      <c r="LT20" s="273"/>
      <c r="LU20" s="273"/>
      <c r="LV20" s="273"/>
      <c r="LW20" s="273"/>
      <c r="LX20" s="273"/>
      <c r="LY20" s="273"/>
      <c r="LZ20" s="273"/>
      <c r="MA20" s="209"/>
      <c r="MB20" s="277"/>
      <c r="MC20" s="277"/>
      <c r="MD20" s="277"/>
      <c r="ME20" s="277"/>
      <c r="MF20" s="277"/>
      <c r="MG20" s="277"/>
      <c r="MH20" s="278"/>
      <c r="MI20" s="277"/>
      <c r="MJ20" s="273"/>
      <c r="MK20" s="278"/>
      <c r="ML20" s="273"/>
      <c r="MM20" s="276"/>
      <c r="MN20" s="244"/>
      <c r="MO20" s="244"/>
      <c r="MP20" s="209"/>
      <c r="MQ20" s="209"/>
      <c r="MR20" s="209"/>
      <c r="MS20" s="209"/>
      <c r="MT20" s="277"/>
      <c r="MU20" s="273"/>
      <c r="MV20" s="273"/>
      <c r="MW20" s="273"/>
      <c r="MX20" s="273"/>
      <c r="MY20" s="273"/>
      <c r="MZ20" s="273"/>
      <c r="NA20" s="273"/>
      <c r="NB20" s="273"/>
      <c r="NC20" s="273"/>
      <c r="ND20" s="273"/>
      <c r="NE20" s="273"/>
      <c r="NF20" s="273"/>
      <c r="NG20" s="209"/>
      <c r="NH20" s="277"/>
      <c r="NI20" s="277"/>
      <c r="NJ20" s="277"/>
      <c r="NK20" s="277"/>
      <c r="NL20" s="277"/>
      <c r="NM20" s="277"/>
      <c r="NN20" s="278"/>
      <c r="NO20" s="277"/>
      <c r="NP20" s="273"/>
      <c r="NQ20" s="278"/>
      <c r="NR20" s="273"/>
      <c r="NS20" s="276"/>
      <c r="NT20" s="384">
        <v>0</v>
      </c>
      <c r="NU20" s="384">
        <v>0</v>
      </c>
      <c r="NV20" s="384">
        <v>0</v>
      </c>
      <c r="NW20" s="384">
        <v>0</v>
      </c>
      <c r="NX20" s="384">
        <v>0</v>
      </c>
      <c r="NY20" s="384">
        <v>0</v>
      </c>
      <c r="NZ20" s="384">
        <v>0</v>
      </c>
      <c r="OA20" s="384">
        <v>0</v>
      </c>
      <c r="OB20" s="384">
        <v>0</v>
      </c>
      <c r="OC20" s="384">
        <v>0</v>
      </c>
      <c r="OD20" s="384">
        <v>0</v>
      </c>
      <c r="OE20" s="384">
        <v>0</v>
      </c>
      <c r="OF20" s="384">
        <v>0</v>
      </c>
      <c r="OG20" s="384">
        <v>0</v>
      </c>
      <c r="OH20" s="384">
        <v>0</v>
      </c>
      <c r="OI20" s="384">
        <v>0</v>
      </c>
      <c r="OJ20" s="384">
        <v>0</v>
      </c>
      <c r="OK20" s="384">
        <v>0</v>
      </c>
      <c r="OL20" s="384">
        <v>0</v>
      </c>
      <c r="OM20" s="384">
        <v>0</v>
      </c>
      <c r="ON20" s="384">
        <v>0</v>
      </c>
      <c r="OO20" s="384">
        <v>0</v>
      </c>
      <c r="OP20" s="384">
        <v>0</v>
      </c>
      <c r="OQ20" s="384">
        <v>0</v>
      </c>
      <c r="OR20" s="384">
        <v>0</v>
      </c>
      <c r="OS20" s="384">
        <v>0</v>
      </c>
      <c r="OT20" s="384">
        <v>0</v>
      </c>
      <c r="OU20" s="384">
        <v>0</v>
      </c>
      <c r="OV20" s="384">
        <v>0</v>
      </c>
      <c r="OW20" s="384">
        <v>0</v>
      </c>
      <c r="OX20" s="384">
        <v>0</v>
      </c>
      <c r="OY20" s="276">
        <f t="shared" si="9"/>
        <v>0</v>
      </c>
      <c r="OZ20" s="384">
        <v>0</v>
      </c>
      <c r="PA20" s="384">
        <v>0</v>
      </c>
      <c r="PB20" s="384">
        <v>0</v>
      </c>
      <c r="PC20" s="384">
        <v>0</v>
      </c>
      <c r="PD20" s="384">
        <v>0</v>
      </c>
      <c r="PE20" s="384">
        <v>0</v>
      </c>
      <c r="PF20" s="384">
        <v>0</v>
      </c>
      <c r="PG20" s="384">
        <v>0</v>
      </c>
      <c r="PH20" s="384">
        <v>0</v>
      </c>
      <c r="PI20" s="384">
        <v>0</v>
      </c>
      <c r="PJ20" s="384">
        <v>0</v>
      </c>
      <c r="PK20" s="384">
        <v>0</v>
      </c>
      <c r="PL20" s="384">
        <v>0</v>
      </c>
      <c r="PM20" s="384">
        <v>0</v>
      </c>
      <c r="PN20" s="384">
        <v>0</v>
      </c>
      <c r="PO20" s="384">
        <v>0</v>
      </c>
      <c r="PP20" s="384">
        <v>0</v>
      </c>
      <c r="PQ20" s="384">
        <v>0</v>
      </c>
      <c r="PR20" s="384">
        <v>0</v>
      </c>
      <c r="PS20" s="384">
        <v>0</v>
      </c>
      <c r="PT20" s="384">
        <v>0</v>
      </c>
      <c r="PU20" s="401">
        <v>7017.732</v>
      </c>
      <c r="PV20" s="384">
        <v>0</v>
      </c>
      <c r="PW20" s="384">
        <v>0</v>
      </c>
      <c r="PX20" s="384">
        <v>0</v>
      </c>
      <c r="PY20" s="384">
        <v>0</v>
      </c>
      <c r="PZ20" s="384">
        <v>0</v>
      </c>
      <c r="QA20" s="384">
        <v>0</v>
      </c>
      <c r="QB20" s="384">
        <v>0</v>
      </c>
      <c r="QC20" s="384">
        <v>0</v>
      </c>
      <c r="QD20" s="276">
        <f t="shared" si="10"/>
        <v>7017.732</v>
      </c>
      <c r="QE20" s="401">
        <v>7017.732</v>
      </c>
      <c r="QF20" s="384">
        <v>0</v>
      </c>
      <c r="QG20" s="384">
        <v>0</v>
      </c>
      <c r="QH20" s="384">
        <v>0</v>
      </c>
      <c r="QI20" s="384">
        <v>0</v>
      </c>
      <c r="QJ20" s="384">
        <v>0</v>
      </c>
      <c r="QK20" s="384">
        <v>0</v>
      </c>
      <c r="QL20" s="384">
        <v>0</v>
      </c>
      <c r="QM20" s="384">
        <v>0</v>
      </c>
      <c r="QN20" s="384">
        <v>0</v>
      </c>
      <c r="QO20" s="384">
        <v>0</v>
      </c>
      <c r="QP20" s="384">
        <v>0</v>
      </c>
      <c r="QQ20" s="384">
        <v>0</v>
      </c>
      <c r="QR20" s="384">
        <v>0</v>
      </c>
      <c r="QS20" s="384">
        <v>0</v>
      </c>
      <c r="QT20" s="384">
        <v>0</v>
      </c>
      <c r="QU20" s="384">
        <v>0</v>
      </c>
      <c r="QV20" s="384">
        <v>0</v>
      </c>
      <c r="QW20" s="384">
        <v>0</v>
      </c>
      <c r="QX20" s="384">
        <v>0</v>
      </c>
      <c r="QY20" s="384">
        <v>0</v>
      </c>
      <c r="QZ20" s="384">
        <v>0</v>
      </c>
      <c r="RA20" s="384">
        <v>0</v>
      </c>
      <c r="RB20" s="384">
        <v>0</v>
      </c>
      <c r="RC20" s="384">
        <v>0</v>
      </c>
      <c r="RD20" s="384">
        <v>0</v>
      </c>
      <c r="RE20" s="384">
        <v>0</v>
      </c>
      <c r="RF20" s="384">
        <v>0</v>
      </c>
      <c r="RG20" s="384">
        <v>0</v>
      </c>
      <c r="RH20" s="384">
        <v>0</v>
      </c>
      <c r="RI20" s="384">
        <v>0</v>
      </c>
      <c r="RJ20" s="276">
        <v>7017.732</v>
      </c>
      <c r="RK20" s="384">
        <v>0</v>
      </c>
      <c r="RL20" s="384">
        <v>0</v>
      </c>
      <c r="RM20" s="384">
        <v>0</v>
      </c>
      <c r="RN20" s="384">
        <v>0</v>
      </c>
      <c r="RO20" s="384">
        <v>0</v>
      </c>
      <c r="RP20" s="384">
        <v>0</v>
      </c>
      <c r="RQ20" s="384">
        <v>0</v>
      </c>
      <c r="RR20" s="384">
        <v>0</v>
      </c>
      <c r="RS20" s="384">
        <v>0</v>
      </c>
      <c r="RT20" s="384">
        <v>0</v>
      </c>
      <c r="RU20" s="384">
        <v>0</v>
      </c>
      <c r="RV20" s="384">
        <v>0</v>
      </c>
      <c r="RW20" s="384">
        <v>0</v>
      </c>
      <c r="RX20" s="384">
        <v>0</v>
      </c>
      <c r="RY20" s="384">
        <v>0</v>
      </c>
      <c r="RZ20" s="384">
        <v>0</v>
      </c>
      <c r="SA20" s="384">
        <v>0</v>
      </c>
      <c r="SB20" s="384">
        <v>0</v>
      </c>
      <c r="SC20" s="384">
        <v>0</v>
      </c>
      <c r="SD20" s="384">
        <v>0</v>
      </c>
      <c r="SE20" s="384">
        <v>0</v>
      </c>
      <c r="SF20" s="384">
        <v>0</v>
      </c>
      <c r="SG20" s="384">
        <v>0</v>
      </c>
      <c r="SH20" s="384">
        <v>0</v>
      </c>
      <c r="SI20" s="384">
        <v>0</v>
      </c>
      <c r="SJ20" s="384">
        <v>0</v>
      </c>
      <c r="SK20" s="384">
        <v>0</v>
      </c>
      <c r="SL20" s="384">
        <v>0</v>
      </c>
      <c r="SM20" s="384">
        <v>0</v>
      </c>
      <c r="SN20" s="384">
        <v>0</v>
      </c>
      <c r="SO20" s="235">
        <v>0</v>
      </c>
      <c r="SP20" s="384">
        <v>0</v>
      </c>
      <c r="SQ20" s="384">
        <v>0</v>
      </c>
      <c r="SR20" s="384">
        <v>0</v>
      </c>
      <c r="SS20" s="384">
        <v>0</v>
      </c>
      <c r="ST20" s="384">
        <v>0</v>
      </c>
      <c r="SU20" s="384">
        <v>0</v>
      </c>
      <c r="SV20" s="384">
        <v>0</v>
      </c>
      <c r="SW20" s="384">
        <v>0</v>
      </c>
      <c r="SX20" s="384">
        <v>0</v>
      </c>
      <c r="SY20" s="384">
        <v>0</v>
      </c>
      <c r="SZ20" s="384">
        <v>0</v>
      </c>
      <c r="TA20" s="384">
        <v>0</v>
      </c>
      <c r="TB20" s="384">
        <v>0</v>
      </c>
      <c r="TC20" s="384">
        <v>0</v>
      </c>
      <c r="TD20" s="384">
        <v>0</v>
      </c>
      <c r="TE20" s="384">
        <v>0</v>
      </c>
      <c r="TF20" s="384">
        <v>0</v>
      </c>
      <c r="TG20" s="384">
        <v>0</v>
      </c>
      <c r="TH20" s="384">
        <v>0</v>
      </c>
      <c r="TI20" s="384">
        <v>0</v>
      </c>
      <c r="TJ20" s="384">
        <v>0</v>
      </c>
      <c r="TK20" s="384">
        <v>0</v>
      </c>
      <c r="TL20" s="384">
        <v>0</v>
      </c>
      <c r="TM20" s="384">
        <v>0</v>
      </c>
      <c r="TN20" s="384">
        <v>0</v>
      </c>
      <c r="TO20" s="384">
        <v>0</v>
      </c>
      <c r="TP20" s="384">
        <v>0</v>
      </c>
      <c r="TQ20" s="384">
        <v>0</v>
      </c>
      <c r="TR20" s="384">
        <v>0</v>
      </c>
      <c r="TS20" s="384">
        <v>0</v>
      </c>
      <c r="TT20" s="384">
        <v>0</v>
      </c>
      <c r="TU20" s="235">
        <v>0</v>
      </c>
      <c r="TV20" s="384">
        <v>0</v>
      </c>
      <c r="TW20" s="384">
        <v>0</v>
      </c>
      <c r="TX20" s="384">
        <v>0</v>
      </c>
      <c r="TY20" s="384">
        <v>0</v>
      </c>
      <c r="TZ20" s="384">
        <v>0</v>
      </c>
      <c r="UA20" s="384">
        <v>0</v>
      </c>
      <c r="UB20" s="384">
        <v>0</v>
      </c>
      <c r="UC20" s="384">
        <v>0</v>
      </c>
      <c r="UD20" s="384">
        <v>0</v>
      </c>
      <c r="UE20" s="384">
        <v>0</v>
      </c>
      <c r="UF20" s="384">
        <v>0</v>
      </c>
      <c r="UG20" s="384">
        <v>0</v>
      </c>
      <c r="UH20" s="384">
        <v>0</v>
      </c>
      <c r="UI20" s="384">
        <v>0</v>
      </c>
      <c r="UJ20" s="384">
        <v>0</v>
      </c>
      <c r="UK20" s="384">
        <v>0</v>
      </c>
      <c r="UL20" s="384">
        <v>0</v>
      </c>
      <c r="UM20" s="384">
        <v>0</v>
      </c>
      <c r="UN20" s="384">
        <v>0</v>
      </c>
      <c r="UO20" s="384">
        <v>0</v>
      </c>
      <c r="UP20" s="384">
        <v>0</v>
      </c>
      <c r="UQ20" s="384">
        <v>0</v>
      </c>
      <c r="UR20" s="384">
        <v>0</v>
      </c>
      <c r="US20" s="384">
        <v>0</v>
      </c>
      <c r="UT20" s="384">
        <v>0</v>
      </c>
      <c r="UU20" s="384">
        <v>0</v>
      </c>
      <c r="UV20" s="384">
        <v>0</v>
      </c>
      <c r="UW20" s="384">
        <v>0</v>
      </c>
      <c r="UX20" s="384">
        <v>0</v>
      </c>
      <c r="UY20" s="384">
        <v>0</v>
      </c>
      <c r="UZ20" s="384">
        <v>0</v>
      </c>
      <c r="VA20" s="235">
        <v>0</v>
      </c>
      <c r="VB20" s="384">
        <v>0</v>
      </c>
      <c r="VC20" s="384">
        <v>0</v>
      </c>
      <c r="VD20" s="384">
        <v>0</v>
      </c>
      <c r="VE20" s="384">
        <v>0</v>
      </c>
      <c r="VF20" s="384">
        <v>0</v>
      </c>
      <c r="VG20" s="384">
        <v>0</v>
      </c>
      <c r="VH20" s="384">
        <v>0</v>
      </c>
      <c r="VI20" s="384">
        <v>0</v>
      </c>
      <c r="VJ20" s="384">
        <v>0</v>
      </c>
      <c r="VK20" s="384">
        <v>0</v>
      </c>
      <c r="VL20" s="384">
        <v>0</v>
      </c>
      <c r="VM20" s="384">
        <v>0</v>
      </c>
      <c r="VN20" s="384">
        <v>0</v>
      </c>
      <c r="VO20" s="384">
        <v>0</v>
      </c>
      <c r="VP20" s="384">
        <v>0</v>
      </c>
      <c r="VQ20" s="384">
        <v>0</v>
      </c>
      <c r="VR20" s="384">
        <v>0</v>
      </c>
      <c r="VS20" s="384">
        <v>0</v>
      </c>
      <c r="VT20" s="384">
        <v>0</v>
      </c>
      <c r="VU20" s="384">
        <v>0</v>
      </c>
      <c r="VV20" s="384">
        <v>0</v>
      </c>
      <c r="VW20" s="384">
        <v>0</v>
      </c>
      <c r="VX20" s="384">
        <v>0</v>
      </c>
      <c r="VY20" s="384">
        <v>0</v>
      </c>
      <c r="VZ20" s="384">
        <v>0</v>
      </c>
      <c r="WA20" s="384">
        <v>0</v>
      </c>
      <c r="WB20" s="384">
        <v>0</v>
      </c>
      <c r="WC20" s="384">
        <v>0</v>
      </c>
      <c r="WD20" s="384">
        <v>0</v>
      </c>
      <c r="WE20" s="384">
        <v>0</v>
      </c>
      <c r="WF20" s="235">
        <v>0</v>
      </c>
      <c r="WG20" s="384">
        <v>0</v>
      </c>
      <c r="WH20" s="384">
        <v>0</v>
      </c>
      <c r="WI20" s="384">
        <v>0</v>
      </c>
      <c r="WJ20" s="384">
        <v>0</v>
      </c>
      <c r="WK20" s="384">
        <v>0</v>
      </c>
      <c r="WL20" s="384">
        <v>0</v>
      </c>
      <c r="WM20" s="384">
        <v>0</v>
      </c>
      <c r="WN20" s="384">
        <v>0</v>
      </c>
      <c r="WO20" s="384">
        <v>0</v>
      </c>
      <c r="WP20" s="384">
        <v>0</v>
      </c>
      <c r="WQ20" s="384">
        <v>0</v>
      </c>
      <c r="WR20" s="384">
        <v>0</v>
      </c>
      <c r="WS20" s="384">
        <v>0</v>
      </c>
      <c r="WT20" s="384">
        <v>0</v>
      </c>
      <c r="WU20" s="384">
        <v>0</v>
      </c>
      <c r="WV20" s="384">
        <v>0</v>
      </c>
      <c r="WW20" s="384">
        <v>0</v>
      </c>
      <c r="WX20" s="384">
        <v>0</v>
      </c>
      <c r="WY20" s="384">
        <v>0</v>
      </c>
      <c r="WZ20" s="384">
        <v>0</v>
      </c>
      <c r="XA20" s="384">
        <v>0</v>
      </c>
      <c r="XB20" s="384">
        <v>0</v>
      </c>
      <c r="XC20" s="384">
        <v>0</v>
      </c>
      <c r="XD20" s="384">
        <v>0</v>
      </c>
      <c r="XE20" s="384">
        <v>0</v>
      </c>
      <c r="XF20" s="384">
        <v>0</v>
      </c>
      <c r="XG20" s="384">
        <v>0</v>
      </c>
      <c r="XH20" s="384">
        <v>0</v>
      </c>
      <c r="XI20" s="384">
        <v>0</v>
      </c>
      <c r="XJ20" s="384">
        <v>0</v>
      </c>
      <c r="XK20" s="384">
        <v>0</v>
      </c>
      <c r="XL20" s="235">
        <v>0</v>
      </c>
      <c r="XM20" s="384">
        <v>0</v>
      </c>
      <c r="XN20" s="384">
        <v>0</v>
      </c>
      <c r="XO20" s="384">
        <v>0</v>
      </c>
      <c r="XP20" s="384">
        <v>0</v>
      </c>
      <c r="XQ20" s="384">
        <v>0</v>
      </c>
      <c r="XR20" s="384">
        <v>0</v>
      </c>
      <c r="XS20" s="384">
        <v>0</v>
      </c>
      <c r="XT20" s="384">
        <v>0</v>
      </c>
      <c r="XU20" s="384">
        <v>0</v>
      </c>
      <c r="XV20" s="384">
        <v>0</v>
      </c>
      <c r="XW20" s="384">
        <v>0</v>
      </c>
      <c r="XX20" s="384">
        <v>0</v>
      </c>
      <c r="XY20" s="384">
        <v>0</v>
      </c>
      <c r="XZ20" s="384">
        <v>0</v>
      </c>
      <c r="YA20" s="384">
        <v>0</v>
      </c>
      <c r="YB20" s="384">
        <v>0</v>
      </c>
      <c r="YC20" s="384">
        <v>0</v>
      </c>
      <c r="YD20" s="384">
        <v>0</v>
      </c>
      <c r="YE20" s="384">
        <v>0</v>
      </c>
      <c r="YF20" s="384">
        <v>0</v>
      </c>
      <c r="YG20" s="384">
        <v>0</v>
      </c>
      <c r="YH20" s="384">
        <v>0</v>
      </c>
      <c r="YI20" s="384">
        <v>0</v>
      </c>
      <c r="YJ20" s="384">
        <v>0</v>
      </c>
      <c r="YK20" s="384">
        <v>0</v>
      </c>
      <c r="YL20" s="384">
        <v>0</v>
      </c>
      <c r="YM20" s="384">
        <v>0</v>
      </c>
      <c r="YN20" s="384">
        <v>0</v>
      </c>
      <c r="YO20" s="384">
        <v>0</v>
      </c>
      <c r="YP20" s="384">
        <v>0</v>
      </c>
      <c r="YQ20" s="384">
        <v>0</v>
      </c>
      <c r="YR20" s="235">
        <v>0</v>
      </c>
      <c r="YS20" s="384">
        <v>0</v>
      </c>
      <c r="YT20" s="384">
        <v>0</v>
      </c>
      <c r="YU20" s="384">
        <v>0</v>
      </c>
      <c r="YV20" s="384">
        <v>0</v>
      </c>
      <c r="YW20" s="384">
        <v>0</v>
      </c>
      <c r="YX20" s="384">
        <v>0</v>
      </c>
      <c r="YY20" s="384">
        <v>0</v>
      </c>
      <c r="YZ20" s="384">
        <v>0</v>
      </c>
      <c r="ZA20" s="384">
        <v>0</v>
      </c>
      <c r="ZB20" s="384">
        <v>0</v>
      </c>
      <c r="ZC20" s="384">
        <v>0</v>
      </c>
      <c r="ZD20" s="384">
        <v>0</v>
      </c>
      <c r="ZE20" s="384">
        <v>0</v>
      </c>
      <c r="ZF20" s="384">
        <v>0</v>
      </c>
      <c r="ZG20" s="384">
        <v>0</v>
      </c>
      <c r="ZH20" s="384">
        <f>Actual!U207</f>
        <v>0</v>
      </c>
      <c r="ZI20" s="401">
        <f>Actual!V207</f>
        <v>0</v>
      </c>
      <c r="ZJ20" s="384">
        <f>Actual!W207</f>
        <v>0</v>
      </c>
      <c r="ZK20" s="384">
        <f>Actual!X207</f>
        <v>0</v>
      </c>
      <c r="ZL20" s="384">
        <f>Actual!Y207</f>
        <v>0</v>
      </c>
      <c r="ZM20" s="384">
        <f>Actual!Z207</f>
        <v>0</v>
      </c>
      <c r="ZN20" s="384">
        <f>Actual!AA207</f>
        <v>0</v>
      </c>
      <c r="ZO20" s="384">
        <f>Actual!AB207</f>
        <v>0</v>
      </c>
      <c r="ZP20" s="384">
        <f>Actual!AC207</f>
        <v>0</v>
      </c>
      <c r="ZQ20" s="384">
        <f>Actual!AD207</f>
        <v>0</v>
      </c>
      <c r="ZR20" s="384">
        <f>Actual!AE207</f>
        <v>0</v>
      </c>
      <c r="ZS20" s="384">
        <f>Actual!AF207</f>
        <v>0</v>
      </c>
      <c r="ZT20" s="384">
        <f>Actual!AG207</f>
        <v>0</v>
      </c>
      <c r="ZU20" s="384">
        <f>Actual!AH207</f>
        <v>0</v>
      </c>
      <c r="ZV20" s="384">
        <f>Actual!AI207</f>
        <v>0</v>
      </c>
      <c r="ZW20" s="384">
        <f>Actual!AJ207</f>
        <v>0</v>
      </c>
      <c r="ZX20" s="235">
        <v>0</v>
      </c>
      <c r="ZY20" s="489">
        <v>14645.743</v>
      </c>
      <c r="ZZ20" s="409">
        <v>0</v>
      </c>
      <c r="AAA20" s="409">
        <v>0</v>
      </c>
      <c r="AAB20" s="409">
        <v>0</v>
      </c>
      <c r="AAC20" s="409">
        <v>0</v>
      </c>
      <c r="AAD20" s="409">
        <v>0</v>
      </c>
      <c r="AAE20" s="409">
        <v>0</v>
      </c>
      <c r="AAF20" s="409">
        <v>0</v>
      </c>
      <c r="AAG20" s="409">
        <v>0</v>
      </c>
      <c r="AAH20" s="409">
        <v>0</v>
      </c>
      <c r="AAI20" s="409">
        <v>0</v>
      </c>
      <c r="AAJ20" s="409">
        <v>0</v>
      </c>
      <c r="AAK20" s="409">
        <v>0</v>
      </c>
      <c r="AAL20" s="409">
        <v>0</v>
      </c>
      <c r="AAM20" s="409">
        <v>0</v>
      </c>
      <c r="AAN20" s="409">
        <v>0</v>
      </c>
      <c r="AAO20" s="409">
        <v>0</v>
      </c>
      <c r="AAP20" s="409">
        <v>0</v>
      </c>
      <c r="AAQ20" s="409">
        <v>0</v>
      </c>
      <c r="AAR20" s="409">
        <v>0</v>
      </c>
      <c r="AAS20" s="409">
        <v>0</v>
      </c>
      <c r="AAT20" s="409">
        <v>0</v>
      </c>
      <c r="AAU20" s="409">
        <v>0</v>
      </c>
      <c r="AAV20" s="409">
        <v>0</v>
      </c>
      <c r="AAW20" s="409">
        <v>0</v>
      </c>
      <c r="AAX20" s="409">
        <v>0</v>
      </c>
      <c r="AAY20" s="409">
        <v>0</v>
      </c>
      <c r="AAZ20" s="409">
        <v>0</v>
      </c>
      <c r="ABA20" s="410">
        <f t="shared" si="11"/>
        <v>14645.743</v>
      </c>
      <c r="ABB20" s="409">
        <v>0</v>
      </c>
      <c r="ABC20" s="409">
        <v>0</v>
      </c>
      <c r="ABD20" s="409">
        <v>0</v>
      </c>
      <c r="ABE20" s="409">
        <v>0</v>
      </c>
      <c r="ABF20" s="409">
        <v>0</v>
      </c>
      <c r="ABG20" s="409">
        <v>0</v>
      </c>
      <c r="ABH20" s="409">
        <v>0</v>
      </c>
      <c r="ABI20" s="409">
        <v>0</v>
      </c>
      <c r="ABJ20" s="409">
        <v>0</v>
      </c>
      <c r="ABK20" s="409">
        <v>0</v>
      </c>
      <c r="ABL20" s="409">
        <v>0</v>
      </c>
      <c r="ABM20" s="409">
        <v>0</v>
      </c>
      <c r="ABN20" s="409">
        <v>0</v>
      </c>
      <c r="ABO20" s="409">
        <v>0</v>
      </c>
      <c r="ABP20" s="409">
        <v>0</v>
      </c>
      <c r="ABQ20" s="409">
        <v>0</v>
      </c>
      <c r="ABR20" s="409">
        <v>0</v>
      </c>
      <c r="ABS20" s="409">
        <v>0</v>
      </c>
      <c r="ABT20" s="409">
        <v>0</v>
      </c>
      <c r="ABU20" s="409">
        <v>0</v>
      </c>
      <c r="ABV20" s="409">
        <v>0</v>
      </c>
      <c r="ABW20" s="409">
        <v>0</v>
      </c>
      <c r="ABX20" s="409">
        <v>0</v>
      </c>
      <c r="ABY20" s="481">
        <v>0</v>
      </c>
      <c r="ABZ20" s="481">
        <v>0</v>
      </c>
      <c r="ACA20" s="481">
        <v>0</v>
      </c>
      <c r="ACB20" s="481">
        <v>0</v>
      </c>
      <c r="ACC20" s="481">
        <v>0</v>
      </c>
      <c r="ACD20" s="481">
        <v>0</v>
      </c>
      <c r="ACE20" s="481">
        <v>0</v>
      </c>
      <c r="ACF20" s="481">
        <v>0</v>
      </c>
      <c r="ACG20" s="410">
        <v>0</v>
      </c>
      <c r="ACH20" s="409">
        <v>0</v>
      </c>
      <c r="ACI20" s="409">
        <v>0</v>
      </c>
      <c r="ACJ20" s="409">
        <v>0</v>
      </c>
      <c r="ACK20" s="409">
        <v>0</v>
      </c>
      <c r="ACL20" s="409">
        <v>0</v>
      </c>
      <c r="ACM20" s="409">
        <v>0</v>
      </c>
      <c r="ACN20" s="409">
        <v>0</v>
      </c>
      <c r="ACO20" s="409">
        <v>0</v>
      </c>
      <c r="ACP20" s="409">
        <v>0</v>
      </c>
      <c r="ACQ20" s="409">
        <v>0</v>
      </c>
      <c r="ACR20" s="409">
        <v>0</v>
      </c>
      <c r="ACS20" s="409">
        <v>0</v>
      </c>
      <c r="ACT20" s="409">
        <v>0</v>
      </c>
      <c r="ACU20" s="409">
        <v>0</v>
      </c>
      <c r="ACV20" s="409">
        <v>0</v>
      </c>
      <c r="ACW20" s="409">
        <v>0</v>
      </c>
      <c r="ACX20" s="409">
        <v>0</v>
      </c>
      <c r="ACY20" s="409">
        <v>0</v>
      </c>
      <c r="ACZ20" s="409">
        <v>0</v>
      </c>
      <c r="ADA20" s="409">
        <v>0</v>
      </c>
      <c r="ADB20" s="409">
        <v>0</v>
      </c>
      <c r="ADC20" s="409">
        <v>0</v>
      </c>
      <c r="ADD20" s="409">
        <v>0</v>
      </c>
      <c r="ADE20" s="409">
        <v>0</v>
      </c>
      <c r="ADF20" s="409">
        <v>0</v>
      </c>
      <c r="ADG20" s="409">
        <v>0</v>
      </c>
      <c r="ADH20" s="409">
        <v>0</v>
      </c>
      <c r="ADI20" s="409">
        <v>0</v>
      </c>
      <c r="ADJ20" s="409">
        <v>0</v>
      </c>
      <c r="ADK20" s="409">
        <v>0</v>
      </c>
      <c r="ADL20" s="409">
        <v>0</v>
      </c>
      <c r="ADM20" s="410">
        <v>0</v>
      </c>
      <c r="ADN20" s="409">
        <v>0</v>
      </c>
      <c r="ADO20" s="409">
        <v>0</v>
      </c>
      <c r="ADP20" s="409">
        <v>0</v>
      </c>
      <c r="ADQ20" s="409">
        <v>0</v>
      </c>
      <c r="ADR20" s="409">
        <v>0</v>
      </c>
      <c r="ADS20" s="409">
        <v>0</v>
      </c>
      <c r="ADT20" s="409">
        <v>0</v>
      </c>
      <c r="ADU20" s="409">
        <v>0</v>
      </c>
      <c r="ADV20" s="409">
        <v>0</v>
      </c>
      <c r="ADW20" s="409">
        <v>0</v>
      </c>
      <c r="ADX20" s="409">
        <v>0</v>
      </c>
      <c r="ADY20" s="409">
        <v>0</v>
      </c>
      <c r="ADZ20" s="409">
        <v>0</v>
      </c>
      <c r="AEA20" s="409">
        <v>0</v>
      </c>
      <c r="AEB20" s="409">
        <v>0</v>
      </c>
      <c r="AEC20" s="409">
        <v>0</v>
      </c>
      <c r="AED20" s="409">
        <v>0</v>
      </c>
      <c r="AEE20" s="409">
        <v>0</v>
      </c>
      <c r="AEF20" s="409">
        <v>0</v>
      </c>
      <c r="AEG20" s="409">
        <v>0</v>
      </c>
      <c r="AEH20" s="409">
        <v>0</v>
      </c>
      <c r="AEI20" s="409">
        <v>0</v>
      </c>
      <c r="AEJ20" s="409">
        <v>0</v>
      </c>
      <c r="AEK20" s="409">
        <v>0</v>
      </c>
      <c r="AEL20" s="409">
        <v>0</v>
      </c>
      <c r="AEM20" s="409">
        <v>0</v>
      </c>
      <c r="AEN20" s="409">
        <v>0</v>
      </c>
      <c r="AEO20" s="409">
        <v>0</v>
      </c>
      <c r="AEP20" s="409">
        <v>0</v>
      </c>
      <c r="AEQ20" s="409">
        <v>0</v>
      </c>
      <c r="AER20" s="409">
        <v>0</v>
      </c>
      <c r="AES20" s="410">
        <v>0</v>
      </c>
      <c r="AET20" s="489">
        <v>7134.6059999999998</v>
      </c>
      <c r="AEU20" s="409">
        <v>0</v>
      </c>
      <c r="AEV20" s="409">
        <v>0</v>
      </c>
      <c r="AEW20" s="409">
        <v>0</v>
      </c>
      <c r="AEX20" s="409">
        <v>0</v>
      </c>
      <c r="AEY20" s="409">
        <v>0</v>
      </c>
      <c r="AEZ20" s="409">
        <v>0</v>
      </c>
      <c r="AFA20" s="409">
        <v>0</v>
      </c>
      <c r="AFB20" s="409">
        <v>0</v>
      </c>
      <c r="AFC20" s="409">
        <v>0</v>
      </c>
      <c r="AFD20" s="409">
        <v>0</v>
      </c>
      <c r="AFE20" s="409">
        <v>0</v>
      </c>
      <c r="AFF20" s="409">
        <v>0</v>
      </c>
      <c r="AFG20" s="409">
        <v>0</v>
      </c>
      <c r="AFH20" s="409">
        <v>0</v>
      </c>
      <c r="AFI20" s="409">
        <v>0</v>
      </c>
      <c r="AFJ20" s="409">
        <v>0</v>
      </c>
      <c r="AFK20" s="409">
        <v>0</v>
      </c>
      <c r="AFL20" s="409">
        <v>0</v>
      </c>
      <c r="AFM20" s="409">
        <v>0</v>
      </c>
      <c r="AFN20" s="409">
        <v>0</v>
      </c>
      <c r="AFO20" s="409">
        <v>0</v>
      </c>
      <c r="AFP20" s="409">
        <v>0</v>
      </c>
      <c r="AFQ20" s="409">
        <v>0</v>
      </c>
      <c r="AFR20" s="409">
        <v>0</v>
      </c>
      <c r="AFS20" s="409">
        <v>0</v>
      </c>
      <c r="AFT20" s="409">
        <v>0</v>
      </c>
      <c r="AFU20" s="409">
        <v>0</v>
      </c>
      <c r="AFV20" s="409">
        <v>0</v>
      </c>
      <c r="AFW20" s="409">
        <v>0</v>
      </c>
      <c r="AFX20" s="410">
        <v>7134.6059999999998</v>
      </c>
      <c r="AFY20" s="409">
        <v>0</v>
      </c>
      <c r="AFZ20" s="409">
        <v>0</v>
      </c>
      <c r="AGA20" s="409">
        <v>0</v>
      </c>
      <c r="AGB20" s="409">
        <v>0</v>
      </c>
      <c r="AGC20" s="409">
        <v>0</v>
      </c>
      <c r="AGD20" s="489">
        <v>7128.1549999999997</v>
      </c>
      <c r="AGE20" s="409">
        <v>0</v>
      </c>
      <c r="AGF20" s="409">
        <v>0</v>
      </c>
      <c r="AGG20" s="409">
        <v>0</v>
      </c>
      <c r="AGH20" s="409">
        <v>0</v>
      </c>
      <c r="AGI20" s="409">
        <v>0</v>
      </c>
      <c r="AGJ20" s="409">
        <v>0</v>
      </c>
      <c r="AGK20" s="409">
        <v>0</v>
      </c>
      <c r="AGL20" s="409">
        <v>0</v>
      </c>
      <c r="AGM20" s="409">
        <v>0</v>
      </c>
      <c r="AGN20" s="409">
        <v>0</v>
      </c>
      <c r="AGO20" s="409">
        <v>0</v>
      </c>
      <c r="AGP20" s="409">
        <v>0</v>
      </c>
      <c r="AGQ20" s="409">
        <v>0</v>
      </c>
      <c r="AGR20" s="489">
        <v>7305.1809999999996</v>
      </c>
      <c r="AGS20" s="409">
        <v>0</v>
      </c>
      <c r="AGT20" s="409">
        <v>0</v>
      </c>
      <c r="AGU20" s="409">
        <v>0</v>
      </c>
      <c r="AGV20" s="409">
        <v>0</v>
      </c>
      <c r="AGW20" s="409">
        <v>0</v>
      </c>
      <c r="AGX20" s="409">
        <v>0</v>
      </c>
      <c r="AGY20" s="409">
        <v>0</v>
      </c>
      <c r="AGZ20" s="409">
        <v>0</v>
      </c>
      <c r="AHA20" s="409">
        <v>0</v>
      </c>
      <c r="AHB20" s="409">
        <v>0</v>
      </c>
      <c r="AHC20" s="409">
        <v>0</v>
      </c>
      <c r="AHD20" s="410">
        <v>14433.335999999999</v>
      </c>
      <c r="AHE20" s="409">
        <v>0</v>
      </c>
      <c r="AHF20" s="409">
        <v>0</v>
      </c>
      <c r="AHG20" s="409">
        <v>0</v>
      </c>
      <c r="AHH20" s="409">
        <v>0</v>
      </c>
      <c r="AHI20" s="409">
        <v>0</v>
      </c>
      <c r="AHJ20" s="409">
        <v>0</v>
      </c>
      <c r="AHK20" s="409">
        <v>0</v>
      </c>
      <c r="AHL20" s="409">
        <v>0</v>
      </c>
      <c r="AHM20" s="409">
        <v>0</v>
      </c>
      <c r="AHN20" s="409">
        <v>0</v>
      </c>
      <c r="AHO20" s="409">
        <v>0</v>
      </c>
      <c r="AHP20" s="409">
        <v>0</v>
      </c>
      <c r="AHQ20" s="409">
        <v>0</v>
      </c>
      <c r="AHR20" s="409">
        <v>0</v>
      </c>
      <c r="AHS20" s="409">
        <v>0</v>
      </c>
      <c r="AHT20" s="409">
        <v>0</v>
      </c>
      <c r="AHU20" s="409">
        <v>0</v>
      </c>
      <c r="AHV20" s="409">
        <v>0</v>
      </c>
      <c r="AHW20" s="409">
        <v>0</v>
      </c>
      <c r="AHX20" s="409">
        <v>0</v>
      </c>
      <c r="AHY20" s="409">
        <v>0</v>
      </c>
      <c r="AHZ20" s="409">
        <v>0</v>
      </c>
      <c r="AIA20" s="409">
        <v>0</v>
      </c>
      <c r="AIB20" s="409">
        <v>0</v>
      </c>
      <c r="AIC20" s="409">
        <v>0</v>
      </c>
      <c r="AID20" s="409">
        <v>0</v>
      </c>
      <c r="AIE20" s="409">
        <v>0</v>
      </c>
      <c r="AIF20" s="409">
        <v>0</v>
      </c>
      <c r="AIG20" s="409">
        <v>0</v>
      </c>
      <c r="AIH20" s="409">
        <v>0</v>
      </c>
      <c r="AII20" s="409">
        <v>0</v>
      </c>
      <c r="AIJ20" s="245">
        <v>0</v>
      </c>
      <c r="AIK20" s="500">
        <v>6950.7780000000002</v>
      </c>
      <c r="AIL20" s="481">
        <v>0</v>
      </c>
      <c r="AIM20" s="481">
        <v>0</v>
      </c>
      <c r="AIN20" s="481">
        <v>0</v>
      </c>
      <c r="AIO20" s="481">
        <v>0</v>
      </c>
      <c r="AIP20" s="481">
        <v>0</v>
      </c>
      <c r="AIQ20" s="500">
        <v>7035.1239999999998</v>
      </c>
      <c r="AIR20" s="500">
        <v>7015.4189999999999</v>
      </c>
      <c r="AIS20" s="481">
        <v>0</v>
      </c>
      <c r="AIT20" s="481">
        <v>0</v>
      </c>
      <c r="AIU20" s="481">
        <v>0</v>
      </c>
      <c r="AIV20" s="481">
        <v>0</v>
      </c>
      <c r="AIW20" s="481">
        <v>0</v>
      </c>
      <c r="AIX20" s="481">
        <v>0</v>
      </c>
      <c r="AIY20" s="481">
        <v>0</v>
      </c>
      <c r="AIZ20" s="481">
        <v>0</v>
      </c>
      <c r="AJA20" s="481">
        <v>0</v>
      </c>
      <c r="AJB20" s="481">
        <v>0</v>
      </c>
      <c r="AJC20" s="481">
        <v>0</v>
      </c>
      <c r="AJD20" s="481">
        <v>0</v>
      </c>
      <c r="AJE20" s="481">
        <v>0</v>
      </c>
      <c r="AJF20" s="481">
        <v>0</v>
      </c>
      <c r="AJG20" s="481">
        <v>0</v>
      </c>
      <c r="AJH20" s="481">
        <v>0</v>
      </c>
      <c r="AJI20" s="481">
        <v>0</v>
      </c>
      <c r="AJJ20" s="481">
        <v>0</v>
      </c>
      <c r="AJK20" s="481">
        <v>0</v>
      </c>
      <c r="AJL20" s="481">
        <v>0</v>
      </c>
      <c r="AJM20" s="481">
        <v>0</v>
      </c>
      <c r="AJN20" s="481">
        <v>0</v>
      </c>
      <c r="AJO20" s="235">
        <v>21001.321</v>
      </c>
      <c r="AJP20" s="481">
        <v>0</v>
      </c>
      <c r="AJQ20" s="481">
        <v>0</v>
      </c>
      <c r="AJR20" s="481">
        <v>0</v>
      </c>
      <c r="AJS20" s="481">
        <v>0</v>
      </c>
      <c r="AJT20" s="481">
        <v>0</v>
      </c>
      <c r="AJU20" s="481">
        <v>0</v>
      </c>
      <c r="AJV20" s="481">
        <v>0</v>
      </c>
      <c r="AJW20" s="481">
        <v>0</v>
      </c>
      <c r="AJX20" s="481">
        <v>0</v>
      </c>
      <c r="AJY20" s="500">
        <v>7307.8140000000003</v>
      </c>
      <c r="AJZ20" s="481">
        <v>0</v>
      </c>
      <c r="AKA20" s="481">
        <v>0</v>
      </c>
      <c r="AKB20" s="481">
        <v>0</v>
      </c>
      <c r="AKC20" s="481">
        <v>0</v>
      </c>
      <c r="AKD20" s="500">
        <v>7113.3341465891845</v>
      </c>
      <c r="AKE20" s="500">
        <v>7308.1859999999997</v>
      </c>
      <c r="AKF20" s="481">
        <v>0</v>
      </c>
      <c r="AKG20" s="500">
        <v>7305.6180000000004</v>
      </c>
      <c r="AKH20" s="500">
        <v>7317.8019999999997</v>
      </c>
      <c r="AKI20" s="481">
        <v>0</v>
      </c>
      <c r="AKJ20" s="481">
        <v>0</v>
      </c>
      <c r="AKK20" s="481">
        <v>0</v>
      </c>
      <c r="AKL20" s="481">
        <v>0</v>
      </c>
      <c r="AKM20" s="481">
        <v>0</v>
      </c>
      <c r="AKN20" s="481">
        <v>0</v>
      </c>
      <c r="AKO20" s="481">
        <v>0</v>
      </c>
      <c r="AKP20" s="481">
        <v>0</v>
      </c>
      <c r="AKQ20" s="481">
        <v>0</v>
      </c>
      <c r="AKR20" s="481">
        <v>0</v>
      </c>
      <c r="AKS20" s="481">
        <v>0</v>
      </c>
      <c r="AKT20" s="481">
        <v>0</v>
      </c>
      <c r="AKU20" s="245">
        <v>36352.754146589185</v>
      </c>
      <c r="AKV20" s="511">
        <v>0</v>
      </c>
      <c r="AKW20" s="481">
        <v>0</v>
      </c>
      <c r="AKX20" s="481">
        <v>0</v>
      </c>
      <c r="AKY20" s="481">
        <v>0</v>
      </c>
      <c r="AKZ20" s="481">
        <v>0</v>
      </c>
      <c r="ALA20" s="481">
        <v>0</v>
      </c>
      <c r="ALB20" s="481">
        <v>0</v>
      </c>
      <c r="ALC20" s="481">
        <v>0</v>
      </c>
      <c r="ALD20" s="481">
        <v>0</v>
      </c>
      <c r="ALE20" s="481">
        <v>0</v>
      </c>
      <c r="ALF20" s="481">
        <v>0</v>
      </c>
      <c r="ALG20" s="481">
        <v>0</v>
      </c>
      <c r="ALH20" s="481">
        <v>0</v>
      </c>
      <c r="ALI20" s="481">
        <v>0</v>
      </c>
      <c r="ALJ20" s="481">
        <v>0</v>
      </c>
      <c r="ALK20" s="481">
        <v>0</v>
      </c>
      <c r="ALL20" s="481">
        <v>0</v>
      </c>
      <c r="ALM20" s="481">
        <v>0</v>
      </c>
      <c r="ALN20" s="481">
        <v>0</v>
      </c>
      <c r="ALO20" s="481">
        <v>0</v>
      </c>
      <c r="ALP20" s="481">
        <v>0</v>
      </c>
      <c r="ALQ20" s="481">
        <v>0</v>
      </c>
      <c r="ALR20" s="481">
        <v>0</v>
      </c>
      <c r="ALS20" s="481">
        <v>0</v>
      </c>
      <c r="ALT20" s="481">
        <v>0</v>
      </c>
      <c r="ALU20" s="481">
        <v>0</v>
      </c>
      <c r="ALV20" s="481">
        <v>0</v>
      </c>
      <c r="ALW20" s="481">
        <v>0</v>
      </c>
      <c r="ALX20" s="481">
        <v>0</v>
      </c>
      <c r="ALY20" s="512">
        <v>0</v>
      </c>
      <c r="ALZ20" s="245">
        <v>0</v>
      </c>
      <c r="AMA20" s="511">
        <f>Actual!F207</f>
        <v>0</v>
      </c>
      <c r="AMB20" s="481">
        <f>Actual!G207</f>
        <v>0</v>
      </c>
      <c r="AMC20" s="481">
        <f>Actual!H207</f>
        <v>0</v>
      </c>
      <c r="AMD20" s="481">
        <f>Actual!I207</f>
        <v>0</v>
      </c>
      <c r="AME20" s="481">
        <f>Actual!J207</f>
        <v>0</v>
      </c>
      <c r="AMF20" s="500">
        <f>Actual!K207</f>
        <v>0</v>
      </c>
      <c r="AMG20" s="481">
        <f>Actual!L207</f>
        <v>0</v>
      </c>
      <c r="AMH20" s="481">
        <f>Actual!M207</f>
        <v>0</v>
      </c>
      <c r="AMI20" s="481">
        <f>Actual!N207</f>
        <v>0</v>
      </c>
      <c r="AMJ20" s="481">
        <f>Actual!O207</f>
        <v>0</v>
      </c>
      <c r="AMK20" s="500">
        <f>Actual!P207</f>
        <v>0</v>
      </c>
      <c r="AML20" s="481">
        <f>Actual!Q207</f>
        <v>0</v>
      </c>
      <c r="AMM20" s="481">
        <f>Actual!R207</f>
        <v>0</v>
      </c>
      <c r="AMN20" s="481">
        <f>Actual!S207</f>
        <v>0</v>
      </c>
      <c r="AMO20" s="481">
        <f>Actual!T207</f>
        <v>0</v>
      </c>
      <c r="AMP20" s="481">
        <f>Actual!U207</f>
        <v>0</v>
      </c>
      <c r="AMQ20" s="481">
        <f>Actual!V207</f>
        <v>0</v>
      </c>
      <c r="AMR20" s="481">
        <f>Actual!W207</f>
        <v>0</v>
      </c>
      <c r="AMS20" s="481">
        <f>Actual!X207</f>
        <v>0</v>
      </c>
      <c r="AMT20" s="481">
        <f>Actual!Y207</f>
        <v>0</v>
      </c>
      <c r="AMU20" s="481">
        <f>Actual!Z207</f>
        <v>0</v>
      </c>
      <c r="AMV20" s="481">
        <f>Actual!AA207</f>
        <v>0</v>
      </c>
      <c r="AMW20" s="481">
        <f>Actual!AB207</f>
        <v>0</v>
      </c>
      <c r="AMX20" s="481">
        <f>Actual!AC207</f>
        <v>0</v>
      </c>
      <c r="AMY20" s="481">
        <f>Actual!AD207</f>
        <v>0</v>
      </c>
      <c r="AMZ20" s="481">
        <f>Actual!AE207</f>
        <v>0</v>
      </c>
      <c r="ANA20" s="481">
        <f>Actual!AF207</f>
        <v>0</v>
      </c>
      <c r="ANB20" s="481">
        <f>Actual!AG207</f>
        <v>0</v>
      </c>
      <c r="ANC20" s="481">
        <f>Actual!AH207</f>
        <v>0</v>
      </c>
      <c r="AND20" s="481">
        <f>Actual!AI207</f>
        <v>0</v>
      </c>
      <c r="ANE20" s="512">
        <f>Actual!AJ207</f>
        <v>0</v>
      </c>
      <c r="ANF20" s="245">
        <f t="shared" si="2"/>
        <v>0</v>
      </c>
      <c r="ANG20" s="481">
        <v>0</v>
      </c>
      <c r="ANH20" s="481">
        <v>0</v>
      </c>
      <c r="ANI20" s="481">
        <v>0</v>
      </c>
      <c r="ANJ20" s="481">
        <v>0</v>
      </c>
      <c r="ANK20" s="481">
        <v>0</v>
      </c>
      <c r="ANL20" s="481">
        <v>0</v>
      </c>
      <c r="ANM20" s="481">
        <v>0</v>
      </c>
      <c r="ANN20" s="481">
        <v>0</v>
      </c>
      <c r="ANO20" s="481">
        <v>0</v>
      </c>
      <c r="ANP20" s="481">
        <v>0</v>
      </c>
      <c r="ANQ20" s="481">
        <v>0</v>
      </c>
      <c r="ANR20" s="481">
        <v>0</v>
      </c>
      <c r="ANS20" s="481">
        <v>0</v>
      </c>
      <c r="ANT20" s="481">
        <v>0</v>
      </c>
      <c r="ANU20" s="481">
        <v>0</v>
      </c>
      <c r="ANV20" s="481">
        <v>0</v>
      </c>
      <c r="ANW20" s="481">
        <v>0</v>
      </c>
      <c r="ANX20" s="481">
        <v>0</v>
      </c>
      <c r="ANY20" s="481">
        <v>0</v>
      </c>
      <c r="ANZ20" s="481">
        <v>0</v>
      </c>
      <c r="AOA20" s="481">
        <v>0</v>
      </c>
      <c r="AOB20" s="481">
        <v>0</v>
      </c>
      <c r="AOC20" s="481">
        <v>0</v>
      </c>
      <c r="AOD20" s="481">
        <v>0</v>
      </c>
      <c r="AOE20" s="481">
        <v>0</v>
      </c>
      <c r="AOF20" s="481">
        <v>0</v>
      </c>
      <c r="AOG20" s="481">
        <v>0</v>
      </c>
      <c r="AOH20" s="481">
        <v>0</v>
      </c>
      <c r="AOI20" s="410">
        <v>0</v>
      </c>
      <c r="AOJ20" s="481">
        <v>0</v>
      </c>
      <c r="AOK20" s="481">
        <v>0</v>
      </c>
      <c r="AOL20" s="481">
        <v>0</v>
      </c>
      <c r="AOM20" s="481">
        <v>0</v>
      </c>
      <c r="AON20" s="481">
        <v>0</v>
      </c>
      <c r="AOO20" s="481">
        <v>0</v>
      </c>
      <c r="AOP20" s="481">
        <v>0</v>
      </c>
      <c r="AOQ20" s="481">
        <v>0</v>
      </c>
      <c r="AOR20" s="481">
        <v>0</v>
      </c>
      <c r="AOS20" s="481">
        <v>0</v>
      </c>
      <c r="AOT20" s="481">
        <v>0</v>
      </c>
      <c r="AOU20" s="481">
        <v>0</v>
      </c>
      <c r="AOV20" s="481">
        <v>0</v>
      </c>
      <c r="AOW20" s="481">
        <v>0</v>
      </c>
      <c r="AOX20" s="481">
        <v>0</v>
      </c>
      <c r="AOY20" s="481">
        <v>0</v>
      </c>
      <c r="AOZ20" s="481">
        <v>0</v>
      </c>
      <c r="APA20" s="481">
        <v>0</v>
      </c>
      <c r="APB20" s="481">
        <v>0</v>
      </c>
      <c r="APC20" s="481">
        <v>0</v>
      </c>
      <c r="APD20" s="481">
        <v>0</v>
      </c>
      <c r="APE20" s="481">
        <v>0</v>
      </c>
      <c r="APF20" s="481">
        <v>0</v>
      </c>
      <c r="APG20" s="481">
        <v>0</v>
      </c>
      <c r="APH20" s="481">
        <v>0</v>
      </c>
      <c r="API20" s="481">
        <v>0</v>
      </c>
      <c r="APJ20" s="481">
        <v>0</v>
      </c>
      <c r="APK20" s="481">
        <v>0</v>
      </c>
      <c r="APL20" s="481">
        <v>0</v>
      </c>
      <c r="APM20" s="481">
        <v>0</v>
      </c>
      <c r="APN20" s="481">
        <v>0</v>
      </c>
      <c r="APO20" s="410">
        <v>0</v>
      </c>
      <c r="APP20" s="481">
        <v>0</v>
      </c>
      <c r="APQ20" s="481">
        <v>0</v>
      </c>
      <c r="APR20" s="481">
        <v>0</v>
      </c>
      <c r="APS20" s="481">
        <v>0</v>
      </c>
      <c r="APT20" s="481">
        <v>0</v>
      </c>
      <c r="APU20" s="481">
        <v>0</v>
      </c>
      <c r="APV20" s="481">
        <v>0</v>
      </c>
      <c r="APW20" s="481">
        <v>0</v>
      </c>
      <c r="APX20" s="481">
        <v>0</v>
      </c>
      <c r="APY20" s="481">
        <v>0</v>
      </c>
      <c r="APZ20" s="481">
        <v>0</v>
      </c>
      <c r="AQA20" s="481">
        <v>0</v>
      </c>
      <c r="AQB20" s="481">
        <v>0</v>
      </c>
      <c r="AQC20" s="481">
        <v>0</v>
      </c>
      <c r="AQD20" s="481">
        <v>0</v>
      </c>
      <c r="AQE20" s="481">
        <v>0</v>
      </c>
      <c r="AQF20" s="481">
        <v>0</v>
      </c>
      <c r="AQG20" s="481">
        <v>0</v>
      </c>
      <c r="AQH20" s="481">
        <v>0</v>
      </c>
      <c r="AQI20" s="481">
        <v>0</v>
      </c>
      <c r="AQJ20" s="481">
        <v>0</v>
      </c>
      <c r="AQK20" s="481">
        <v>0</v>
      </c>
      <c r="AQL20" s="481">
        <v>0</v>
      </c>
      <c r="AQM20" s="481">
        <v>0</v>
      </c>
      <c r="AQN20" s="481">
        <v>0</v>
      </c>
      <c r="AQO20" s="481">
        <v>0</v>
      </c>
      <c r="AQP20" s="481">
        <v>0</v>
      </c>
      <c r="AQQ20" s="481">
        <v>0</v>
      </c>
      <c r="AQR20" s="481">
        <v>0</v>
      </c>
      <c r="AQS20" s="481">
        <v>0</v>
      </c>
      <c r="AQT20" s="410">
        <f t="shared" si="12"/>
        <v>0</v>
      </c>
      <c r="AQU20" s="481">
        <v>0</v>
      </c>
      <c r="AQV20" s="481">
        <v>0</v>
      </c>
      <c r="AQW20" s="481">
        <v>0</v>
      </c>
      <c r="AQX20" s="481">
        <v>0</v>
      </c>
      <c r="AQY20" s="481">
        <v>0</v>
      </c>
      <c r="AQZ20" s="481">
        <v>0</v>
      </c>
      <c r="ARA20" s="481">
        <v>0</v>
      </c>
      <c r="ARB20" s="481">
        <v>0</v>
      </c>
      <c r="ARC20" s="481">
        <v>0</v>
      </c>
      <c r="ARD20" s="481">
        <v>0</v>
      </c>
      <c r="ARE20" s="481">
        <v>0</v>
      </c>
      <c r="ARF20" s="481">
        <v>0</v>
      </c>
      <c r="ARG20" s="481">
        <v>0</v>
      </c>
      <c r="ARH20" s="481">
        <v>0</v>
      </c>
      <c r="ARI20" s="481">
        <v>0</v>
      </c>
      <c r="ARJ20" s="481">
        <v>0</v>
      </c>
      <c r="ARK20" s="481">
        <v>0</v>
      </c>
      <c r="ARL20" s="481">
        <v>0</v>
      </c>
      <c r="ARM20" s="481">
        <v>0</v>
      </c>
      <c r="ARN20" s="481">
        <v>0</v>
      </c>
      <c r="ARO20" s="481">
        <v>0</v>
      </c>
      <c r="ARP20" s="481">
        <v>0</v>
      </c>
      <c r="ARQ20" s="481">
        <v>0</v>
      </c>
      <c r="ARR20" s="481">
        <v>0</v>
      </c>
      <c r="ARS20" s="481">
        <v>0</v>
      </c>
      <c r="ART20" s="481">
        <v>0</v>
      </c>
      <c r="ARU20" s="481">
        <v>0</v>
      </c>
      <c r="ARV20" s="481">
        <v>0</v>
      </c>
      <c r="ARW20" s="481">
        <v>0</v>
      </c>
      <c r="ARX20" s="481">
        <v>0</v>
      </c>
      <c r="ARY20" s="481">
        <v>0</v>
      </c>
      <c r="ARZ20" s="410">
        <f t="shared" si="13"/>
        <v>0</v>
      </c>
      <c r="ASA20" s="481">
        <v>0</v>
      </c>
      <c r="ASB20" s="481">
        <v>0</v>
      </c>
      <c r="ASC20" s="481">
        <v>0</v>
      </c>
      <c r="ASD20" s="481">
        <v>0</v>
      </c>
      <c r="ASE20" s="481">
        <v>0</v>
      </c>
      <c r="ASF20" s="481">
        <v>0</v>
      </c>
      <c r="ASG20" s="481">
        <v>0</v>
      </c>
      <c r="ASH20" s="481">
        <v>0</v>
      </c>
      <c r="ASI20" s="481">
        <v>0</v>
      </c>
      <c r="ASJ20" s="481">
        <v>0</v>
      </c>
      <c r="ASK20" s="481">
        <v>0</v>
      </c>
      <c r="ASL20" s="481">
        <v>0</v>
      </c>
      <c r="ASM20" s="481">
        <v>0</v>
      </c>
      <c r="ASN20" s="481">
        <v>0</v>
      </c>
      <c r="ASO20" s="481">
        <v>0</v>
      </c>
      <c r="ASP20" s="481">
        <v>0</v>
      </c>
      <c r="ASQ20" s="481">
        <v>0</v>
      </c>
      <c r="ASR20" s="481">
        <v>0</v>
      </c>
      <c r="ASS20" s="481">
        <v>0</v>
      </c>
      <c r="AST20" s="481">
        <v>0</v>
      </c>
      <c r="ASU20" s="481">
        <v>0</v>
      </c>
      <c r="ASV20" s="481">
        <v>0</v>
      </c>
      <c r="ASW20" s="481">
        <v>0</v>
      </c>
      <c r="ASX20" s="481">
        <v>0</v>
      </c>
      <c r="ASY20" s="481">
        <v>0</v>
      </c>
      <c r="ASZ20" s="481">
        <v>0</v>
      </c>
      <c r="ATA20" s="481">
        <v>0</v>
      </c>
      <c r="ATB20" s="481">
        <v>0</v>
      </c>
      <c r="ATC20" s="481">
        <v>0</v>
      </c>
      <c r="ATD20" s="481">
        <v>0</v>
      </c>
      <c r="ATE20" s="410">
        <v>0</v>
      </c>
      <c r="ATF20" s="481">
        <v>0</v>
      </c>
      <c r="ATG20" s="481">
        <v>0</v>
      </c>
      <c r="ATH20" s="481">
        <v>0</v>
      </c>
      <c r="ATI20" s="481">
        <v>0</v>
      </c>
      <c r="ATJ20" s="481">
        <v>0</v>
      </c>
      <c r="ATK20" s="481">
        <v>0</v>
      </c>
      <c r="ATL20" s="481">
        <v>0</v>
      </c>
      <c r="ATM20" s="481">
        <v>0</v>
      </c>
      <c r="ATN20" s="481">
        <v>0</v>
      </c>
      <c r="ATO20" s="481">
        <v>0</v>
      </c>
      <c r="ATP20" s="481">
        <v>0</v>
      </c>
      <c r="ATQ20" s="481">
        <v>0</v>
      </c>
      <c r="ATR20" s="481">
        <v>0</v>
      </c>
      <c r="ATS20" s="481">
        <v>0</v>
      </c>
      <c r="ATT20" s="481">
        <v>0</v>
      </c>
      <c r="ATU20" s="481">
        <v>0</v>
      </c>
      <c r="ATV20" s="481">
        <v>0</v>
      </c>
      <c r="ATW20" s="481">
        <v>0</v>
      </c>
      <c r="ATX20" s="481">
        <v>0</v>
      </c>
      <c r="ATY20" s="481">
        <v>0</v>
      </c>
      <c r="ATZ20" s="481">
        <v>0</v>
      </c>
      <c r="AUA20" s="481">
        <v>0</v>
      </c>
      <c r="AUB20" s="481">
        <v>0</v>
      </c>
      <c r="AUC20" s="481">
        <v>0</v>
      </c>
      <c r="AUD20" s="481">
        <v>0</v>
      </c>
      <c r="AUE20" s="481">
        <v>0</v>
      </c>
      <c r="AUF20" s="481">
        <v>0</v>
      </c>
      <c r="AUG20" s="481">
        <v>0</v>
      </c>
      <c r="AUH20" s="481">
        <v>0</v>
      </c>
      <c r="AUI20" s="481">
        <v>0</v>
      </c>
      <c r="AUJ20" s="481"/>
      <c r="AUK20" s="410">
        <v>0</v>
      </c>
      <c r="AUL20" s="481">
        <v>0</v>
      </c>
      <c r="AUM20" s="481">
        <v>0</v>
      </c>
      <c r="AUN20" s="481">
        <v>0</v>
      </c>
      <c r="AUO20" s="481">
        <v>0</v>
      </c>
      <c r="AUP20" s="481">
        <v>0</v>
      </c>
      <c r="AUQ20" s="481">
        <v>0</v>
      </c>
      <c r="AUR20" s="481">
        <v>0</v>
      </c>
      <c r="AUS20" s="481">
        <v>0</v>
      </c>
      <c r="AUT20" s="521">
        <v>7333.0959999999995</v>
      </c>
      <c r="AUU20" s="521">
        <v>7321.9870000000001</v>
      </c>
      <c r="AUV20" s="481">
        <v>0</v>
      </c>
      <c r="AUW20" s="481">
        <v>0</v>
      </c>
      <c r="AUX20" s="481">
        <v>0</v>
      </c>
      <c r="AUY20" s="481">
        <v>0</v>
      </c>
      <c r="AUZ20" s="481">
        <v>0</v>
      </c>
      <c r="AVA20" s="481">
        <v>0</v>
      </c>
      <c r="AVB20" s="481">
        <v>0</v>
      </c>
      <c r="AVC20" s="481">
        <v>0</v>
      </c>
      <c r="AVD20" s="481">
        <v>0</v>
      </c>
      <c r="AVE20" s="481">
        <v>0</v>
      </c>
      <c r="AVF20" s="481">
        <v>0</v>
      </c>
      <c r="AVG20" s="481">
        <v>0</v>
      </c>
      <c r="AVH20" s="481">
        <v>0</v>
      </c>
      <c r="AVI20" s="481">
        <v>0</v>
      </c>
      <c r="AVJ20" s="481">
        <v>0</v>
      </c>
      <c r="AVK20" s="481">
        <v>0</v>
      </c>
      <c r="AVL20" s="481">
        <v>0</v>
      </c>
      <c r="AVM20" s="481">
        <v>0</v>
      </c>
      <c r="AVN20" s="481">
        <v>0</v>
      </c>
      <c r="AVO20" s="481">
        <v>0</v>
      </c>
      <c r="AVP20" s="481"/>
      <c r="AVQ20" s="235">
        <f t="shared" si="3"/>
        <v>14655.082999999999</v>
      </c>
      <c r="AVR20" s="481">
        <v>0</v>
      </c>
      <c r="AVS20" s="481">
        <v>0</v>
      </c>
      <c r="AVT20" s="521">
        <v>7305.8610000000008</v>
      </c>
      <c r="AVU20" s="481">
        <v>0</v>
      </c>
      <c r="AVV20" s="481">
        <v>0</v>
      </c>
      <c r="AVW20" s="481">
        <v>0</v>
      </c>
      <c r="AVX20" s="481">
        <v>0</v>
      </c>
      <c r="AVY20" s="481">
        <v>0</v>
      </c>
      <c r="AVZ20" s="481">
        <v>0</v>
      </c>
      <c r="AWA20" s="481">
        <v>0</v>
      </c>
      <c r="AWB20" s="481">
        <v>0</v>
      </c>
      <c r="AWC20" s="481">
        <v>0</v>
      </c>
      <c r="AWD20" s="481">
        <v>0</v>
      </c>
      <c r="AWE20" s="481">
        <v>0</v>
      </c>
      <c r="AWF20" s="481">
        <v>0</v>
      </c>
      <c r="AWG20" s="523">
        <v>7342.6826065550704</v>
      </c>
      <c r="AWH20" s="481">
        <v>0</v>
      </c>
      <c r="AWI20" s="481">
        <v>0</v>
      </c>
      <c r="AWJ20" s="481">
        <v>0</v>
      </c>
      <c r="AWK20" s="481">
        <v>0</v>
      </c>
      <c r="AWL20" s="481">
        <v>0</v>
      </c>
      <c r="AWM20" s="481">
        <v>0</v>
      </c>
      <c r="AWN20" s="481">
        <v>0</v>
      </c>
      <c r="AWO20" s="481">
        <v>0</v>
      </c>
      <c r="AWP20" s="481">
        <v>0</v>
      </c>
      <c r="AWQ20" s="481">
        <v>0</v>
      </c>
      <c r="AWR20" s="481">
        <v>0</v>
      </c>
      <c r="AWS20" s="481">
        <v>0</v>
      </c>
      <c r="AWT20" s="481">
        <v>0</v>
      </c>
      <c r="AWU20" s="481">
        <v>0</v>
      </c>
      <c r="AWV20" s="235">
        <v>14648.543606555071</v>
      </c>
      <c r="AWW20" s="481">
        <v>0</v>
      </c>
      <c r="AWX20" s="481">
        <v>0</v>
      </c>
      <c r="AWY20" s="481">
        <v>0</v>
      </c>
      <c r="AWZ20" s="481">
        <v>0</v>
      </c>
      <c r="AXA20" s="481">
        <v>0</v>
      </c>
      <c r="AXB20" s="481">
        <v>0</v>
      </c>
      <c r="AXC20" s="481">
        <v>0</v>
      </c>
      <c r="AXD20" s="481">
        <v>0</v>
      </c>
      <c r="AXE20" s="481">
        <v>0</v>
      </c>
      <c r="AXF20" s="481">
        <v>0</v>
      </c>
      <c r="AXG20" s="481">
        <v>0</v>
      </c>
      <c r="AXH20" s="481">
        <v>0</v>
      </c>
      <c r="AXI20" s="481">
        <v>0</v>
      </c>
      <c r="AXJ20" s="481">
        <v>0</v>
      </c>
      <c r="AXK20" s="481">
        <v>0</v>
      </c>
      <c r="AXL20" s="481">
        <v>0</v>
      </c>
      <c r="AXM20" s="481">
        <v>0</v>
      </c>
      <c r="AXN20" s="481">
        <v>0</v>
      </c>
      <c r="AXO20" s="481">
        <v>0</v>
      </c>
      <c r="AXP20" s="481">
        <v>0</v>
      </c>
      <c r="AXQ20" s="481">
        <v>0</v>
      </c>
      <c r="AXR20" s="481">
        <v>0</v>
      </c>
      <c r="AXS20" s="481">
        <v>0</v>
      </c>
      <c r="AXT20" s="481">
        <v>0</v>
      </c>
      <c r="AXU20" s="481">
        <v>0</v>
      </c>
      <c r="AXV20" s="481">
        <v>0</v>
      </c>
      <c r="AXW20" s="481">
        <v>0</v>
      </c>
      <c r="AXX20" s="481">
        <v>0</v>
      </c>
      <c r="AXY20" s="481">
        <v>0</v>
      </c>
      <c r="AXZ20" s="481">
        <v>0</v>
      </c>
      <c r="AYA20" s="481">
        <v>0</v>
      </c>
      <c r="AYB20" s="235">
        <v>0</v>
      </c>
      <c r="AYC20" s="481">
        <v>0</v>
      </c>
      <c r="AYD20" s="481">
        <v>0</v>
      </c>
      <c r="AYE20" s="481">
        <v>0</v>
      </c>
      <c r="AYF20" s="481">
        <v>0</v>
      </c>
      <c r="AYG20" s="481">
        <v>0</v>
      </c>
      <c r="AYH20" s="481">
        <v>0</v>
      </c>
      <c r="AYI20" s="481">
        <v>0</v>
      </c>
      <c r="AYJ20" s="521">
        <v>7321.7160000000003</v>
      </c>
      <c r="AYK20" s="481">
        <v>0</v>
      </c>
      <c r="AYL20" s="481">
        <v>0</v>
      </c>
      <c r="AYM20" s="481">
        <v>0</v>
      </c>
      <c r="AYN20" s="481">
        <v>0</v>
      </c>
      <c r="AYO20" s="481">
        <v>0</v>
      </c>
      <c r="AYP20" s="481">
        <v>0</v>
      </c>
      <c r="AYQ20" s="481">
        <v>0</v>
      </c>
      <c r="AYR20" s="481">
        <v>0</v>
      </c>
      <c r="AYS20" s="481">
        <v>0</v>
      </c>
      <c r="AYT20" s="481">
        <v>0</v>
      </c>
      <c r="AYU20" s="521">
        <v>6865.6299999999992</v>
      </c>
      <c r="AYV20" s="481">
        <v>0</v>
      </c>
      <c r="AYW20" s="521">
        <v>7319.5739999999996</v>
      </c>
      <c r="AYX20" s="481">
        <v>0</v>
      </c>
      <c r="AYY20" s="481">
        <v>0</v>
      </c>
      <c r="AYZ20" s="481">
        <v>0</v>
      </c>
      <c r="AZA20" s="481">
        <v>0</v>
      </c>
      <c r="AZB20" s="481">
        <v>0</v>
      </c>
      <c r="AZC20" s="481">
        <v>0</v>
      </c>
      <c r="AZD20" s="481">
        <v>0</v>
      </c>
      <c r="AZE20" s="481">
        <v>0</v>
      </c>
      <c r="AZF20" s="481">
        <v>0</v>
      </c>
      <c r="AZG20" s="235">
        <v>21506.92</v>
      </c>
      <c r="AZH20" s="481">
        <f>Actual!F207</f>
        <v>0</v>
      </c>
      <c r="AZI20" s="481">
        <f>Actual!G207</f>
        <v>0</v>
      </c>
      <c r="AZJ20" s="481">
        <f>Actual!H207</f>
        <v>0</v>
      </c>
      <c r="AZK20" s="481">
        <f>Actual!I207</f>
        <v>0</v>
      </c>
      <c r="AZL20" s="481">
        <f>Actual!J207</f>
        <v>0</v>
      </c>
      <c r="AZM20" s="481">
        <f>Actual!K207</f>
        <v>0</v>
      </c>
      <c r="AZN20" s="481">
        <f>Actual!L207</f>
        <v>0</v>
      </c>
      <c r="AZO20" s="481">
        <f>Actual!M207</f>
        <v>0</v>
      </c>
      <c r="AZP20" s="481">
        <f>Actual!N207</f>
        <v>0</v>
      </c>
      <c r="AZQ20" s="481">
        <f>Actual!O207</f>
        <v>0</v>
      </c>
      <c r="AZR20" s="481">
        <f>Actual!P207</f>
        <v>0</v>
      </c>
      <c r="AZS20" s="481">
        <f>Actual!Q207</f>
        <v>0</v>
      </c>
      <c r="AZT20" s="481">
        <f>Actual!R207</f>
        <v>0</v>
      </c>
      <c r="AZU20" s="481">
        <f>Actual!S207</f>
        <v>0</v>
      </c>
      <c r="AZV20" s="481">
        <f>Actual!T207</f>
        <v>0</v>
      </c>
      <c r="AZW20" s="481">
        <f>Actual!U207</f>
        <v>0</v>
      </c>
      <c r="AZX20" s="481">
        <f>Actual!V207</f>
        <v>0</v>
      </c>
      <c r="AZY20" s="481">
        <f>Actual!W207</f>
        <v>0</v>
      </c>
      <c r="AZZ20" s="481">
        <f>Actual!X207</f>
        <v>0</v>
      </c>
      <c r="BAA20" s="481">
        <f>Actual!Y207</f>
        <v>0</v>
      </c>
      <c r="BAB20" s="481">
        <f>Actual!Z207</f>
        <v>0</v>
      </c>
      <c r="BAC20" s="481">
        <f>Actual!AA207</f>
        <v>0</v>
      </c>
      <c r="BAD20" s="481">
        <f>Actual!AB207</f>
        <v>0</v>
      </c>
      <c r="BAE20" s="481">
        <f>Actual!AC207</f>
        <v>0</v>
      </c>
      <c r="BAF20" s="481">
        <f>Actual!AD207</f>
        <v>0</v>
      </c>
      <c r="BAG20" s="481">
        <f>Actual!AE207</f>
        <v>0</v>
      </c>
      <c r="BAH20" s="481">
        <f>Actual!AF207</f>
        <v>0</v>
      </c>
      <c r="BAI20" s="481">
        <f>Actual!AG207</f>
        <v>0</v>
      </c>
      <c r="BAJ20" s="481">
        <f>Actual!AH207</f>
        <v>0</v>
      </c>
      <c r="BAK20" s="481">
        <f>Actual!AI207</f>
        <v>0</v>
      </c>
      <c r="BAL20" s="481">
        <f>Actual!AJ207</f>
        <v>0</v>
      </c>
      <c r="BAM20" s="245">
        <f t="shared" si="27"/>
        <v>0</v>
      </c>
    </row>
    <row r="21" spans="2:1391" s="243" customFormat="1" ht="15" hidden="1" customHeight="1">
      <c r="B21" s="472" t="s">
        <v>370</v>
      </c>
      <c r="C21" s="473">
        <v>0</v>
      </c>
      <c r="D21" s="473">
        <v>0</v>
      </c>
      <c r="E21" s="473">
        <v>0</v>
      </c>
      <c r="F21" s="473">
        <v>0</v>
      </c>
      <c r="G21" s="473">
        <v>0</v>
      </c>
      <c r="H21" s="473">
        <v>0</v>
      </c>
      <c r="I21" s="473">
        <v>0</v>
      </c>
      <c r="J21" s="473">
        <v>0</v>
      </c>
      <c r="K21" s="473">
        <v>0</v>
      </c>
      <c r="L21" s="473">
        <v>0</v>
      </c>
      <c r="M21" s="473">
        <v>0</v>
      </c>
      <c r="N21" s="473">
        <v>0</v>
      </c>
      <c r="O21" s="473">
        <v>0</v>
      </c>
      <c r="P21" s="473">
        <v>0</v>
      </c>
      <c r="Q21" s="473">
        <v>0</v>
      </c>
      <c r="R21" s="473">
        <v>0</v>
      </c>
      <c r="S21" s="473">
        <v>0</v>
      </c>
      <c r="T21" s="473">
        <v>0</v>
      </c>
      <c r="U21" s="473">
        <v>0</v>
      </c>
      <c r="V21" s="473">
        <v>0</v>
      </c>
      <c r="W21" s="473">
        <v>0</v>
      </c>
      <c r="X21" s="473">
        <v>0</v>
      </c>
      <c r="Y21" s="473">
        <v>0</v>
      </c>
      <c r="Z21" s="473">
        <v>0</v>
      </c>
      <c r="AA21" s="473">
        <v>0</v>
      </c>
      <c r="AB21" s="473">
        <v>0</v>
      </c>
      <c r="AC21" s="473">
        <v>0</v>
      </c>
      <c r="AD21" s="473">
        <v>0</v>
      </c>
      <c r="AE21" s="473">
        <v>0</v>
      </c>
      <c r="AF21" s="473">
        <v>0</v>
      </c>
      <c r="AG21" s="473">
        <v>0</v>
      </c>
      <c r="AH21" s="474">
        <f t="shared" ref="AH21:AH26" si="28">SUM(C21:AG21)</f>
        <v>0</v>
      </c>
      <c r="AI21" s="244"/>
      <c r="AJ21" s="244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3"/>
      <c r="AV21" s="274"/>
      <c r="AW21" s="273"/>
      <c r="AX21" s="273"/>
      <c r="AY21" s="273"/>
      <c r="AZ21" s="273"/>
      <c r="BA21" s="273"/>
      <c r="BB21" s="275"/>
      <c r="BC21" s="274"/>
      <c r="BD21" s="274"/>
      <c r="BE21" s="274"/>
      <c r="BF21" s="274"/>
      <c r="BG21" s="274"/>
      <c r="BH21" s="274"/>
      <c r="BI21" s="275"/>
      <c r="BJ21" s="275"/>
      <c r="BK21" s="276"/>
      <c r="BL21" s="244"/>
      <c r="BM21" s="244"/>
      <c r="BN21" s="209"/>
      <c r="BO21" s="209"/>
      <c r="BP21" s="209"/>
      <c r="BQ21" s="209"/>
      <c r="BR21" s="277"/>
      <c r="BS21" s="273"/>
      <c r="BT21" s="273"/>
      <c r="BU21" s="273"/>
      <c r="BV21" s="273"/>
      <c r="BW21" s="273"/>
      <c r="BX21" s="273"/>
      <c r="BY21" s="273"/>
      <c r="BZ21" s="273"/>
      <c r="CA21" s="273"/>
      <c r="CB21" s="273"/>
      <c r="CC21" s="273"/>
      <c r="CD21" s="273"/>
      <c r="CE21" s="209"/>
      <c r="CF21" s="277"/>
      <c r="CG21" s="277"/>
      <c r="CH21" s="277"/>
      <c r="CI21" s="277"/>
      <c r="CJ21" s="277"/>
      <c r="CK21" s="277"/>
      <c r="CL21" s="278"/>
      <c r="CM21" s="277"/>
      <c r="CN21" s="273"/>
      <c r="CO21" s="278"/>
      <c r="CP21" s="273"/>
      <c r="CQ21" s="276"/>
      <c r="CR21" s="244"/>
      <c r="CS21" s="244"/>
      <c r="CT21" s="209"/>
      <c r="CU21" s="209"/>
      <c r="CV21" s="209"/>
      <c r="CW21" s="209"/>
      <c r="CX21" s="277"/>
      <c r="CY21" s="273"/>
      <c r="CZ21" s="273"/>
      <c r="DA21" s="273"/>
      <c r="DB21" s="273"/>
      <c r="DC21" s="273"/>
      <c r="DD21" s="273"/>
      <c r="DE21" s="273"/>
      <c r="DF21" s="273"/>
      <c r="DG21" s="273"/>
      <c r="DH21" s="273"/>
      <c r="DI21" s="273"/>
      <c r="DJ21" s="273"/>
      <c r="DK21" s="209"/>
      <c r="DL21" s="277"/>
      <c r="DM21" s="277"/>
      <c r="DN21" s="277"/>
      <c r="DO21" s="277"/>
      <c r="DP21" s="277"/>
      <c r="DQ21" s="277"/>
      <c r="DR21" s="278"/>
      <c r="DS21" s="277"/>
      <c r="DT21" s="273"/>
      <c r="DU21" s="278"/>
      <c r="DV21" s="273"/>
      <c r="DW21" s="276"/>
      <c r="DX21" s="244"/>
      <c r="DY21" s="244"/>
      <c r="DZ21" s="209"/>
      <c r="EA21" s="209"/>
      <c r="EB21" s="209"/>
      <c r="EC21" s="209"/>
      <c r="ED21" s="281"/>
      <c r="EE21" s="277"/>
      <c r="EF21" s="277"/>
      <c r="EG21" s="277"/>
      <c r="EH21" s="281"/>
      <c r="EI21" s="273"/>
      <c r="EJ21" s="273"/>
      <c r="EK21" s="273"/>
      <c r="EL21" s="273"/>
      <c r="EM21" s="273"/>
      <c r="EN21" s="273"/>
      <c r="EO21" s="273"/>
      <c r="EP21" s="273"/>
      <c r="EQ21" s="209"/>
      <c r="ER21" s="277"/>
      <c r="ES21" s="273"/>
      <c r="ET21" s="274"/>
      <c r="EU21" s="273"/>
      <c r="EV21" s="273"/>
      <c r="EW21" s="273"/>
      <c r="EX21" s="274"/>
      <c r="EY21" s="274"/>
      <c r="EZ21" s="273"/>
      <c r="FA21" s="278"/>
      <c r="FB21" s="273"/>
      <c r="FC21" s="276"/>
      <c r="FD21" s="244"/>
      <c r="FE21" s="244"/>
      <c r="FF21" s="209"/>
      <c r="FG21" s="209"/>
      <c r="FH21" s="209"/>
      <c r="FI21" s="209"/>
      <c r="FJ21" s="277"/>
      <c r="FK21" s="273"/>
      <c r="FL21" s="273"/>
      <c r="FM21" s="273"/>
      <c r="FN21" s="273"/>
      <c r="FO21" s="273"/>
      <c r="FP21" s="273"/>
      <c r="FQ21" s="273"/>
      <c r="FR21" s="273"/>
      <c r="FS21" s="273"/>
      <c r="FT21" s="273"/>
      <c r="FU21" s="273"/>
      <c r="FV21" s="273"/>
      <c r="FW21" s="209"/>
      <c r="FX21" s="277"/>
      <c r="FY21" s="277"/>
      <c r="FZ21" s="277"/>
      <c r="GA21" s="277"/>
      <c r="GB21" s="277"/>
      <c r="GC21" s="277"/>
      <c r="GD21" s="278"/>
      <c r="GE21" s="277"/>
      <c r="GF21" s="273"/>
      <c r="GG21" s="278"/>
      <c r="GH21" s="273"/>
      <c r="GI21" s="276"/>
      <c r="GJ21" s="244"/>
      <c r="GK21" s="244"/>
      <c r="GL21" s="209"/>
      <c r="GM21" s="209"/>
      <c r="GN21" s="209"/>
      <c r="GO21" s="209"/>
      <c r="GP21" s="277"/>
      <c r="GQ21" s="273"/>
      <c r="GR21" s="274"/>
      <c r="GS21" s="273"/>
      <c r="GT21" s="273"/>
      <c r="GU21" s="273"/>
      <c r="GV21" s="274"/>
      <c r="GW21" s="274"/>
      <c r="GX21" s="273"/>
      <c r="GY21" s="273"/>
      <c r="GZ21" s="273"/>
      <c r="HA21" s="273"/>
      <c r="HB21" s="273"/>
      <c r="HC21" s="209"/>
      <c r="HD21" s="277"/>
      <c r="HE21" s="277"/>
      <c r="HF21" s="277"/>
      <c r="HG21" s="277"/>
      <c r="HH21" s="277"/>
      <c r="HI21" s="277"/>
      <c r="HJ21" s="278"/>
      <c r="HK21" s="277"/>
      <c r="HL21" s="273"/>
      <c r="HM21" s="278"/>
      <c r="HN21" s="273"/>
      <c r="HO21" s="276"/>
      <c r="HP21" s="244"/>
      <c r="HQ21" s="244"/>
      <c r="HR21" s="209"/>
      <c r="HS21" s="209"/>
      <c r="HT21" s="209"/>
      <c r="HU21" s="209"/>
      <c r="HV21" s="277"/>
      <c r="HW21" s="273"/>
      <c r="HX21" s="273"/>
      <c r="HY21" s="273"/>
      <c r="HZ21" s="273"/>
      <c r="IA21" s="273"/>
      <c r="IB21" s="273"/>
      <c r="IC21" s="273"/>
      <c r="ID21" s="273"/>
      <c r="IE21" s="273"/>
      <c r="IF21" s="273"/>
      <c r="IG21" s="273"/>
      <c r="IH21" s="273"/>
      <c r="II21" s="209"/>
      <c r="IJ21" s="277"/>
      <c r="IK21" s="277"/>
      <c r="IL21" s="277"/>
      <c r="IM21" s="277"/>
      <c r="IN21" s="277"/>
      <c r="IO21" s="277"/>
      <c r="IP21" s="278"/>
      <c r="IQ21" s="277"/>
      <c r="IR21" s="273"/>
      <c r="IS21" s="278"/>
      <c r="IT21" s="273"/>
      <c r="IU21" s="276"/>
      <c r="IV21" s="244"/>
      <c r="IW21" s="244"/>
      <c r="IX21" s="272"/>
      <c r="IY21" s="272"/>
      <c r="IZ21" s="272"/>
      <c r="JA21" s="272"/>
      <c r="JB21" s="274"/>
      <c r="JC21" s="273"/>
      <c r="JD21" s="273"/>
      <c r="JE21" s="273"/>
      <c r="JF21" s="273"/>
      <c r="JG21" s="273"/>
      <c r="JH21" s="273"/>
      <c r="JI21" s="273"/>
      <c r="JJ21" s="273"/>
      <c r="JK21" s="273"/>
      <c r="JL21" s="273"/>
      <c r="JM21" s="273"/>
      <c r="JN21" s="273"/>
      <c r="JO21" s="272"/>
      <c r="JP21" s="274"/>
      <c r="JQ21" s="274"/>
      <c r="JR21" s="274"/>
      <c r="JS21" s="274"/>
      <c r="JT21" s="274"/>
      <c r="JU21" s="274"/>
      <c r="JV21" s="275"/>
      <c r="JW21" s="274"/>
      <c r="JX21" s="273"/>
      <c r="JY21" s="275"/>
      <c r="JZ21" s="273"/>
      <c r="KA21" s="276"/>
      <c r="KB21" s="244"/>
      <c r="KC21" s="244"/>
      <c r="KD21" s="209"/>
      <c r="KE21" s="209"/>
      <c r="KF21" s="209"/>
      <c r="KG21" s="209"/>
      <c r="KH21" s="277"/>
      <c r="KI21" s="273"/>
      <c r="KJ21" s="273"/>
      <c r="KK21" s="273"/>
      <c r="KL21" s="273"/>
      <c r="KM21" s="273"/>
      <c r="KN21" s="273"/>
      <c r="KO21" s="273"/>
      <c r="KP21" s="273"/>
      <c r="KQ21" s="273"/>
      <c r="KR21" s="273"/>
      <c r="KS21" s="273"/>
      <c r="KT21" s="273"/>
      <c r="KU21" s="209"/>
      <c r="KV21" s="277"/>
      <c r="KW21" s="277"/>
      <c r="KX21" s="277"/>
      <c r="KY21" s="277"/>
      <c r="KZ21" s="277"/>
      <c r="LA21" s="277"/>
      <c r="LB21" s="278"/>
      <c r="LC21" s="277"/>
      <c r="LD21" s="273"/>
      <c r="LE21" s="278"/>
      <c r="LF21" s="273"/>
      <c r="LG21" s="276"/>
      <c r="LH21" s="244"/>
      <c r="LI21" s="244"/>
      <c r="LJ21" s="209"/>
      <c r="LK21" s="209"/>
      <c r="LL21" s="209"/>
      <c r="LM21" s="209"/>
      <c r="LN21" s="277"/>
      <c r="LO21" s="273"/>
      <c r="LP21" s="273"/>
      <c r="LQ21" s="273"/>
      <c r="LR21" s="273"/>
      <c r="LS21" s="273"/>
      <c r="LT21" s="273"/>
      <c r="LU21" s="273"/>
      <c r="LV21" s="273"/>
      <c r="LW21" s="273"/>
      <c r="LX21" s="273"/>
      <c r="LY21" s="273"/>
      <c r="LZ21" s="273"/>
      <c r="MA21" s="209"/>
      <c r="MB21" s="277"/>
      <c r="MC21" s="277"/>
      <c r="MD21" s="277"/>
      <c r="ME21" s="277"/>
      <c r="MF21" s="277"/>
      <c r="MG21" s="277"/>
      <c r="MH21" s="278"/>
      <c r="MI21" s="277"/>
      <c r="MJ21" s="273"/>
      <c r="MK21" s="278"/>
      <c r="ML21" s="273"/>
      <c r="MM21" s="276"/>
      <c r="MN21" s="244"/>
      <c r="MO21" s="244"/>
      <c r="MP21" s="209"/>
      <c r="MQ21" s="209"/>
      <c r="MR21" s="209"/>
      <c r="MS21" s="209"/>
      <c r="MT21" s="277"/>
      <c r="MU21" s="273"/>
      <c r="MV21" s="273"/>
      <c r="MW21" s="273"/>
      <c r="MX21" s="273"/>
      <c r="MY21" s="273"/>
      <c r="MZ21" s="273"/>
      <c r="NA21" s="273"/>
      <c r="NB21" s="273"/>
      <c r="NC21" s="273"/>
      <c r="ND21" s="273"/>
      <c r="NE21" s="273"/>
      <c r="NF21" s="273"/>
      <c r="NG21" s="209"/>
      <c r="NH21" s="277"/>
      <c r="NI21" s="277"/>
      <c r="NJ21" s="277"/>
      <c r="NK21" s="277"/>
      <c r="NL21" s="277"/>
      <c r="NM21" s="277"/>
      <c r="NN21" s="278"/>
      <c r="NO21" s="277"/>
      <c r="NP21" s="273"/>
      <c r="NQ21" s="278"/>
      <c r="NR21" s="273"/>
      <c r="NS21" s="276"/>
      <c r="NT21" s="277">
        <v>0</v>
      </c>
      <c r="NU21" s="277">
        <v>0</v>
      </c>
      <c r="NV21" s="277">
        <v>0</v>
      </c>
      <c r="NW21" s="277">
        <v>0</v>
      </c>
      <c r="NX21" s="277">
        <v>0</v>
      </c>
      <c r="NY21" s="277">
        <v>0</v>
      </c>
      <c r="NZ21" s="277">
        <v>0</v>
      </c>
      <c r="OA21" s="277">
        <v>0</v>
      </c>
      <c r="OB21" s="277">
        <v>0</v>
      </c>
      <c r="OC21" s="277">
        <v>0</v>
      </c>
      <c r="OD21" s="277">
        <v>0</v>
      </c>
      <c r="OE21" s="277">
        <v>0</v>
      </c>
      <c r="OF21" s="277">
        <v>0</v>
      </c>
      <c r="OG21" s="277">
        <v>0</v>
      </c>
      <c r="OH21" s="277">
        <v>0</v>
      </c>
      <c r="OI21" s="277">
        <v>0</v>
      </c>
      <c r="OJ21" s="277">
        <v>0</v>
      </c>
      <c r="OK21" s="277">
        <v>0</v>
      </c>
      <c r="OL21" s="277">
        <v>0</v>
      </c>
      <c r="OM21" s="277">
        <v>0</v>
      </c>
      <c r="ON21" s="277">
        <v>0</v>
      </c>
      <c r="OO21" s="277">
        <v>0</v>
      </c>
      <c r="OP21" s="277">
        <v>0</v>
      </c>
      <c r="OQ21" s="277">
        <v>0</v>
      </c>
      <c r="OR21" s="277">
        <v>0</v>
      </c>
      <c r="OS21" s="277">
        <v>0</v>
      </c>
      <c r="OT21" s="277">
        <v>0</v>
      </c>
      <c r="OU21" s="277">
        <v>0</v>
      </c>
      <c r="OV21" s="277">
        <v>0</v>
      </c>
      <c r="OW21" s="277">
        <v>0</v>
      </c>
      <c r="OX21" s="277">
        <v>0</v>
      </c>
      <c r="OY21" s="276">
        <f t="shared" si="9"/>
        <v>0</v>
      </c>
      <c r="OZ21" s="277">
        <v>0</v>
      </c>
      <c r="PA21" s="277">
        <v>0</v>
      </c>
      <c r="PB21" s="277">
        <v>0</v>
      </c>
      <c r="PC21" s="277">
        <v>0</v>
      </c>
      <c r="PD21" s="277">
        <v>0</v>
      </c>
      <c r="PE21" s="277">
        <v>0</v>
      </c>
      <c r="PF21" s="277">
        <v>0</v>
      </c>
      <c r="PG21" s="277">
        <v>0</v>
      </c>
      <c r="PH21" s="277">
        <v>0</v>
      </c>
      <c r="PI21" s="277">
        <v>0</v>
      </c>
      <c r="PJ21" s="277">
        <v>0</v>
      </c>
      <c r="PK21" s="277">
        <v>0</v>
      </c>
      <c r="PL21" s="277">
        <v>0</v>
      </c>
      <c r="PM21" s="277">
        <v>0</v>
      </c>
      <c r="PN21" s="277">
        <v>0</v>
      </c>
      <c r="PO21" s="277">
        <v>0</v>
      </c>
      <c r="PP21" s="277">
        <v>0</v>
      </c>
      <c r="PQ21" s="277">
        <v>0</v>
      </c>
      <c r="PR21" s="277">
        <v>0</v>
      </c>
      <c r="PS21" s="277">
        <v>0</v>
      </c>
      <c r="PT21" s="277">
        <v>0</v>
      </c>
      <c r="PU21" s="277">
        <v>0</v>
      </c>
      <c r="PV21" s="277">
        <v>0</v>
      </c>
      <c r="PW21" s="277">
        <v>0</v>
      </c>
      <c r="PX21" s="277">
        <v>0</v>
      </c>
      <c r="PY21" s="277">
        <v>0</v>
      </c>
      <c r="PZ21" s="277">
        <v>0</v>
      </c>
      <c r="QA21" s="277">
        <v>0</v>
      </c>
      <c r="QB21" s="277">
        <v>0</v>
      </c>
      <c r="QC21" s="277">
        <v>0</v>
      </c>
      <c r="QD21" s="276">
        <f t="shared" si="10"/>
        <v>0</v>
      </c>
      <c r="QE21" s="277">
        <v>0</v>
      </c>
      <c r="QF21" s="277">
        <v>0</v>
      </c>
      <c r="QG21" s="277">
        <v>0</v>
      </c>
      <c r="QH21" s="277">
        <v>0</v>
      </c>
      <c r="QI21" s="277">
        <v>0</v>
      </c>
      <c r="QJ21" s="277">
        <v>0</v>
      </c>
      <c r="QK21" s="277">
        <v>0</v>
      </c>
      <c r="QL21" s="277">
        <v>0</v>
      </c>
      <c r="QM21" s="277">
        <v>0</v>
      </c>
      <c r="QN21" s="277">
        <v>0</v>
      </c>
      <c r="QO21" s="277">
        <v>0</v>
      </c>
      <c r="QP21" s="277">
        <v>0</v>
      </c>
      <c r="QQ21" s="277">
        <v>0</v>
      </c>
      <c r="QR21" s="277">
        <v>0</v>
      </c>
      <c r="QS21" s="277">
        <v>0</v>
      </c>
      <c r="QT21" s="277">
        <v>0</v>
      </c>
      <c r="QU21" s="277">
        <v>0</v>
      </c>
      <c r="QV21" s="277">
        <v>0</v>
      </c>
      <c r="QW21" s="277">
        <v>0</v>
      </c>
      <c r="QX21" s="277">
        <v>0</v>
      </c>
      <c r="QY21" s="277">
        <v>0</v>
      </c>
      <c r="QZ21" s="277">
        <v>0</v>
      </c>
      <c r="RA21" s="277">
        <v>0</v>
      </c>
      <c r="RB21" s="277">
        <v>0</v>
      </c>
      <c r="RC21" s="277">
        <v>0</v>
      </c>
      <c r="RD21" s="277">
        <v>0</v>
      </c>
      <c r="RE21" s="277">
        <v>0</v>
      </c>
      <c r="RF21" s="277">
        <v>0</v>
      </c>
      <c r="RG21" s="277">
        <v>0</v>
      </c>
      <c r="RH21" s="277">
        <v>0</v>
      </c>
      <c r="RI21" s="277">
        <v>0</v>
      </c>
      <c r="RJ21" s="276">
        <v>0</v>
      </c>
      <c r="RK21" s="277">
        <v>0</v>
      </c>
      <c r="RL21" s="277">
        <v>0</v>
      </c>
      <c r="RM21" s="277">
        <v>0</v>
      </c>
      <c r="RN21" s="277">
        <v>0</v>
      </c>
      <c r="RO21" s="277">
        <v>0</v>
      </c>
      <c r="RP21" s="277">
        <v>0</v>
      </c>
      <c r="RQ21" s="277">
        <v>0</v>
      </c>
      <c r="RR21" s="277">
        <v>0</v>
      </c>
      <c r="RS21" s="277">
        <v>0</v>
      </c>
      <c r="RT21" s="277">
        <v>0</v>
      </c>
      <c r="RU21" s="277">
        <v>0</v>
      </c>
      <c r="RV21" s="277">
        <v>0</v>
      </c>
      <c r="RW21" s="277">
        <v>0</v>
      </c>
      <c r="RX21" s="277">
        <v>0</v>
      </c>
      <c r="RY21" s="277">
        <v>0</v>
      </c>
      <c r="RZ21" s="277">
        <v>0</v>
      </c>
      <c r="SA21" s="277">
        <v>0</v>
      </c>
      <c r="SB21" s="277">
        <v>0</v>
      </c>
      <c r="SC21" s="443">
        <v>7300</v>
      </c>
      <c r="SD21" s="443">
        <v>7300</v>
      </c>
      <c r="SE21" s="443">
        <v>7300</v>
      </c>
      <c r="SF21" s="443">
        <v>5500</v>
      </c>
      <c r="SG21" s="443">
        <v>7300</v>
      </c>
      <c r="SH21" s="443">
        <v>7300</v>
      </c>
      <c r="SI21" s="443">
        <v>7300</v>
      </c>
      <c r="SJ21" s="443">
        <v>5200</v>
      </c>
      <c r="SK21" s="277">
        <v>0</v>
      </c>
      <c r="SL21" s="277">
        <v>0</v>
      </c>
      <c r="SM21" s="277">
        <v>0</v>
      </c>
      <c r="SN21" s="277">
        <v>0</v>
      </c>
      <c r="SO21" s="235">
        <v>54500</v>
      </c>
      <c r="SP21" s="277">
        <v>0</v>
      </c>
      <c r="SQ21" s="277">
        <v>0</v>
      </c>
      <c r="SR21" s="277">
        <v>0</v>
      </c>
      <c r="SS21" s="277">
        <v>0</v>
      </c>
      <c r="ST21" s="277">
        <v>0</v>
      </c>
      <c r="SU21" s="277">
        <v>0</v>
      </c>
      <c r="SV21" s="277">
        <v>0</v>
      </c>
      <c r="SW21" s="277">
        <v>0</v>
      </c>
      <c r="SX21" s="277">
        <v>0</v>
      </c>
      <c r="SY21" s="277">
        <v>0</v>
      </c>
      <c r="SZ21" s="277">
        <v>0</v>
      </c>
      <c r="TA21" s="277">
        <v>0</v>
      </c>
      <c r="TB21" s="277">
        <v>0</v>
      </c>
      <c r="TC21" s="277">
        <v>0</v>
      </c>
      <c r="TD21" s="277">
        <v>0</v>
      </c>
      <c r="TE21" s="277">
        <v>0</v>
      </c>
      <c r="TF21" s="277">
        <v>0</v>
      </c>
      <c r="TG21" s="277">
        <v>0</v>
      </c>
      <c r="TH21" s="277">
        <v>0</v>
      </c>
      <c r="TI21" s="277">
        <v>0</v>
      </c>
      <c r="TJ21" s="277">
        <v>0</v>
      </c>
      <c r="TK21" s="277">
        <v>0</v>
      </c>
      <c r="TL21" s="277">
        <v>0</v>
      </c>
      <c r="TM21" s="277">
        <v>0</v>
      </c>
      <c r="TN21" s="277">
        <v>0</v>
      </c>
      <c r="TO21" s="277">
        <v>0</v>
      </c>
      <c r="TP21" s="277">
        <v>0</v>
      </c>
      <c r="TQ21" s="277">
        <v>0</v>
      </c>
      <c r="TR21" s="277">
        <v>0</v>
      </c>
      <c r="TS21" s="277">
        <v>0</v>
      </c>
      <c r="TT21" s="277">
        <v>0</v>
      </c>
      <c r="TU21" s="235">
        <v>0</v>
      </c>
      <c r="TV21" s="277">
        <v>0</v>
      </c>
      <c r="TW21" s="277">
        <v>0</v>
      </c>
      <c r="TX21" s="277">
        <v>0</v>
      </c>
      <c r="TY21" s="277">
        <v>0</v>
      </c>
      <c r="TZ21" s="277">
        <v>0</v>
      </c>
      <c r="UA21" s="277">
        <v>0</v>
      </c>
      <c r="UB21" s="277">
        <v>0</v>
      </c>
      <c r="UC21" s="277">
        <v>0</v>
      </c>
      <c r="UD21" s="277">
        <v>0</v>
      </c>
      <c r="UE21" s="277">
        <v>0</v>
      </c>
      <c r="UF21" s="277">
        <v>0</v>
      </c>
      <c r="UG21" s="277">
        <v>0</v>
      </c>
      <c r="UH21" s="277">
        <v>0</v>
      </c>
      <c r="UI21" s="277">
        <v>0</v>
      </c>
      <c r="UJ21" s="277">
        <v>0</v>
      </c>
      <c r="UK21" s="277">
        <v>0</v>
      </c>
      <c r="UL21" s="277">
        <v>0</v>
      </c>
      <c r="UM21" s="277">
        <v>0</v>
      </c>
      <c r="UN21" s="277">
        <v>0</v>
      </c>
      <c r="UO21" s="277">
        <v>0</v>
      </c>
      <c r="UP21" s="277">
        <v>0</v>
      </c>
      <c r="UQ21" s="277">
        <v>0</v>
      </c>
      <c r="UR21" s="277">
        <v>0</v>
      </c>
      <c r="US21" s="277">
        <v>0</v>
      </c>
      <c r="UT21" s="277">
        <v>0</v>
      </c>
      <c r="UU21" s="277">
        <v>0</v>
      </c>
      <c r="UV21" s="277">
        <v>0</v>
      </c>
      <c r="UW21" s="277">
        <v>0</v>
      </c>
      <c r="UX21" s="277">
        <v>0</v>
      </c>
      <c r="UY21" s="277">
        <v>0</v>
      </c>
      <c r="UZ21" s="277">
        <v>0</v>
      </c>
      <c r="VA21" s="235">
        <v>0</v>
      </c>
      <c r="VB21" s="277">
        <v>0</v>
      </c>
      <c r="VC21" s="277">
        <v>0</v>
      </c>
      <c r="VD21" s="277">
        <v>0</v>
      </c>
      <c r="VE21" s="277">
        <v>0</v>
      </c>
      <c r="VF21" s="277">
        <v>0</v>
      </c>
      <c r="VG21" s="277">
        <v>0</v>
      </c>
      <c r="VH21" s="277">
        <v>0</v>
      </c>
      <c r="VI21" s="277">
        <v>0</v>
      </c>
      <c r="VJ21" s="277">
        <v>0</v>
      </c>
      <c r="VK21" s="277">
        <v>0</v>
      </c>
      <c r="VL21" s="277">
        <v>0</v>
      </c>
      <c r="VM21" s="277">
        <v>0</v>
      </c>
      <c r="VN21" s="277">
        <v>0</v>
      </c>
      <c r="VO21" s="277">
        <v>0</v>
      </c>
      <c r="VP21" s="277">
        <v>0</v>
      </c>
      <c r="VQ21" s="277">
        <v>0</v>
      </c>
      <c r="VR21" s="277">
        <v>0</v>
      </c>
      <c r="VS21" s="277">
        <v>0</v>
      </c>
      <c r="VT21" s="277">
        <v>0</v>
      </c>
      <c r="VU21" s="277">
        <v>0</v>
      </c>
      <c r="VV21" s="277">
        <v>0</v>
      </c>
      <c r="VW21" s="277">
        <v>0</v>
      </c>
      <c r="VX21" s="277">
        <v>0</v>
      </c>
      <c r="VY21" s="277">
        <v>0</v>
      </c>
      <c r="VZ21" s="277">
        <v>0</v>
      </c>
      <c r="WA21" s="277">
        <v>0</v>
      </c>
      <c r="WB21" s="277">
        <v>0</v>
      </c>
      <c r="WC21" s="277">
        <v>0</v>
      </c>
      <c r="WD21" s="277">
        <v>0</v>
      </c>
      <c r="WE21" s="277">
        <v>0</v>
      </c>
      <c r="WF21" s="235">
        <v>0</v>
      </c>
      <c r="WG21" s="277">
        <v>0</v>
      </c>
      <c r="WH21" s="277">
        <v>0</v>
      </c>
      <c r="WI21" s="277">
        <v>0</v>
      </c>
      <c r="WJ21" s="277">
        <v>0</v>
      </c>
      <c r="WK21" s="277">
        <v>0</v>
      </c>
      <c r="WL21" s="277">
        <v>0</v>
      </c>
      <c r="WM21" s="277">
        <v>0</v>
      </c>
      <c r="WN21" s="277">
        <v>0</v>
      </c>
      <c r="WO21" s="277">
        <v>0</v>
      </c>
      <c r="WP21" s="277">
        <v>0</v>
      </c>
      <c r="WQ21" s="277">
        <v>0</v>
      </c>
      <c r="WR21" s="277">
        <v>0</v>
      </c>
      <c r="WS21" s="277">
        <v>0</v>
      </c>
      <c r="WT21" s="277">
        <v>0</v>
      </c>
      <c r="WU21" s="277">
        <v>0</v>
      </c>
      <c r="WV21" s="277">
        <v>0</v>
      </c>
      <c r="WW21" s="277">
        <v>0</v>
      </c>
      <c r="WX21" s="277">
        <v>0</v>
      </c>
      <c r="WY21" s="277">
        <v>0</v>
      </c>
      <c r="WZ21" s="277">
        <v>0</v>
      </c>
      <c r="XA21" s="277">
        <v>0</v>
      </c>
      <c r="XB21" s="277">
        <v>0</v>
      </c>
      <c r="XC21" s="277">
        <v>0</v>
      </c>
      <c r="XD21" s="277">
        <v>0</v>
      </c>
      <c r="XE21" s="277">
        <v>0</v>
      </c>
      <c r="XF21" s="277">
        <v>0</v>
      </c>
      <c r="XG21" s="277">
        <v>0</v>
      </c>
      <c r="XH21" s="277">
        <v>0</v>
      </c>
      <c r="XI21" s="277">
        <v>0</v>
      </c>
      <c r="XJ21" s="277">
        <v>0</v>
      </c>
      <c r="XK21" s="277">
        <v>0</v>
      </c>
      <c r="XL21" s="235">
        <v>0</v>
      </c>
      <c r="XM21" s="277">
        <v>0</v>
      </c>
      <c r="XN21" s="277">
        <v>0</v>
      </c>
      <c r="XO21" s="277">
        <v>0</v>
      </c>
      <c r="XP21" s="277">
        <v>0</v>
      </c>
      <c r="XQ21" s="277">
        <v>0</v>
      </c>
      <c r="XR21" s="277">
        <v>0</v>
      </c>
      <c r="XS21" s="277">
        <v>0</v>
      </c>
      <c r="XT21" s="277">
        <v>0</v>
      </c>
      <c r="XU21" s="277">
        <v>0</v>
      </c>
      <c r="XV21" s="277">
        <v>0</v>
      </c>
      <c r="XW21" s="277">
        <v>0</v>
      </c>
      <c r="XX21" s="277">
        <v>0</v>
      </c>
      <c r="XY21" s="277">
        <v>0</v>
      </c>
      <c r="XZ21" s="277">
        <v>0</v>
      </c>
      <c r="YA21" s="277">
        <v>0</v>
      </c>
      <c r="YB21" s="277">
        <v>0</v>
      </c>
      <c r="YC21" s="277">
        <v>0</v>
      </c>
      <c r="YD21" s="277">
        <v>0</v>
      </c>
      <c r="YE21" s="277">
        <v>0</v>
      </c>
      <c r="YF21" s="277">
        <v>0</v>
      </c>
      <c r="YG21" s="277">
        <v>0</v>
      </c>
      <c r="YH21" s="277">
        <v>0</v>
      </c>
      <c r="YI21" s="277">
        <v>0</v>
      </c>
      <c r="YJ21" s="277">
        <v>0</v>
      </c>
      <c r="YK21" s="277">
        <v>0</v>
      </c>
      <c r="YL21" s="277">
        <v>0</v>
      </c>
      <c r="YM21" s="277">
        <v>0</v>
      </c>
      <c r="YN21" s="277">
        <v>0</v>
      </c>
      <c r="YO21" s="277">
        <v>0</v>
      </c>
      <c r="YP21" s="277">
        <v>0</v>
      </c>
      <c r="YQ21" s="277">
        <v>0</v>
      </c>
      <c r="YR21" s="235">
        <v>0</v>
      </c>
      <c r="YS21" s="277">
        <v>0</v>
      </c>
      <c r="YT21" s="277">
        <v>0</v>
      </c>
      <c r="YU21" s="277">
        <v>0</v>
      </c>
      <c r="YV21" s="277">
        <v>0</v>
      </c>
      <c r="YW21" s="277">
        <v>0</v>
      </c>
      <c r="YX21" s="277">
        <v>0</v>
      </c>
      <c r="YY21" s="277">
        <v>0</v>
      </c>
      <c r="YZ21" s="277">
        <v>0</v>
      </c>
      <c r="ZA21" s="277">
        <v>0</v>
      </c>
      <c r="ZB21" s="277">
        <v>0</v>
      </c>
      <c r="ZC21" s="277">
        <v>0</v>
      </c>
      <c r="ZD21" s="277">
        <v>0</v>
      </c>
      <c r="ZE21" s="277">
        <v>0</v>
      </c>
      <c r="ZF21" s="277">
        <v>0</v>
      </c>
      <c r="ZG21" s="277">
        <v>0</v>
      </c>
      <c r="ZH21" s="277">
        <v>0</v>
      </c>
      <c r="ZI21" s="277">
        <v>0</v>
      </c>
      <c r="ZJ21" s="277">
        <v>0</v>
      </c>
      <c r="ZK21" s="277">
        <v>0</v>
      </c>
      <c r="ZL21" s="277">
        <v>0</v>
      </c>
      <c r="ZM21" s="277">
        <v>0</v>
      </c>
      <c r="ZN21" s="277">
        <v>0</v>
      </c>
      <c r="ZO21" s="277">
        <v>0</v>
      </c>
      <c r="ZP21" s="277">
        <v>0</v>
      </c>
      <c r="ZQ21" s="277">
        <v>0</v>
      </c>
      <c r="ZR21" s="277">
        <v>0</v>
      </c>
      <c r="ZS21" s="277">
        <v>0</v>
      </c>
      <c r="ZT21" s="277">
        <v>0</v>
      </c>
      <c r="ZU21" s="277">
        <v>0</v>
      </c>
      <c r="ZV21" s="277">
        <v>0</v>
      </c>
      <c r="ZW21" s="277">
        <v>0</v>
      </c>
      <c r="ZX21" s="235">
        <v>0</v>
      </c>
    </row>
    <row r="22" spans="2:1391" s="243" customFormat="1" ht="15" hidden="1" customHeight="1">
      <c r="B22" s="253" t="s">
        <v>371</v>
      </c>
      <c r="C22" s="384">
        <v>0</v>
      </c>
      <c r="D22" s="384">
        <v>0</v>
      </c>
      <c r="E22" s="384">
        <v>0</v>
      </c>
      <c r="F22" s="384">
        <v>0</v>
      </c>
      <c r="G22" s="384">
        <v>0</v>
      </c>
      <c r="H22" s="384">
        <v>0</v>
      </c>
      <c r="I22" s="384">
        <v>0</v>
      </c>
      <c r="J22" s="384">
        <v>0</v>
      </c>
      <c r="K22" s="384">
        <v>0</v>
      </c>
      <c r="L22" s="384">
        <v>0</v>
      </c>
      <c r="M22" s="384">
        <v>0</v>
      </c>
      <c r="N22" s="384">
        <v>0</v>
      </c>
      <c r="O22" s="384">
        <v>0</v>
      </c>
      <c r="P22" s="384">
        <v>0</v>
      </c>
      <c r="Q22" s="384">
        <v>0</v>
      </c>
      <c r="R22" s="384">
        <v>0</v>
      </c>
      <c r="S22" s="384">
        <v>0</v>
      </c>
      <c r="T22" s="384">
        <v>0</v>
      </c>
      <c r="U22" s="384">
        <v>0</v>
      </c>
      <c r="V22" s="384">
        <v>0</v>
      </c>
      <c r="W22" s="384">
        <v>0</v>
      </c>
      <c r="X22" s="384">
        <v>0</v>
      </c>
      <c r="Y22" s="384">
        <v>0</v>
      </c>
      <c r="Z22" s="384">
        <v>0</v>
      </c>
      <c r="AA22" s="384">
        <v>0</v>
      </c>
      <c r="AB22" s="384">
        <v>0</v>
      </c>
      <c r="AC22" s="384">
        <v>0</v>
      </c>
      <c r="AD22" s="384">
        <v>0</v>
      </c>
      <c r="AE22" s="384">
        <v>0</v>
      </c>
      <c r="AF22" s="384">
        <v>0</v>
      </c>
      <c r="AG22" s="384">
        <v>0</v>
      </c>
      <c r="AH22" s="276">
        <f t="shared" si="28"/>
        <v>0</v>
      </c>
      <c r="AI22" s="244"/>
      <c r="AJ22" s="244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3"/>
      <c r="AV22" s="274"/>
      <c r="AW22" s="273"/>
      <c r="AX22" s="273"/>
      <c r="AY22" s="273"/>
      <c r="AZ22" s="273"/>
      <c r="BA22" s="273"/>
      <c r="BB22" s="275"/>
      <c r="BC22" s="274"/>
      <c r="BD22" s="274"/>
      <c r="BE22" s="274"/>
      <c r="BF22" s="274"/>
      <c r="BG22" s="274"/>
      <c r="BH22" s="274"/>
      <c r="BI22" s="275"/>
      <c r="BJ22" s="275"/>
      <c r="BK22" s="276"/>
      <c r="BL22" s="244"/>
      <c r="BM22" s="244"/>
      <c r="BN22" s="209"/>
      <c r="BO22" s="209"/>
      <c r="BP22" s="209"/>
      <c r="BQ22" s="209"/>
      <c r="BR22" s="277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09"/>
      <c r="CF22" s="277"/>
      <c r="CG22" s="277"/>
      <c r="CH22" s="277"/>
      <c r="CI22" s="277"/>
      <c r="CJ22" s="277"/>
      <c r="CK22" s="277"/>
      <c r="CL22" s="278"/>
      <c r="CM22" s="277"/>
      <c r="CN22" s="273"/>
      <c r="CO22" s="278"/>
      <c r="CP22" s="273"/>
      <c r="CQ22" s="276"/>
      <c r="CR22" s="244"/>
      <c r="CS22" s="244"/>
      <c r="CT22" s="209"/>
      <c r="CU22" s="209"/>
      <c r="CV22" s="209"/>
      <c r="CW22" s="209"/>
      <c r="CX22" s="277"/>
      <c r="CY22" s="273"/>
      <c r="CZ22" s="273"/>
      <c r="DA22" s="273"/>
      <c r="DB22" s="273"/>
      <c r="DC22" s="273"/>
      <c r="DD22" s="273"/>
      <c r="DE22" s="273"/>
      <c r="DF22" s="273"/>
      <c r="DG22" s="273"/>
      <c r="DH22" s="273"/>
      <c r="DI22" s="273"/>
      <c r="DJ22" s="273"/>
      <c r="DK22" s="209"/>
      <c r="DL22" s="277"/>
      <c r="DM22" s="277"/>
      <c r="DN22" s="277"/>
      <c r="DO22" s="277"/>
      <c r="DP22" s="277"/>
      <c r="DQ22" s="277"/>
      <c r="DR22" s="278"/>
      <c r="DS22" s="277"/>
      <c r="DT22" s="273"/>
      <c r="DU22" s="278"/>
      <c r="DV22" s="273"/>
      <c r="DW22" s="276"/>
      <c r="DX22" s="244"/>
      <c r="DY22" s="244"/>
      <c r="DZ22" s="209"/>
      <c r="EA22" s="209"/>
      <c r="EB22" s="209"/>
      <c r="EC22" s="209"/>
      <c r="ED22" s="281"/>
      <c r="EE22" s="277"/>
      <c r="EF22" s="277"/>
      <c r="EG22" s="277"/>
      <c r="EH22" s="281"/>
      <c r="EI22" s="273"/>
      <c r="EJ22" s="273"/>
      <c r="EK22" s="273"/>
      <c r="EL22" s="273"/>
      <c r="EM22" s="273"/>
      <c r="EN22" s="273"/>
      <c r="EO22" s="273"/>
      <c r="EP22" s="273"/>
      <c r="EQ22" s="209"/>
      <c r="ER22" s="277"/>
      <c r="ES22" s="273"/>
      <c r="ET22" s="274"/>
      <c r="EU22" s="273"/>
      <c r="EV22" s="273"/>
      <c r="EW22" s="273"/>
      <c r="EX22" s="274"/>
      <c r="EY22" s="274"/>
      <c r="EZ22" s="273"/>
      <c r="FA22" s="278"/>
      <c r="FB22" s="273"/>
      <c r="FC22" s="276"/>
      <c r="FD22" s="244"/>
      <c r="FE22" s="244"/>
      <c r="FF22" s="209"/>
      <c r="FG22" s="209"/>
      <c r="FH22" s="209"/>
      <c r="FI22" s="209"/>
      <c r="FJ22" s="277"/>
      <c r="FK22" s="273"/>
      <c r="FL22" s="273"/>
      <c r="FM22" s="273"/>
      <c r="FN22" s="273"/>
      <c r="FO22" s="273"/>
      <c r="FP22" s="273"/>
      <c r="FQ22" s="273"/>
      <c r="FR22" s="273"/>
      <c r="FS22" s="273"/>
      <c r="FT22" s="273"/>
      <c r="FU22" s="273"/>
      <c r="FV22" s="273"/>
      <c r="FW22" s="209"/>
      <c r="FX22" s="277"/>
      <c r="FY22" s="277"/>
      <c r="FZ22" s="277"/>
      <c r="GA22" s="277"/>
      <c r="GB22" s="277"/>
      <c r="GC22" s="277"/>
      <c r="GD22" s="278"/>
      <c r="GE22" s="277"/>
      <c r="GF22" s="273"/>
      <c r="GG22" s="278"/>
      <c r="GH22" s="273"/>
      <c r="GI22" s="276"/>
      <c r="GJ22" s="244"/>
      <c r="GK22" s="244"/>
      <c r="GL22" s="209"/>
      <c r="GM22" s="209"/>
      <c r="GN22" s="209"/>
      <c r="GO22" s="209"/>
      <c r="GP22" s="277"/>
      <c r="GQ22" s="273"/>
      <c r="GR22" s="274"/>
      <c r="GS22" s="273"/>
      <c r="GT22" s="273"/>
      <c r="GU22" s="273"/>
      <c r="GV22" s="274"/>
      <c r="GW22" s="274"/>
      <c r="GX22" s="273"/>
      <c r="GY22" s="273"/>
      <c r="GZ22" s="273"/>
      <c r="HA22" s="273"/>
      <c r="HB22" s="273"/>
      <c r="HC22" s="209"/>
      <c r="HD22" s="277"/>
      <c r="HE22" s="277"/>
      <c r="HF22" s="277"/>
      <c r="HG22" s="277"/>
      <c r="HH22" s="277"/>
      <c r="HI22" s="277"/>
      <c r="HJ22" s="278"/>
      <c r="HK22" s="277"/>
      <c r="HL22" s="273"/>
      <c r="HM22" s="278"/>
      <c r="HN22" s="273"/>
      <c r="HO22" s="276"/>
      <c r="HP22" s="244"/>
      <c r="HQ22" s="244"/>
      <c r="HR22" s="209"/>
      <c r="HS22" s="209"/>
      <c r="HT22" s="209"/>
      <c r="HU22" s="209"/>
      <c r="HV22" s="277"/>
      <c r="HW22" s="273"/>
      <c r="HX22" s="273"/>
      <c r="HY22" s="273"/>
      <c r="HZ22" s="273"/>
      <c r="IA22" s="273"/>
      <c r="IB22" s="273"/>
      <c r="IC22" s="273"/>
      <c r="ID22" s="273"/>
      <c r="IE22" s="273"/>
      <c r="IF22" s="273"/>
      <c r="IG22" s="273"/>
      <c r="IH22" s="273"/>
      <c r="II22" s="209"/>
      <c r="IJ22" s="277"/>
      <c r="IK22" s="277"/>
      <c r="IL22" s="277"/>
      <c r="IM22" s="277"/>
      <c r="IN22" s="277"/>
      <c r="IO22" s="277"/>
      <c r="IP22" s="278"/>
      <c r="IQ22" s="277"/>
      <c r="IR22" s="273"/>
      <c r="IS22" s="278"/>
      <c r="IT22" s="273"/>
      <c r="IU22" s="276"/>
      <c r="IV22" s="244"/>
      <c r="IW22" s="244"/>
      <c r="IX22" s="272"/>
      <c r="IY22" s="272"/>
      <c r="IZ22" s="272"/>
      <c r="JA22" s="272"/>
      <c r="JB22" s="274"/>
      <c r="JC22" s="273"/>
      <c r="JD22" s="273"/>
      <c r="JE22" s="273"/>
      <c r="JF22" s="273"/>
      <c r="JG22" s="273"/>
      <c r="JH22" s="273"/>
      <c r="JI22" s="273"/>
      <c r="JJ22" s="273"/>
      <c r="JK22" s="273"/>
      <c r="JL22" s="273"/>
      <c r="JM22" s="273"/>
      <c r="JN22" s="273"/>
      <c r="JO22" s="272"/>
      <c r="JP22" s="274"/>
      <c r="JQ22" s="274"/>
      <c r="JR22" s="274"/>
      <c r="JS22" s="274"/>
      <c r="JT22" s="274"/>
      <c r="JU22" s="274"/>
      <c r="JV22" s="275"/>
      <c r="JW22" s="274"/>
      <c r="JX22" s="273"/>
      <c r="JY22" s="275"/>
      <c r="JZ22" s="273"/>
      <c r="KA22" s="276"/>
      <c r="KB22" s="244"/>
      <c r="KC22" s="244"/>
      <c r="KD22" s="209"/>
      <c r="KE22" s="209"/>
      <c r="KF22" s="209"/>
      <c r="KG22" s="209"/>
      <c r="KH22" s="277"/>
      <c r="KI22" s="273"/>
      <c r="KJ22" s="273"/>
      <c r="KK22" s="273"/>
      <c r="KL22" s="273"/>
      <c r="KM22" s="273"/>
      <c r="KN22" s="273"/>
      <c r="KO22" s="273"/>
      <c r="KP22" s="273"/>
      <c r="KQ22" s="273"/>
      <c r="KR22" s="273"/>
      <c r="KS22" s="273"/>
      <c r="KT22" s="273"/>
      <c r="KU22" s="209"/>
      <c r="KV22" s="277"/>
      <c r="KW22" s="277"/>
      <c r="KX22" s="277"/>
      <c r="KY22" s="277"/>
      <c r="KZ22" s="277"/>
      <c r="LA22" s="277"/>
      <c r="LB22" s="278"/>
      <c r="LC22" s="277"/>
      <c r="LD22" s="273"/>
      <c r="LE22" s="278"/>
      <c r="LF22" s="273"/>
      <c r="LG22" s="276"/>
      <c r="LH22" s="244"/>
      <c r="LI22" s="244"/>
      <c r="LJ22" s="209"/>
      <c r="LK22" s="209"/>
      <c r="LL22" s="209"/>
      <c r="LM22" s="209"/>
      <c r="LN22" s="277"/>
      <c r="LO22" s="273"/>
      <c r="LP22" s="273"/>
      <c r="LQ22" s="273"/>
      <c r="LR22" s="273"/>
      <c r="LS22" s="273"/>
      <c r="LT22" s="273"/>
      <c r="LU22" s="273"/>
      <c r="LV22" s="273"/>
      <c r="LW22" s="273"/>
      <c r="LX22" s="273"/>
      <c r="LY22" s="273"/>
      <c r="LZ22" s="273"/>
      <c r="MA22" s="209"/>
      <c r="MB22" s="277"/>
      <c r="MC22" s="277"/>
      <c r="MD22" s="277"/>
      <c r="ME22" s="277"/>
      <c r="MF22" s="277"/>
      <c r="MG22" s="277"/>
      <c r="MH22" s="278"/>
      <c r="MI22" s="277"/>
      <c r="MJ22" s="273"/>
      <c r="MK22" s="278"/>
      <c r="ML22" s="273"/>
      <c r="MM22" s="276"/>
      <c r="MN22" s="244"/>
      <c r="MO22" s="244"/>
      <c r="MP22" s="209"/>
      <c r="MQ22" s="209"/>
      <c r="MR22" s="209"/>
      <c r="MS22" s="209"/>
      <c r="MT22" s="277"/>
      <c r="MU22" s="273"/>
      <c r="MV22" s="273"/>
      <c r="MW22" s="273"/>
      <c r="MX22" s="273"/>
      <c r="MY22" s="273"/>
      <c r="MZ22" s="273"/>
      <c r="NA22" s="273"/>
      <c r="NB22" s="273"/>
      <c r="NC22" s="273"/>
      <c r="ND22" s="273"/>
      <c r="NE22" s="273"/>
      <c r="NF22" s="273"/>
      <c r="NG22" s="209"/>
      <c r="NH22" s="277"/>
      <c r="NI22" s="277"/>
      <c r="NJ22" s="277"/>
      <c r="NK22" s="277"/>
      <c r="NL22" s="277"/>
      <c r="NM22" s="277"/>
      <c r="NN22" s="278"/>
      <c r="NO22" s="277"/>
      <c r="NP22" s="273"/>
      <c r="NQ22" s="278"/>
      <c r="NR22" s="273"/>
      <c r="NS22" s="276"/>
      <c r="NT22" s="384">
        <v>0</v>
      </c>
      <c r="NU22" s="384">
        <v>0</v>
      </c>
      <c r="NV22" s="384">
        <v>0</v>
      </c>
      <c r="NW22" s="384">
        <v>0</v>
      </c>
      <c r="NX22" s="384">
        <v>0</v>
      </c>
      <c r="NY22" s="384">
        <v>0</v>
      </c>
      <c r="NZ22" s="384">
        <v>0</v>
      </c>
      <c r="OA22" s="384">
        <v>0</v>
      </c>
      <c r="OB22" s="384">
        <v>0</v>
      </c>
      <c r="OC22" s="384">
        <v>0</v>
      </c>
      <c r="OD22" s="384">
        <v>0</v>
      </c>
      <c r="OE22" s="384">
        <v>0</v>
      </c>
      <c r="OF22" s="384">
        <v>0</v>
      </c>
      <c r="OG22" s="384">
        <v>0</v>
      </c>
      <c r="OH22" s="384">
        <v>0</v>
      </c>
      <c r="OI22" s="384">
        <v>0</v>
      </c>
      <c r="OJ22" s="384">
        <v>0</v>
      </c>
      <c r="OK22" s="384">
        <v>0</v>
      </c>
      <c r="OL22" s="384">
        <v>0</v>
      </c>
      <c r="OM22" s="384">
        <v>0</v>
      </c>
      <c r="ON22" s="384">
        <v>0</v>
      </c>
      <c r="OO22" s="384">
        <v>0</v>
      </c>
      <c r="OP22" s="384">
        <v>0</v>
      </c>
      <c r="OQ22" s="384">
        <v>0</v>
      </c>
      <c r="OR22" s="384">
        <v>0</v>
      </c>
      <c r="OS22" s="384">
        <v>0</v>
      </c>
      <c r="OT22" s="384">
        <v>0</v>
      </c>
      <c r="OU22" s="384">
        <v>0</v>
      </c>
      <c r="OV22" s="384">
        <v>0</v>
      </c>
      <c r="OW22" s="384">
        <v>0</v>
      </c>
      <c r="OX22" s="384">
        <v>0</v>
      </c>
      <c r="OY22" s="276">
        <f t="shared" si="9"/>
        <v>0</v>
      </c>
      <c r="OZ22" s="384">
        <v>0</v>
      </c>
      <c r="PA22" s="384">
        <v>0</v>
      </c>
      <c r="PB22" s="384">
        <v>0</v>
      </c>
      <c r="PC22" s="384">
        <v>0</v>
      </c>
      <c r="PD22" s="384">
        <v>0</v>
      </c>
      <c r="PE22" s="384">
        <v>0</v>
      </c>
      <c r="PF22" s="384">
        <v>0</v>
      </c>
      <c r="PG22" s="384">
        <v>0</v>
      </c>
      <c r="PH22" s="384">
        <v>0</v>
      </c>
      <c r="PI22" s="384">
        <v>0</v>
      </c>
      <c r="PJ22" s="384">
        <v>0</v>
      </c>
      <c r="PK22" s="384">
        <v>0</v>
      </c>
      <c r="PL22" s="384">
        <v>0</v>
      </c>
      <c r="PM22" s="384">
        <v>0</v>
      </c>
      <c r="PN22" s="384">
        <v>0</v>
      </c>
      <c r="PO22" s="384">
        <v>0</v>
      </c>
      <c r="PP22" s="384">
        <v>0</v>
      </c>
      <c r="PQ22" s="384">
        <v>0</v>
      </c>
      <c r="PR22" s="384">
        <v>0</v>
      </c>
      <c r="PS22" s="384">
        <v>0</v>
      </c>
      <c r="PT22" s="384">
        <v>0</v>
      </c>
      <c r="PU22" s="384">
        <v>0</v>
      </c>
      <c r="PV22" s="384">
        <v>0</v>
      </c>
      <c r="PW22" s="384">
        <v>0</v>
      </c>
      <c r="PX22" s="384">
        <v>0</v>
      </c>
      <c r="PY22" s="384">
        <v>0</v>
      </c>
      <c r="PZ22" s="384">
        <v>0</v>
      </c>
      <c r="QA22" s="384">
        <v>0</v>
      </c>
      <c r="QB22" s="384">
        <v>0</v>
      </c>
      <c r="QC22" s="384">
        <v>0</v>
      </c>
      <c r="QD22" s="276">
        <f t="shared" si="10"/>
        <v>0</v>
      </c>
      <c r="QE22" s="384">
        <v>0</v>
      </c>
      <c r="QF22" s="384">
        <v>0</v>
      </c>
      <c r="QG22" s="384">
        <v>0</v>
      </c>
      <c r="QH22" s="384">
        <v>0</v>
      </c>
      <c r="QI22" s="384">
        <v>0</v>
      </c>
      <c r="QJ22" s="384">
        <v>0</v>
      </c>
      <c r="QK22" s="384">
        <v>0</v>
      </c>
      <c r="QL22" s="384">
        <v>0</v>
      </c>
      <c r="QM22" s="384">
        <v>0</v>
      </c>
      <c r="QN22" s="384">
        <v>0</v>
      </c>
      <c r="QO22" s="384">
        <v>0</v>
      </c>
      <c r="QP22" s="384">
        <v>0</v>
      </c>
      <c r="QQ22" s="384">
        <v>0</v>
      </c>
      <c r="QR22" s="384">
        <v>0</v>
      </c>
      <c r="QS22" s="384">
        <v>0</v>
      </c>
      <c r="QT22" s="384">
        <v>0</v>
      </c>
      <c r="QU22" s="384">
        <v>0</v>
      </c>
      <c r="QV22" s="384">
        <v>0</v>
      </c>
      <c r="QW22" s="384">
        <v>0</v>
      </c>
      <c r="QX22" s="384">
        <v>0</v>
      </c>
      <c r="QY22" s="384">
        <v>0</v>
      </c>
      <c r="QZ22" s="384">
        <v>0</v>
      </c>
      <c r="RA22" s="384">
        <v>0</v>
      </c>
      <c r="RB22" s="384">
        <v>0</v>
      </c>
      <c r="RC22" s="384">
        <v>0</v>
      </c>
      <c r="RD22" s="384">
        <v>0</v>
      </c>
      <c r="RE22" s="384">
        <v>0</v>
      </c>
      <c r="RF22" s="384">
        <v>0</v>
      </c>
      <c r="RG22" s="384">
        <v>0</v>
      </c>
      <c r="RH22" s="384">
        <v>0</v>
      </c>
      <c r="RI22" s="384">
        <v>0</v>
      </c>
      <c r="RJ22" s="276">
        <v>0</v>
      </c>
      <c r="RK22" s="384">
        <v>0</v>
      </c>
      <c r="RL22" s="384">
        <v>0</v>
      </c>
      <c r="RM22" s="384">
        <v>0</v>
      </c>
      <c r="RN22" s="384">
        <v>0</v>
      </c>
      <c r="RO22" s="384">
        <v>0</v>
      </c>
      <c r="RP22" s="384">
        <v>0</v>
      </c>
      <c r="RQ22" s="384">
        <v>0</v>
      </c>
      <c r="RR22" s="384">
        <v>0</v>
      </c>
      <c r="RS22" s="384">
        <v>0</v>
      </c>
      <c r="RT22" s="384">
        <v>0</v>
      </c>
      <c r="RU22" s="384">
        <v>0</v>
      </c>
      <c r="RV22" s="384">
        <v>0</v>
      </c>
      <c r="RW22" s="384">
        <v>0</v>
      </c>
      <c r="RX22" s="384">
        <v>0</v>
      </c>
      <c r="RY22" s="384">
        <v>0</v>
      </c>
      <c r="RZ22" s="384">
        <v>0</v>
      </c>
      <c r="SA22" s="384">
        <v>0</v>
      </c>
      <c r="SB22" s="384">
        <v>0</v>
      </c>
      <c r="SC22" s="444">
        <v>7355.0280000000002</v>
      </c>
      <c r="SD22" s="444">
        <v>14706.382000000001</v>
      </c>
      <c r="SE22" s="444">
        <v>5500.9629999999997</v>
      </c>
      <c r="SF22" s="444">
        <v>7350.44</v>
      </c>
      <c r="SG22" s="444">
        <v>7350.5190000000002</v>
      </c>
      <c r="SH22" s="444">
        <v>7351.3140000000003</v>
      </c>
      <c r="SI22" s="444">
        <v>3917.2539999999999</v>
      </c>
      <c r="SJ22" s="384">
        <v>0</v>
      </c>
      <c r="SK22" s="384">
        <v>0</v>
      </c>
      <c r="SL22" s="384">
        <v>0</v>
      </c>
      <c r="SM22" s="384">
        <v>0</v>
      </c>
      <c r="SN22" s="384">
        <v>0</v>
      </c>
      <c r="SO22" s="235">
        <v>53531.9</v>
      </c>
      <c r="SP22" s="384">
        <v>0</v>
      </c>
      <c r="SQ22" s="384">
        <v>0</v>
      </c>
      <c r="SR22" s="384">
        <v>0</v>
      </c>
      <c r="SS22" s="384">
        <v>0</v>
      </c>
      <c r="ST22" s="384">
        <v>0</v>
      </c>
      <c r="SU22" s="384">
        <v>0</v>
      </c>
      <c r="SV22" s="384">
        <v>0</v>
      </c>
      <c r="SW22" s="384">
        <v>0</v>
      </c>
      <c r="SX22" s="384">
        <v>0</v>
      </c>
      <c r="SY22" s="384">
        <v>0</v>
      </c>
      <c r="SZ22" s="384">
        <v>0</v>
      </c>
      <c r="TA22" s="384">
        <v>0</v>
      </c>
      <c r="TB22" s="384">
        <v>0</v>
      </c>
      <c r="TC22" s="384">
        <v>0</v>
      </c>
      <c r="TD22" s="384">
        <v>0</v>
      </c>
      <c r="TE22" s="384">
        <v>0</v>
      </c>
      <c r="TF22" s="384">
        <v>0</v>
      </c>
      <c r="TG22" s="384">
        <v>0</v>
      </c>
      <c r="TH22" s="384">
        <v>0</v>
      </c>
      <c r="TI22" s="384">
        <v>0</v>
      </c>
      <c r="TJ22" s="384">
        <v>0</v>
      </c>
      <c r="TK22" s="384">
        <v>0</v>
      </c>
      <c r="TL22" s="384">
        <v>0</v>
      </c>
      <c r="TM22" s="384">
        <v>0</v>
      </c>
      <c r="TN22" s="384">
        <v>0</v>
      </c>
      <c r="TO22" s="384">
        <v>0</v>
      </c>
      <c r="TP22" s="384">
        <v>0</v>
      </c>
      <c r="TQ22" s="384">
        <v>0</v>
      </c>
      <c r="TR22" s="384">
        <v>0</v>
      </c>
      <c r="TS22" s="384">
        <v>0</v>
      </c>
      <c r="TT22" s="384">
        <v>0</v>
      </c>
      <c r="TU22" s="235">
        <v>0</v>
      </c>
      <c r="TV22" s="384">
        <v>0</v>
      </c>
      <c r="TW22" s="384">
        <v>0</v>
      </c>
      <c r="TX22" s="384">
        <v>0</v>
      </c>
      <c r="TY22" s="384">
        <v>0</v>
      </c>
      <c r="TZ22" s="384">
        <v>0</v>
      </c>
      <c r="UA22" s="384">
        <v>0</v>
      </c>
      <c r="UB22" s="384">
        <v>0</v>
      </c>
      <c r="UC22" s="384">
        <v>0</v>
      </c>
      <c r="UD22" s="384">
        <v>0</v>
      </c>
      <c r="UE22" s="384">
        <v>0</v>
      </c>
      <c r="UF22" s="384">
        <v>0</v>
      </c>
      <c r="UG22" s="384">
        <v>0</v>
      </c>
      <c r="UH22" s="384">
        <v>0</v>
      </c>
      <c r="UI22" s="384">
        <v>0</v>
      </c>
      <c r="UJ22" s="384">
        <v>0</v>
      </c>
      <c r="UK22" s="384">
        <v>0</v>
      </c>
      <c r="UL22" s="384">
        <v>0</v>
      </c>
      <c r="UM22" s="384">
        <v>0</v>
      </c>
      <c r="UN22" s="384">
        <v>0</v>
      </c>
      <c r="UO22" s="384">
        <v>0</v>
      </c>
      <c r="UP22" s="384">
        <v>0</v>
      </c>
      <c r="UQ22" s="384">
        <v>0</v>
      </c>
      <c r="UR22" s="384">
        <v>0</v>
      </c>
      <c r="US22" s="384">
        <v>0</v>
      </c>
      <c r="UT22" s="384">
        <v>0</v>
      </c>
      <c r="UU22" s="384">
        <v>0</v>
      </c>
      <c r="UV22" s="384">
        <v>0</v>
      </c>
      <c r="UW22" s="384">
        <v>0</v>
      </c>
      <c r="UX22" s="384">
        <v>0</v>
      </c>
      <c r="UY22" s="384">
        <v>0</v>
      </c>
      <c r="UZ22" s="384">
        <v>0</v>
      </c>
      <c r="VA22" s="235">
        <v>0</v>
      </c>
      <c r="VB22" s="384">
        <v>0</v>
      </c>
      <c r="VC22" s="384">
        <v>0</v>
      </c>
      <c r="VD22" s="384">
        <v>0</v>
      </c>
      <c r="VE22" s="384">
        <v>0</v>
      </c>
      <c r="VF22" s="384">
        <v>0</v>
      </c>
      <c r="VG22" s="384">
        <v>0</v>
      </c>
      <c r="VH22" s="384">
        <v>0</v>
      </c>
      <c r="VI22" s="384">
        <v>0</v>
      </c>
      <c r="VJ22" s="384">
        <v>0</v>
      </c>
      <c r="VK22" s="384">
        <v>0</v>
      </c>
      <c r="VL22" s="384">
        <v>0</v>
      </c>
      <c r="VM22" s="384">
        <v>0</v>
      </c>
      <c r="VN22" s="384">
        <v>0</v>
      </c>
      <c r="VO22" s="384">
        <v>0</v>
      </c>
      <c r="VP22" s="384">
        <v>0</v>
      </c>
      <c r="VQ22" s="384">
        <v>0</v>
      </c>
      <c r="VR22" s="384">
        <v>0</v>
      </c>
      <c r="VS22" s="384">
        <v>0</v>
      </c>
      <c r="VT22" s="384">
        <v>0</v>
      </c>
      <c r="VU22" s="384">
        <v>0</v>
      </c>
      <c r="VV22" s="384">
        <v>0</v>
      </c>
      <c r="VW22" s="384">
        <v>0</v>
      </c>
      <c r="VX22" s="384">
        <v>0</v>
      </c>
      <c r="VY22" s="384">
        <v>0</v>
      </c>
      <c r="VZ22" s="384">
        <v>0</v>
      </c>
      <c r="WA22" s="384">
        <v>0</v>
      </c>
      <c r="WB22" s="384">
        <v>0</v>
      </c>
      <c r="WC22" s="384">
        <v>0</v>
      </c>
      <c r="WD22" s="384">
        <v>0</v>
      </c>
      <c r="WE22" s="384">
        <v>0</v>
      </c>
      <c r="WF22" s="235">
        <v>0</v>
      </c>
      <c r="WG22" s="384">
        <v>0</v>
      </c>
      <c r="WH22" s="384">
        <v>0</v>
      </c>
      <c r="WI22" s="384">
        <v>0</v>
      </c>
      <c r="WJ22" s="384">
        <v>0</v>
      </c>
      <c r="WK22" s="384">
        <v>0</v>
      </c>
      <c r="WL22" s="384">
        <v>0</v>
      </c>
      <c r="WM22" s="384">
        <v>0</v>
      </c>
      <c r="WN22" s="384">
        <v>0</v>
      </c>
      <c r="WO22" s="384">
        <v>0</v>
      </c>
      <c r="WP22" s="384">
        <v>0</v>
      </c>
      <c r="WQ22" s="384">
        <v>0</v>
      </c>
      <c r="WR22" s="384">
        <v>0</v>
      </c>
      <c r="WS22" s="384">
        <v>0</v>
      </c>
      <c r="WT22" s="384">
        <v>0</v>
      </c>
      <c r="WU22" s="384">
        <v>0</v>
      </c>
      <c r="WV22" s="384">
        <v>0</v>
      </c>
      <c r="WW22" s="384">
        <v>0</v>
      </c>
      <c r="WX22" s="384">
        <v>0</v>
      </c>
      <c r="WY22" s="384">
        <v>0</v>
      </c>
      <c r="WZ22" s="384">
        <v>0</v>
      </c>
      <c r="XA22" s="384">
        <v>0</v>
      </c>
      <c r="XB22" s="384">
        <v>0</v>
      </c>
      <c r="XC22" s="384">
        <v>0</v>
      </c>
      <c r="XD22" s="384">
        <v>0</v>
      </c>
      <c r="XE22" s="384">
        <v>0</v>
      </c>
      <c r="XF22" s="384">
        <v>0</v>
      </c>
      <c r="XG22" s="384">
        <v>0</v>
      </c>
      <c r="XH22" s="384">
        <v>0</v>
      </c>
      <c r="XI22" s="384">
        <v>0</v>
      </c>
      <c r="XJ22" s="384">
        <v>0</v>
      </c>
      <c r="XK22" s="384">
        <v>0</v>
      </c>
      <c r="XL22" s="235">
        <v>0</v>
      </c>
      <c r="XM22" s="384">
        <v>0</v>
      </c>
      <c r="XN22" s="384">
        <v>0</v>
      </c>
      <c r="XO22" s="384">
        <v>0</v>
      </c>
      <c r="XP22" s="384">
        <v>0</v>
      </c>
      <c r="XQ22" s="384">
        <v>0</v>
      </c>
      <c r="XR22" s="384">
        <v>0</v>
      </c>
      <c r="XS22" s="384">
        <v>0</v>
      </c>
      <c r="XT22" s="384">
        <v>0</v>
      </c>
      <c r="XU22" s="384">
        <v>0</v>
      </c>
      <c r="XV22" s="384">
        <v>0</v>
      </c>
      <c r="XW22" s="384">
        <v>0</v>
      </c>
      <c r="XX22" s="384">
        <v>0</v>
      </c>
      <c r="XY22" s="384">
        <v>0</v>
      </c>
      <c r="XZ22" s="384">
        <v>0</v>
      </c>
      <c r="YA22" s="384">
        <v>0</v>
      </c>
      <c r="YB22" s="384">
        <v>0</v>
      </c>
      <c r="YC22" s="384">
        <v>0</v>
      </c>
      <c r="YD22" s="384">
        <v>0</v>
      </c>
      <c r="YE22" s="384">
        <v>0</v>
      </c>
      <c r="YF22" s="384">
        <v>0</v>
      </c>
      <c r="YG22" s="384">
        <v>0</v>
      </c>
      <c r="YH22" s="384">
        <v>0</v>
      </c>
      <c r="YI22" s="384">
        <v>0</v>
      </c>
      <c r="YJ22" s="384">
        <v>0</v>
      </c>
      <c r="YK22" s="384">
        <v>0</v>
      </c>
      <c r="YL22" s="384">
        <v>0</v>
      </c>
      <c r="YM22" s="384">
        <v>0</v>
      </c>
      <c r="YN22" s="384">
        <v>0</v>
      </c>
      <c r="YO22" s="384">
        <v>0</v>
      </c>
      <c r="YP22" s="384">
        <v>0</v>
      </c>
      <c r="YQ22" s="384">
        <v>0</v>
      </c>
      <c r="YR22" s="235">
        <v>0</v>
      </c>
      <c r="YS22" s="384">
        <v>0</v>
      </c>
      <c r="YT22" s="384">
        <v>0</v>
      </c>
      <c r="YU22" s="384">
        <v>0</v>
      </c>
      <c r="YV22" s="384">
        <v>0</v>
      </c>
      <c r="YW22" s="384">
        <v>0</v>
      </c>
      <c r="YX22" s="384">
        <v>0</v>
      </c>
      <c r="YY22" s="384">
        <v>0</v>
      </c>
      <c r="YZ22" s="384">
        <v>0</v>
      </c>
      <c r="ZA22" s="384">
        <v>0</v>
      </c>
      <c r="ZB22" s="384">
        <v>0</v>
      </c>
      <c r="ZC22" s="384">
        <v>0</v>
      </c>
      <c r="ZD22" s="384">
        <v>0</v>
      </c>
      <c r="ZE22" s="384">
        <v>0</v>
      </c>
      <c r="ZF22" s="384">
        <v>0</v>
      </c>
      <c r="ZG22" s="384">
        <v>0</v>
      </c>
      <c r="ZH22" s="384">
        <v>0</v>
      </c>
      <c r="ZI22" s="384">
        <v>0</v>
      </c>
      <c r="ZJ22" s="384">
        <v>0</v>
      </c>
      <c r="ZK22" s="384">
        <v>0</v>
      </c>
      <c r="ZL22" s="384">
        <v>0</v>
      </c>
      <c r="ZM22" s="384">
        <v>0</v>
      </c>
      <c r="ZN22" s="384">
        <v>0</v>
      </c>
      <c r="ZO22" s="384">
        <v>0</v>
      </c>
      <c r="ZP22" s="384">
        <v>0</v>
      </c>
      <c r="ZQ22" s="384">
        <v>0</v>
      </c>
      <c r="ZR22" s="384">
        <v>0</v>
      </c>
      <c r="ZS22" s="384">
        <v>0</v>
      </c>
      <c r="ZT22" s="384">
        <v>0</v>
      </c>
      <c r="ZU22" s="384">
        <v>0</v>
      </c>
      <c r="ZV22" s="384">
        <v>0</v>
      </c>
      <c r="ZW22" s="384">
        <v>0</v>
      </c>
      <c r="ZX22" s="235">
        <v>0</v>
      </c>
    </row>
    <row r="23" spans="2:1391" s="243" customFormat="1" ht="15" hidden="1" customHeight="1">
      <c r="B23" s="279" t="s">
        <v>372</v>
      </c>
      <c r="C23" s="277">
        <v>0</v>
      </c>
      <c r="D23" s="277">
        <v>0</v>
      </c>
      <c r="E23" s="277">
        <v>0</v>
      </c>
      <c r="F23" s="277">
        <v>0</v>
      </c>
      <c r="G23" s="277">
        <v>0</v>
      </c>
      <c r="H23" s="277">
        <v>0</v>
      </c>
      <c r="I23" s="277">
        <v>0</v>
      </c>
      <c r="J23" s="277">
        <v>0</v>
      </c>
      <c r="K23" s="277">
        <v>0</v>
      </c>
      <c r="L23" s="277">
        <v>0</v>
      </c>
      <c r="M23" s="277">
        <v>0</v>
      </c>
      <c r="N23" s="277">
        <v>0</v>
      </c>
      <c r="O23" s="277">
        <v>0</v>
      </c>
      <c r="P23" s="277">
        <v>0</v>
      </c>
      <c r="Q23" s="277">
        <v>0</v>
      </c>
      <c r="R23" s="277">
        <v>0</v>
      </c>
      <c r="S23" s="277">
        <v>0</v>
      </c>
      <c r="T23" s="277">
        <v>0</v>
      </c>
      <c r="U23" s="277">
        <v>0</v>
      </c>
      <c r="V23" s="277">
        <v>0</v>
      </c>
      <c r="W23" s="277">
        <v>0</v>
      </c>
      <c r="X23" s="277">
        <v>0</v>
      </c>
      <c r="Y23" s="277">
        <v>0</v>
      </c>
      <c r="Z23" s="277">
        <v>0</v>
      </c>
      <c r="AA23" s="277">
        <v>0</v>
      </c>
      <c r="AB23" s="277">
        <v>0</v>
      </c>
      <c r="AC23" s="277">
        <v>0</v>
      </c>
      <c r="AD23" s="277">
        <v>0</v>
      </c>
      <c r="AE23" s="277">
        <v>0</v>
      </c>
      <c r="AF23" s="277">
        <v>0</v>
      </c>
      <c r="AG23" s="277">
        <v>0</v>
      </c>
      <c r="AH23" s="276">
        <f t="shared" si="28"/>
        <v>0</v>
      </c>
      <c r="AI23" s="244"/>
      <c r="AJ23" s="244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3"/>
      <c r="AV23" s="274"/>
      <c r="AW23" s="273"/>
      <c r="AX23" s="273"/>
      <c r="AY23" s="273"/>
      <c r="AZ23" s="273"/>
      <c r="BA23" s="273"/>
      <c r="BB23" s="275"/>
      <c r="BC23" s="274"/>
      <c r="BD23" s="274"/>
      <c r="BE23" s="274"/>
      <c r="BF23" s="274"/>
      <c r="BG23" s="274"/>
      <c r="BH23" s="274"/>
      <c r="BI23" s="275"/>
      <c r="BJ23" s="275"/>
      <c r="BK23" s="276"/>
      <c r="BL23" s="244"/>
      <c r="BM23" s="244"/>
      <c r="BN23" s="209"/>
      <c r="BO23" s="209"/>
      <c r="BP23" s="209"/>
      <c r="BQ23" s="209"/>
      <c r="BR23" s="277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09"/>
      <c r="CF23" s="277"/>
      <c r="CG23" s="277"/>
      <c r="CH23" s="277"/>
      <c r="CI23" s="277"/>
      <c r="CJ23" s="277"/>
      <c r="CK23" s="277"/>
      <c r="CL23" s="278"/>
      <c r="CM23" s="277"/>
      <c r="CN23" s="273"/>
      <c r="CO23" s="278"/>
      <c r="CP23" s="273"/>
      <c r="CQ23" s="276"/>
      <c r="CR23" s="244"/>
      <c r="CS23" s="244"/>
      <c r="CT23" s="209"/>
      <c r="CU23" s="209"/>
      <c r="CV23" s="209"/>
      <c r="CW23" s="209"/>
      <c r="CX23" s="277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09"/>
      <c r="DL23" s="277"/>
      <c r="DM23" s="277"/>
      <c r="DN23" s="277"/>
      <c r="DO23" s="277"/>
      <c r="DP23" s="277"/>
      <c r="DQ23" s="277"/>
      <c r="DR23" s="278"/>
      <c r="DS23" s="277"/>
      <c r="DT23" s="273"/>
      <c r="DU23" s="278"/>
      <c r="DV23" s="273"/>
      <c r="DW23" s="276"/>
      <c r="DX23" s="244"/>
      <c r="DY23" s="244"/>
      <c r="DZ23" s="209"/>
      <c r="EA23" s="209"/>
      <c r="EB23" s="209"/>
      <c r="EC23" s="209"/>
      <c r="ED23" s="281"/>
      <c r="EE23" s="277"/>
      <c r="EF23" s="277"/>
      <c r="EG23" s="277"/>
      <c r="EH23" s="281"/>
      <c r="EI23" s="273"/>
      <c r="EJ23" s="273"/>
      <c r="EK23" s="273"/>
      <c r="EL23" s="273"/>
      <c r="EM23" s="273"/>
      <c r="EN23" s="273"/>
      <c r="EO23" s="273"/>
      <c r="EP23" s="273"/>
      <c r="EQ23" s="209"/>
      <c r="ER23" s="277"/>
      <c r="ES23" s="273"/>
      <c r="ET23" s="274"/>
      <c r="EU23" s="273"/>
      <c r="EV23" s="273"/>
      <c r="EW23" s="273"/>
      <c r="EX23" s="274"/>
      <c r="EY23" s="274"/>
      <c r="EZ23" s="273"/>
      <c r="FA23" s="278"/>
      <c r="FB23" s="273"/>
      <c r="FC23" s="276"/>
      <c r="FD23" s="244"/>
      <c r="FE23" s="244"/>
      <c r="FF23" s="209"/>
      <c r="FG23" s="209"/>
      <c r="FH23" s="209"/>
      <c r="FI23" s="209"/>
      <c r="FJ23" s="277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09"/>
      <c r="FX23" s="277"/>
      <c r="FY23" s="277"/>
      <c r="FZ23" s="277"/>
      <c r="GA23" s="277"/>
      <c r="GB23" s="277"/>
      <c r="GC23" s="277"/>
      <c r="GD23" s="278"/>
      <c r="GE23" s="277"/>
      <c r="GF23" s="273"/>
      <c r="GG23" s="278"/>
      <c r="GH23" s="273"/>
      <c r="GI23" s="276"/>
      <c r="GJ23" s="244"/>
      <c r="GK23" s="244"/>
      <c r="GL23" s="209"/>
      <c r="GM23" s="209"/>
      <c r="GN23" s="209"/>
      <c r="GO23" s="209"/>
      <c r="GP23" s="277"/>
      <c r="GQ23" s="273"/>
      <c r="GR23" s="274"/>
      <c r="GS23" s="273"/>
      <c r="GT23" s="273"/>
      <c r="GU23" s="273"/>
      <c r="GV23" s="274"/>
      <c r="GW23" s="274"/>
      <c r="GX23" s="273"/>
      <c r="GY23" s="273"/>
      <c r="GZ23" s="273"/>
      <c r="HA23" s="273"/>
      <c r="HB23" s="273"/>
      <c r="HC23" s="209"/>
      <c r="HD23" s="277"/>
      <c r="HE23" s="277"/>
      <c r="HF23" s="277"/>
      <c r="HG23" s="277"/>
      <c r="HH23" s="277"/>
      <c r="HI23" s="277"/>
      <c r="HJ23" s="278"/>
      <c r="HK23" s="277"/>
      <c r="HL23" s="273"/>
      <c r="HM23" s="278"/>
      <c r="HN23" s="273"/>
      <c r="HO23" s="276"/>
      <c r="HP23" s="244"/>
      <c r="HQ23" s="244"/>
      <c r="HR23" s="209"/>
      <c r="HS23" s="209"/>
      <c r="HT23" s="209"/>
      <c r="HU23" s="209"/>
      <c r="HV23" s="277"/>
      <c r="HW23" s="273"/>
      <c r="HX23" s="273"/>
      <c r="HY23" s="273"/>
      <c r="HZ23" s="273"/>
      <c r="IA23" s="273"/>
      <c r="IB23" s="273"/>
      <c r="IC23" s="273"/>
      <c r="ID23" s="273"/>
      <c r="IE23" s="273"/>
      <c r="IF23" s="273"/>
      <c r="IG23" s="273"/>
      <c r="IH23" s="273"/>
      <c r="II23" s="209"/>
      <c r="IJ23" s="277"/>
      <c r="IK23" s="277"/>
      <c r="IL23" s="277"/>
      <c r="IM23" s="277"/>
      <c r="IN23" s="277"/>
      <c r="IO23" s="277"/>
      <c r="IP23" s="278"/>
      <c r="IQ23" s="277"/>
      <c r="IR23" s="273"/>
      <c r="IS23" s="278"/>
      <c r="IT23" s="273"/>
      <c r="IU23" s="276"/>
      <c r="IV23" s="244"/>
      <c r="IW23" s="244"/>
      <c r="IX23" s="272"/>
      <c r="IY23" s="272"/>
      <c r="IZ23" s="272"/>
      <c r="JA23" s="272"/>
      <c r="JB23" s="274"/>
      <c r="JC23" s="273"/>
      <c r="JD23" s="273"/>
      <c r="JE23" s="273"/>
      <c r="JF23" s="273"/>
      <c r="JG23" s="273"/>
      <c r="JH23" s="273"/>
      <c r="JI23" s="273"/>
      <c r="JJ23" s="273"/>
      <c r="JK23" s="273"/>
      <c r="JL23" s="273"/>
      <c r="JM23" s="273"/>
      <c r="JN23" s="273"/>
      <c r="JO23" s="272"/>
      <c r="JP23" s="274"/>
      <c r="JQ23" s="274"/>
      <c r="JR23" s="274"/>
      <c r="JS23" s="274"/>
      <c r="JT23" s="274"/>
      <c r="JU23" s="274"/>
      <c r="JV23" s="275"/>
      <c r="JW23" s="274"/>
      <c r="JX23" s="273"/>
      <c r="JY23" s="275"/>
      <c r="JZ23" s="273"/>
      <c r="KA23" s="276"/>
      <c r="KB23" s="244"/>
      <c r="KC23" s="244"/>
      <c r="KD23" s="209"/>
      <c r="KE23" s="209"/>
      <c r="KF23" s="209"/>
      <c r="KG23" s="209"/>
      <c r="KH23" s="277"/>
      <c r="KI23" s="273"/>
      <c r="KJ23" s="273"/>
      <c r="KK23" s="273"/>
      <c r="KL23" s="273"/>
      <c r="KM23" s="273"/>
      <c r="KN23" s="273"/>
      <c r="KO23" s="273"/>
      <c r="KP23" s="273"/>
      <c r="KQ23" s="273"/>
      <c r="KR23" s="273"/>
      <c r="KS23" s="273"/>
      <c r="KT23" s="273"/>
      <c r="KU23" s="209"/>
      <c r="KV23" s="277"/>
      <c r="KW23" s="277"/>
      <c r="KX23" s="277"/>
      <c r="KY23" s="277"/>
      <c r="KZ23" s="277"/>
      <c r="LA23" s="277"/>
      <c r="LB23" s="278"/>
      <c r="LC23" s="277"/>
      <c r="LD23" s="273"/>
      <c r="LE23" s="278"/>
      <c r="LF23" s="273"/>
      <c r="LG23" s="276"/>
      <c r="LH23" s="244"/>
      <c r="LI23" s="244"/>
      <c r="LJ23" s="209"/>
      <c r="LK23" s="209"/>
      <c r="LL23" s="209"/>
      <c r="LM23" s="209"/>
      <c r="LN23" s="277"/>
      <c r="LO23" s="273"/>
      <c r="LP23" s="273"/>
      <c r="LQ23" s="273"/>
      <c r="LR23" s="273"/>
      <c r="LS23" s="273"/>
      <c r="LT23" s="273"/>
      <c r="LU23" s="273"/>
      <c r="LV23" s="273"/>
      <c r="LW23" s="273"/>
      <c r="LX23" s="273"/>
      <c r="LY23" s="273"/>
      <c r="LZ23" s="273"/>
      <c r="MA23" s="209"/>
      <c r="MB23" s="277"/>
      <c r="MC23" s="277"/>
      <c r="MD23" s="277"/>
      <c r="ME23" s="277"/>
      <c r="MF23" s="277"/>
      <c r="MG23" s="277"/>
      <c r="MH23" s="278"/>
      <c r="MI23" s="277"/>
      <c r="MJ23" s="273"/>
      <c r="MK23" s="278"/>
      <c r="ML23" s="273"/>
      <c r="MM23" s="276"/>
      <c r="MN23" s="244"/>
      <c r="MO23" s="244"/>
      <c r="MP23" s="209"/>
      <c r="MQ23" s="209"/>
      <c r="MR23" s="209"/>
      <c r="MS23" s="209"/>
      <c r="MT23" s="277"/>
      <c r="MU23" s="273"/>
      <c r="MV23" s="273"/>
      <c r="MW23" s="273"/>
      <c r="MX23" s="273"/>
      <c r="MY23" s="273"/>
      <c r="MZ23" s="273"/>
      <c r="NA23" s="273"/>
      <c r="NB23" s="273"/>
      <c r="NC23" s="273"/>
      <c r="ND23" s="273"/>
      <c r="NE23" s="273"/>
      <c r="NF23" s="273"/>
      <c r="NG23" s="209"/>
      <c r="NH23" s="277"/>
      <c r="NI23" s="277"/>
      <c r="NJ23" s="277"/>
      <c r="NK23" s="277"/>
      <c r="NL23" s="277"/>
      <c r="NM23" s="277"/>
      <c r="NN23" s="278"/>
      <c r="NO23" s="277"/>
      <c r="NP23" s="273"/>
      <c r="NQ23" s="278"/>
      <c r="NR23" s="273"/>
      <c r="NS23" s="276"/>
      <c r="NT23" s="277">
        <v>0</v>
      </c>
      <c r="NU23" s="277">
        <v>0</v>
      </c>
      <c r="NV23" s="277">
        <v>0</v>
      </c>
      <c r="NW23" s="277">
        <v>0</v>
      </c>
      <c r="NX23" s="277">
        <v>0</v>
      </c>
      <c r="NY23" s="277">
        <v>0</v>
      </c>
      <c r="NZ23" s="277">
        <v>0</v>
      </c>
      <c r="OA23" s="277">
        <v>0</v>
      </c>
      <c r="OB23" s="277">
        <v>0</v>
      </c>
      <c r="OC23" s="277">
        <v>0</v>
      </c>
      <c r="OD23" s="277">
        <v>0</v>
      </c>
      <c r="OE23" s="277">
        <v>0</v>
      </c>
      <c r="OF23" s="277">
        <v>0</v>
      </c>
      <c r="OG23" s="277">
        <v>0</v>
      </c>
      <c r="OH23" s="277">
        <v>0</v>
      </c>
      <c r="OI23" s="277">
        <v>0</v>
      </c>
      <c r="OJ23" s="277">
        <v>0</v>
      </c>
      <c r="OK23" s="277">
        <v>0</v>
      </c>
      <c r="OL23" s="277">
        <v>0</v>
      </c>
      <c r="OM23" s="277">
        <v>0</v>
      </c>
      <c r="ON23" s="277">
        <v>0</v>
      </c>
      <c r="OO23" s="277">
        <v>0</v>
      </c>
      <c r="OP23" s="277">
        <v>0</v>
      </c>
      <c r="OQ23" s="277">
        <v>0</v>
      </c>
      <c r="OR23" s="277">
        <v>0</v>
      </c>
      <c r="OS23" s="277">
        <v>0</v>
      </c>
      <c r="OT23" s="277">
        <v>0</v>
      </c>
      <c r="OU23" s="277">
        <v>0</v>
      </c>
      <c r="OV23" s="277">
        <v>0</v>
      </c>
      <c r="OW23" s="277">
        <v>0</v>
      </c>
      <c r="OX23" s="277">
        <v>0</v>
      </c>
      <c r="OY23" s="276">
        <f>SUM(NT23:OX23)</f>
        <v>0</v>
      </c>
      <c r="OZ23" s="277">
        <v>0</v>
      </c>
      <c r="PA23" s="277">
        <v>0</v>
      </c>
      <c r="PB23" s="277">
        <v>0</v>
      </c>
      <c r="PC23" s="277">
        <v>0</v>
      </c>
      <c r="PD23" s="277">
        <v>0</v>
      </c>
      <c r="PE23" s="277">
        <v>0</v>
      </c>
      <c r="PF23" s="277">
        <v>0</v>
      </c>
      <c r="PG23" s="277">
        <v>0</v>
      </c>
      <c r="PH23" s="277">
        <v>0</v>
      </c>
      <c r="PI23" s="277">
        <v>0</v>
      </c>
      <c r="PJ23" s="277">
        <v>0</v>
      </c>
      <c r="PK23" s="277">
        <v>0</v>
      </c>
      <c r="PL23" s="277">
        <v>0</v>
      </c>
      <c r="PM23" s="277">
        <v>0</v>
      </c>
      <c r="PN23" s="277">
        <v>0</v>
      </c>
      <c r="PO23" s="277">
        <v>0</v>
      </c>
      <c r="PP23" s="277">
        <v>0</v>
      </c>
      <c r="PQ23" s="277">
        <v>0</v>
      </c>
      <c r="PR23" s="277">
        <v>0</v>
      </c>
      <c r="PS23" s="277">
        <v>0</v>
      </c>
      <c r="PT23" s="277">
        <v>0</v>
      </c>
      <c r="PU23" s="277">
        <v>0</v>
      </c>
      <c r="PV23" s="277">
        <v>0</v>
      </c>
      <c r="PW23" s="277">
        <v>0</v>
      </c>
      <c r="PX23" s="277">
        <v>0</v>
      </c>
      <c r="PY23" s="277">
        <v>0</v>
      </c>
      <c r="PZ23" s="277">
        <v>0</v>
      </c>
      <c r="QA23" s="277">
        <v>0</v>
      </c>
      <c r="QB23" s="277">
        <v>0</v>
      </c>
      <c r="QC23" s="277">
        <v>0</v>
      </c>
      <c r="QD23" s="276">
        <f>SUM(OZ23:QC23)</f>
        <v>0</v>
      </c>
      <c r="QE23" s="277">
        <v>0</v>
      </c>
      <c r="QF23" s="277">
        <v>0</v>
      </c>
      <c r="QG23" s="277">
        <v>0</v>
      </c>
      <c r="QH23" s="277">
        <v>0</v>
      </c>
      <c r="QI23" s="277">
        <v>0</v>
      </c>
      <c r="QJ23" s="277">
        <v>0</v>
      </c>
      <c r="QK23" s="277">
        <v>0</v>
      </c>
      <c r="QL23" s="277">
        <v>0</v>
      </c>
      <c r="QM23" s="277">
        <v>0</v>
      </c>
      <c r="QN23" s="277">
        <v>0</v>
      </c>
      <c r="QO23" s="277">
        <v>0</v>
      </c>
      <c r="QP23" s="277">
        <v>0</v>
      </c>
      <c r="QQ23" s="277">
        <v>0</v>
      </c>
      <c r="QR23" s="277">
        <v>0</v>
      </c>
      <c r="QS23" s="277">
        <v>0</v>
      </c>
      <c r="QT23" s="277">
        <v>0</v>
      </c>
      <c r="QU23" s="277">
        <v>0</v>
      </c>
      <c r="QV23" s="277">
        <v>0</v>
      </c>
      <c r="QW23" s="277">
        <v>0</v>
      </c>
      <c r="QX23" s="277">
        <v>0</v>
      </c>
      <c r="QY23" s="277">
        <v>0</v>
      </c>
      <c r="QZ23" s="277">
        <v>0</v>
      </c>
      <c r="RA23" s="277">
        <v>0</v>
      </c>
      <c r="RB23" s="277">
        <v>0</v>
      </c>
      <c r="RC23" s="277">
        <v>0</v>
      </c>
      <c r="RD23" s="277">
        <v>0</v>
      </c>
      <c r="RE23" s="277">
        <v>0</v>
      </c>
      <c r="RF23" s="277">
        <v>0</v>
      </c>
      <c r="RG23" s="277">
        <v>0</v>
      </c>
      <c r="RH23" s="277">
        <v>0</v>
      </c>
      <c r="RI23" s="277">
        <v>0</v>
      </c>
      <c r="RJ23" s="276">
        <v>0</v>
      </c>
      <c r="RK23" s="277">
        <v>0</v>
      </c>
      <c r="RL23" s="277">
        <v>0</v>
      </c>
      <c r="RM23" s="277">
        <v>0</v>
      </c>
      <c r="RN23" s="277">
        <v>0</v>
      </c>
      <c r="RO23" s="277">
        <v>0</v>
      </c>
      <c r="RP23" s="277">
        <v>0</v>
      </c>
      <c r="RQ23" s="277">
        <v>0</v>
      </c>
      <c r="RR23" s="277">
        <v>0</v>
      </c>
      <c r="RS23" s="277">
        <v>0</v>
      </c>
      <c r="RT23" s="277">
        <v>0</v>
      </c>
      <c r="RU23" s="277">
        <v>0</v>
      </c>
      <c r="RV23" s="277">
        <v>0</v>
      </c>
      <c r="RW23" s="277">
        <v>0</v>
      </c>
      <c r="RX23" s="277">
        <v>0</v>
      </c>
      <c r="RY23" s="277">
        <v>0</v>
      </c>
      <c r="RZ23" s="277">
        <v>0</v>
      </c>
      <c r="SA23" s="277">
        <v>0</v>
      </c>
      <c r="SB23" s="277">
        <v>0</v>
      </c>
      <c r="SC23" s="277">
        <v>0</v>
      </c>
      <c r="SD23" s="277">
        <v>0</v>
      </c>
      <c r="SE23" s="277">
        <v>0</v>
      </c>
      <c r="SF23" s="277">
        <v>0</v>
      </c>
      <c r="SG23" s="277">
        <v>0</v>
      </c>
      <c r="SH23" s="277">
        <v>0</v>
      </c>
      <c r="SI23" s="277">
        <v>0</v>
      </c>
      <c r="SJ23" s="277">
        <v>0</v>
      </c>
      <c r="SK23" s="277">
        <v>0</v>
      </c>
      <c r="SL23" s="277">
        <v>0</v>
      </c>
      <c r="SM23" s="277">
        <v>0</v>
      </c>
      <c r="SN23" s="277">
        <v>0</v>
      </c>
      <c r="SO23" s="235">
        <v>0</v>
      </c>
      <c r="SP23" s="277">
        <v>0</v>
      </c>
      <c r="SQ23" s="277">
        <v>0</v>
      </c>
      <c r="SR23" s="277">
        <v>0</v>
      </c>
      <c r="SS23" s="277">
        <v>0</v>
      </c>
      <c r="ST23" s="277">
        <v>0</v>
      </c>
      <c r="SU23" s="277">
        <v>0</v>
      </c>
      <c r="SV23" s="277">
        <v>0</v>
      </c>
      <c r="SW23" s="277">
        <v>0</v>
      </c>
      <c r="SX23" s="277">
        <v>0</v>
      </c>
      <c r="SY23" s="277">
        <v>0</v>
      </c>
      <c r="SZ23" s="277">
        <v>0</v>
      </c>
      <c r="TA23" s="277">
        <v>0</v>
      </c>
      <c r="TB23" s="277">
        <v>0</v>
      </c>
      <c r="TC23" s="277">
        <v>0</v>
      </c>
      <c r="TD23" s="277">
        <v>0</v>
      </c>
      <c r="TE23" s="277">
        <v>0</v>
      </c>
      <c r="TF23" s="277">
        <v>0</v>
      </c>
      <c r="TG23" s="277">
        <v>0</v>
      </c>
      <c r="TH23" s="277">
        <v>0</v>
      </c>
      <c r="TI23" s="277">
        <v>0</v>
      </c>
      <c r="TJ23" s="277">
        <v>0</v>
      </c>
      <c r="TK23" s="277">
        <v>0</v>
      </c>
      <c r="TL23" s="277">
        <v>0</v>
      </c>
      <c r="TM23" s="277">
        <v>0</v>
      </c>
      <c r="TN23" s="277">
        <v>0</v>
      </c>
      <c r="TO23" s="455">
        <v>7300</v>
      </c>
      <c r="TP23" s="455">
        <v>7300</v>
      </c>
      <c r="TQ23" s="455">
        <v>7000</v>
      </c>
      <c r="TR23" s="455">
        <v>7000</v>
      </c>
      <c r="TS23" s="455">
        <v>3900</v>
      </c>
      <c r="TT23" s="277">
        <v>0</v>
      </c>
      <c r="TU23" s="235">
        <v>32500</v>
      </c>
      <c r="TV23" s="277">
        <v>0</v>
      </c>
      <c r="TW23" s="277">
        <v>0</v>
      </c>
      <c r="TX23" s="277">
        <v>0</v>
      </c>
      <c r="TY23" s="277">
        <v>0</v>
      </c>
      <c r="TZ23" s="277">
        <v>0</v>
      </c>
      <c r="UA23" s="277">
        <v>0</v>
      </c>
      <c r="UB23" s="277">
        <v>0</v>
      </c>
      <c r="UC23" s="277">
        <v>0</v>
      </c>
      <c r="UD23" s="277">
        <v>0</v>
      </c>
      <c r="UE23" s="277">
        <v>0</v>
      </c>
      <c r="UF23" s="277">
        <v>0</v>
      </c>
      <c r="UG23" s="277">
        <v>0</v>
      </c>
      <c r="UH23" s="277">
        <v>0</v>
      </c>
      <c r="UI23" s="277">
        <v>0</v>
      </c>
      <c r="UJ23" s="277">
        <v>0</v>
      </c>
      <c r="UK23" s="277">
        <v>0</v>
      </c>
      <c r="UL23" s="277">
        <v>0</v>
      </c>
      <c r="UM23" s="277">
        <v>0</v>
      </c>
      <c r="UN23" s="277">
        <v>0</v>
      </c>
      <c r="UO23" s="277">
        <v>0</v>
      </c>
      <c r="UP23" s="277">
        <v>0</v>
      </c>
      <c r="UQ23" s="277">
        <v>0</v>
      </c>
      <c r="UR23" s="277">
        <v>0</v>
      </c>
      <c r="US23" s="277">
        <v>0</v>
      </c>
      <c r="UT23" s="277">
        <v>0</v>
      </c>
      <c r="UU23" s="277">
        <v>0</v>
      </c>
      <c r="UV23" s="277">
        <v>0</v>
      </c>
      <c r="UW23" s="277">
        <v>0</v>
      </c>
      <c r="UX23" s="277">
        <v>0</v>
      </c>
      <c r="UY23" s="277">
        <v>0</v>
      </c>
      <c r="UZ23" s="277">
        <v>0</v>
      </c>
      <c r="VA23" s="235">
        <v>32500</v>
      </c>
      <c r="VB23" s="277">
        <v>0</v>
      </c>
      <c r="VC23" s="277">
        <v>0</v>
      </c>
      <c r="VD23" s="277">
        <v>0</v>
      </c>
      <c r="VE23" s="277">
        <v>0</v>
      </c>
      <c r="VF23" s="277">
        <v>0</v>
      </c>
      <c r="VG23" s="277">
        <v>0</v>
      </c>
      <c r="VH23" s="277">
        <v>0</v>
      </c>
      <c r="VI23" s="277">
        <v>0</v>
      </c>
      <c r="VJ23" s="277">
        <v>0</v>
      </c>
      <c r="VK23" s="277">
        <v>0</v>
      </c>
      <c r="VL23" s="277">
        <v>0</v>
      </c>
      <c r="VM23" s="277">
        <v>0</v>
      </c>
      <c r="VN23" s="277">
        <v>0</v>
      </c>
      <c r="VO23" s="277">
        <v>0</v>
      </c>
      <c r="VP23" s="277">
        <v>0</v>
      </c>
      <c r="VQ23" s="277">
        <v>0</v>
      </c>
      <c r="VR23" s="277">
        <v>0</v>
      </c>
      <c r="VS23" s="277">
        <v>0</v>
      </c>
      <c r="VT23" s="277">
        <v>0</v>
      </c>
      <c r="VU23" s="277">
        <v>0</v>
      </c>
      <c r="VV23" s="277">
        <v>0</v>
      </c>
      <c r="VW23" s="277">
        <v>0</v>
      </c>
      <c r="VX23" s="277">
        <v>0</v>
      </c>
      <c r="VY23" s="277">
        <v>0</v>
      </c>
      <c r="VZ23" s="277">
        <v>0</v>
      </c>
      <c r="WA23" s="277">
        <v>0</v>
      </c>
      <c r="WB23" s="277">
        <v>0</v>
      </c>
      <c r="WC23" s="277">
        <v>0</v>
      </c>
      <c r="WD23" s="277">
        <v>0</v>
      </c>
      <c r="WE23" s="277">
        <v>0</v>
      </c>
      <c r="WF23" s="235">
        <v>32500</v>
      </c>
      <c r="WG23" s="277">
        <v>0</v>
      </c>
      <c r="WH23" s="277">
        <v>0</v>
      </c>
      <c r="WI23" s="277">
        <v>0</v>
      </c>
      <c r="WJ23" s="277">
        <v>0</v>
      </c>
      <c r="WK23" s="277">
        <v>0</v>
      </c>
      <c r="WL23" s="277">
        <v>0</v>
      </c>
      <c r="WM23" s="277">
        <v>0</v>
      </c>
      <c r="WN23" s="277">
        <v>0</v>
      </c>
      <c r="WO23" s="277">
        <v>0</v>
      </c>
      <c r="WP23" s="277">
        <v>0</v>
      </c>
      <c r="WQ23" s="277">
        <v>0</v>
      </c>
      <c r="WR23" s="277">
        <v>0</v>
      </c>
      <c r="WS23" s="277">
        <v>0</v>
      </c>
      <c r="WT23" s="277">
        <v>0</v>
      </c>
      <c r="WU23" s="277">
        <v>0</v>
      </c>
      <c r="WV23" s="277">
        <v>0</v>
      </c>
      <c r="WW23" s="277">
        <v>0</v>
      </c>
      <c r="WX23" s="277">
        <v>0</v>
      </c>
      <c r="WY23" s="277">
        <v>0</v>
      </c>
      <c r="WZ23" s="277">
        <v>0</v>
      </c>
      <c r="XA23" s="277">
        <v>0</v>
      </c>
      <c r="XB23" s="277">
        <v>0</v>
      </c>
      <c r="XC23" s="277">
        <v>0</v>
      </c>
      <c r="XD23" s="277">
        <v>0</v>
      </c>
      <c r="XE23" s="277">
        <v>0</v>
      </c>
      <c r="XF23" s="277">
        <v>0</v>
      </c>
      <c r="XG23" s="277">
        <v>0</v>
      </c>
      <c r="XH23" s="277">
        <v>0</v>
      </c>
      <c r="XI23" s="277">
        <v>0</v>
      </c>
      <c r="XJ23" s="277">
        <v>0</v>
      </c>
      <c r="XK23" s="277">
        <v>0</v>
      </c>
      <c r="XL23" s="235">
        <v>0</v>
      </c>
      <c r="XM23" s="277">
        <v>0</v>
      </c>
      <c r="XN23" s="277">
        <v>0</v>
      </c>
      <c r="XO23" s="277">
        <v>0</v>
      </c>
      <c r="XP23" s="277">
        <v>0</v>
      </c>
      <c r="XQ23" s="277">
        <v>0</v>
      </c>
      <c r="XR23" s="277">
        <v>0</v>
      </c>
      <c r="XS23" s="277">
        <v>0</v>
      </c>
      <c r="XT23" s="277">
        <v>0</v>
      </c>
      <c r="XU23" s="277">
        <v>0</v>
      </c>
      <c r="XV23" s="277">
        <v>0</v>
      </c>
      <c r="XW23" s="277">
        <v>0</v>
      </c>
      <c r="XX23" s="277">
        <v>0</v>
      </c>
      <c r="XY23" s="277">
        <v>0</v>
      </c>
      <c r="XZ23" s="277">
        <v>0</v>
      </c>
      <c r="YA23" s="277">
        <v>0</v>
      </c>
      <c r="YB23" s="277">
        <v>0</v>
      </c>
      <c r="YC23" s="277">
        <v>0</v>
      </c>
      <c r="YD23" s="277">
        <v>0</v>
      </c>
      <c r="YE23" s="277">
        <v>0</v>
      </c>
      <c r="YF23" s="277">
        <v>0</v>
      </c>
      <c r="YG23" s="277">
        <v>0</v>
      </c>
      <c r="YH23" s="277">
        <v>0</v>
      </c>
      <c r="YI23" s="277">
        <v>0</v>
      </c>
      <c r="YJ23" s="277">
        <v>0</v>
      </c>
      <c r="YK23" s="277">
        <v>0</v>
      </c>
      <c r="YL23" s="277">
        <v>0</v>
      </c>
      <c r="YM23" s="277">
        <v>0</v>
      </c>
      <c r="YN23" s="277">
        <v>0</v>
      </c>
      <c r="YO23" s="277">
        <v>0</v>
      </c>
      <c r="YP23" s="277">
        <v>0</v>
      </c>
      <c r="YQ23" s="277">
        <v>0</v>
      </c>
      <c r="YR23" s="235">
        <v>0</v>
      </c>
      <c r="YS23" s="277">
        <v>0</v>
      </c>
      <c r="YT23" s="277">
        <v>0</v>
      </c>
      <c r="YU23" s="277">
        <v>0</v>
      </c>
      <c r="YV23" s="277">
        <v>0</v>
      </c>
      <c r="YW23" s="277">
        <v>0</v>
      </c>
      <c r="YX23" s="277">
        <v>0</v>
      </c>
      <c r="YY23" s="277">
        <v>0</v>
      </c>
      <c r="YZ23" s="277">
        <v>0</v>
      </c>
      <c r="ZA23" s="277">
        <v>0</v>
      </c>
      <c r="ZB23" s="277">
        <v>0</v>
      </c>
      <c r="ZC23" s="277">
        <v>0</v>
      </c>
      <c r="ZD23" s="277">
        <v>0</v>
      </c>
      <c r="ZE23" s="277">
        <v>0</v>
      </c>
      <c r="ZF23" s="277">
        <v>0</v>
      </c>
      <c r="ZG23" s="277">
        <v>0</v>
      </c>
      <c r="ZH23" s="277">
        <v>0</v>
      </c>
      <c r="ZI23" s="277">
        <v>0</v>
      </c>
      <c r="ZJ23" s="277">
        <v>0</v>
      </c>
      <c r="ZK23" s="277">
        <v>0</v>
      </c>
      <c r="ZL23" s="277">
        <v>0</v>
      </c>
      <c r="ZM23" s="277">
        <v>0</v>
      </c>
      <c r="ZN23" s="277">
        <v>0</v>
      </c>
      <c r="ZO23" s="277">
        <v>0</v>
      </c>
      <c r="ZP23" s="277">
        <v>0</v>
      </c>
      <c r="ZQ23" s="277">
        <v>0</v>
      </c>
      <c r="ZR23" s="277">
        <v>0</v>
      </c>
      <c r="ZS23" s="277">
        <v>0</v>
      </c>
      <c r="ZT23" s="277">
        <v>0</v>
      </c>
      <c r="ZU23" s="277">
        <v>0</v>
      </c>
      <c r="ZV23" s="277">
        <v>0</v>
      </c>
      <c r="ZW23" s="277">
        <v>0</v>
      </c>
      <c r="ZX23" s="235">
        <v>0</v>
      </c>
    </row>
    <row r="24" spans="2:1391" hidden="1">
      <c r="B24" s="408" t="s">
        <v>373</v>
      </c>
      <c r="C24" s="409">
        <v>0</v>
      </c>
      <c r="D24" s="409">
        <v>0</v>
      </c>
      <c r="E24" s="409">
        <v>0</v>
      </c>
      <c r="F24" s="409">
        <v>0</v>
      </c>
      <c r="G24" s="409">
        <v>0</v>
      </c>
      <c r="H24" s="409">
        <v>0</v>
      </c>
      <c r="I24" s="409">
        <v>0</v>
      </c>
      <c r="J24" s="409">
        <v>0</v>
      </c>
      <c r="K24" s="409">
        <v>0</v>
      </c>
      <c r="L24" s="409">
        <v>0</v>
      </c>
      <c r="M24" s="409">
        <v>0</v>
      </c>
      <c r="N24" s="409">
        <v>0</v>
      </c>
      <c r="O24" s="409">
        <v>0</v>
      </c>
      <c r="P24" s="409">
        <v>0</v>
      </c>
      <c r="Q24" s="409">
        <v>0</v>
      </c>
      <c r="R24" s="409">
        <v>0</v>
      </c>
      <c r="S24" s="409">
        <v>0</v>
      </c>
      <c r="T24" s="409">
        <v>0</v>
      </c>
      <c r="U24" s="409">
        <v>0</v>
      </c>
      <c r="V24" s="409">
        <v>0</v>
      </c>
      <c r="W24" s="409">
        <v>0</v>
      </c>
      <c r="X24" s="409">
        <v>0</v>
      </c>
      <c r="Y24" s="409">
        <v>0</v>
      </c>
      <c r="Z24" s="409">
        <v>0</v>
      </c>
      <c r="AA24" s="409">
        <v>0</v>
      </c>
      <c r="AB24" s="409">
        <v>0</v>
      </c>
      <c r="AC24" s="409">
        <v>0</v>
      </c>
      <c r="AD24" s="409">
        <v>0</v>
      </c>
      <c r="AE24" s="409">
        <v>0</v>
      </c>
      <c r="AF24" s="409">
        <v>0</v>
      </c>
      <c r="AG24" s="409">
        <v>0</v>
      </c>
      <c r="AH24" s="410">
        <f t="shared" si="28"/>
        <v>0</v>
      </c>
      <c r="AI24" s="411"/>
      <c r="AJ24" s="411"/>
      <c r="AK24" s="412"/>
      <c r="AL24" s="412"/>
      <c r="AM24" s="412"/>
      <c r="AN24" s="412"/>
      <c r="AO24" s="412"/>
      <c r="AP24" s="412"/>
      <c r="AQ24" s="412"/>
      <c r="AR24" s="412"/>
      <c r="AS24" s="412"/>
      <c r="AT24" s="412"/>
      <c r="AU24" s="413"/>
      <c r="AV24" s="414"/>
      <c r="AW24" s="413"/>
      <c r="AX24" s="413"/>
      <c r="AY24" s="413"/>
      <c r="AZ24" s="413"/>
      <c r="BA24" s="413"/>
      <c r="BB24" s="412"/>
      <c r="BC24" s="414"/>
      <c r="BD24" s="414"/>
      <c r="BE24" s="414"/>
      <c r="BF24" s="414"/>
      <c r="BG24" s="414"/>
      <c r="BH24" s="414"/>
      <c r="BI24" s="412"/>
      <c r="BJ24" s="412"/>
      <c r="BK24" s="410"/>
      <c r="BL24" s="411"/>
      <c r="BM24" s="411"/>
      <c r="BN24" s="415"/>
      <c r="BO24" s="415"/>
      <c r="BP24" s="415"/>
      <c r="BQ24" s="415"/>
      <c r="BR24" s="416"/>
      <c r="BS24" s="413"/>
      <c r="BT24" s="413"/>
      <c r="BU24" s="413"/>
      <c r="BV24" s="413"/>
      <c r="BW24" s="413"/>
      <c r="BX24" s="413"/>
      <c r="BY24" s="413"/>
      <c r="BZ24" s="413"/>
      <c r="CA24" s="413"/>
      <c r="CB24" s="413"/>
      <c r="CC24" s="413"/>
      <c r="CD24" s="413"/>
      <c r="CE24" s="415"/>
      <c r="CF24" s="416"/>
      <c r="CG24" s="416"/>
      <c r="CH24" s="416"/>
      <c r="CI24" s="416"/>
      <c r="CJ24" s="416"/>
      <c r="CK24" s="416"/>
      <c r="CL24" s="417"/>
      <c r="CM24" s="416"/>
      <c r="CN24" s="413"/>
      <c r="CO24" s="417"/>
      <c r="CP24" s="413"/>
      <c r="CQ24" s="410"/>
      <c r="CR24" s="411"/>
      <c r="CS24" s="411"/>
      <c r="CT24" s="415"/>
      <c r="CU24" s="415"/>
      <c r="CV24" s="415"/>
      <c r="CW24" s="415"/>
      <c r="CX24" s="416"/>
      <c r="CY24" s="413"/>
      <c r="CZ24" s="413"/>
      <c r="DA24" s="413"/>
      <c r="DB24" s="413"/>
      <c r="DC24" s="413"/>
      <c r="DD24" s="413"/>
      <c r="DE24" s="413"/>
      <c r="DF24" s="413"/>
      <c r="DG24" s="413"/>
      <c r="DH24" s="413"/>
      <c r="DI24" s="413"/>
      <c r="DJ24" s="413"/>
      <c r="DK24" s="415"/>
      <c r="DL24" s="416"/>
      <c r="DM24" s="416"/>
      <c r="DN24" s="416"/>
      <c r="DO24" s="416"/>
      <c r="DP24" s="416"/>
      <c r="DQ24" s="416"/>
      <c r="DR24" s="417"/>
      <c r="DS24" s="416"/>
      <c r="DT24" s="413"/>
      <c r="DU24" s="417"/>
      <c r="DV24" s="413"/>
      <c r="DW24" s="410"/>
      <c r="DX24" s="411"/>
      <c r="DY24" s="411"/>
      <c r="DZ24" s="415"/>
      <c r="EA24" s="415"/>
      <c r="EB24" s="415"/>
      <c r="EC24" s="415"/>
      <c r="ED24" s="418"/>
      <c r="EE24" s="416"/>
      <c r="EF24" s="416"/>
      <c r="EG24" s="416"/>
      <c r="EH24" s="418"/>
      <c r="EI24" s="413"/>
      <c r="EJ24" s="413"/>
      <c r="EK24" s="413"/>
      <c r="EL24" s="413"/>
      <c r="EM24" s="413"/>
      <c r="EN24" s="413"/>
      <c r="EO24" s="413"/>
      <c r="EP24" s="413"/>
      <c r="EQ24" s="415"/>
      <c r="ER24" s="416"/>
      <c r="ES24" s="413"/>
      <c r="ET24" s="414"/>
      <c r="EU24" s="413"/>
      <c r="EV24" s="413"/>
      <c r="EW24" s="413"/>
      <c r="EX24" s="414"/>
      <c r="EY24" s="414"/>
      <c r="EZ24" s="413"/>
      <c r="FA24" s="417"/>
      <c r="FB24" s="413"/>
      <c r="FC24" s="410"/>
      <c r="FD24" s="411"/>
      <c r="FE24" s="411"/>
      <c r="FF24" s="415"/>
      <c r="FG24" s="415"/>
      <c r="FH24" s="415"/>
      <c r="FI24" s="415"/>
      <c r="FJ24" s="416"/>
      <c r="FK24" s="413"/>
      <c r="FL24" s="413"/>
      <c r="FM24" s="413"/>
      <c r="FN24" s="413"/>
      <c r="FO24" s="413"/>
      <c r="FP24" s="413"/>
      <c r="FQ24" s="413"/>
      <c r="FR24" s="413"/>
      <c r="FS24" s="413"/>
      <c r="FT24" s="413"/>
      <c r="FU24" s="413"/>
      <c r="FV24" s="413"/>
      <c r="FW24" s="415"/>
      <c r="FX24" s="416"/>
      <c r="FY24" s="416"/>
      <c r="FZ24" s="416"/>
      <c r="GA24" s="416"/>
      <c r="GB24" s="416"/>
      <c r="GC24" s="416"/>
      <c r="GD24" s="417"/>
      <c r="GE24" s="416"/>
      <c r="GF24" s="413"/>
      <c r="GG24" s="417"/>
      <c r="GH24" s="413"/>
      <c r="GI24" s="410"/>
      <c r="GJ24" s="411"/>
      <c r="GK24" s="411"/>
      <c r="GL24" s="415"/>
      <c r="GM24" s="415"/>
      <c r="GN24" s="415"/>
      <c r="GO24" s="415"/>
      <c r="GP24" s="416"/>
      <c r="GQ24" s="413"/>
      <c r="GR24" s="414"/>
      <c r="GS24" s="413"/>
      <c r="GT24" s="413"/>
      <c r="GU24" s="413"/>
      <c r="GV24" s="414"/>
      <c r="GW24" s="414"/>
      <c r="GX24" s="413"/>
      <c r="GY24" s="413"/>
      <c r="GZ24" s="413"/>
      <c r="HA24" s="413"/>
      <c r="HB24" s="413"/>
      <c r="HC24" s="415"/>
      <c r="HD24" s="416"/>
      <c r="HE24" s="416"/>
      <c r="HF24" s="416"/>
      <c r="HG24" s="416"/>
      <c r="HH24" s="416"/>
      <c r="HI24" s="416"/>
      <c r="HJ24" s="417"/>
      <c r="HK24" s="416"/>
      <c r="HL24" s="413"/>
      <c r="HM24" s="417"/>
      <c r="HN24" s="413"/>
      <c r="HO24" s="410"/>
      <c r="HP24" s="411"/>
      <c r="HQ24" s="411"/>
      <c r="HR24" s="415"/>
      <c r="HS24" s="415"/>
      <c r="HT24" s="415"/>
      <c r="HU24" s="415"/>
      <c r="HV24" s="416"/>
      <c r="HW24" s="413"/>
      <c r="HX24" s="413"/>
      <c r="HY24" s="413"/>
      <c r="HZ24" s="413"/>
      <c r="IA24" s="413"/>
      <c r="IB24" s="413"/>
      <c r="IC24" s="413"/>
      <c r="ID24" s="413"/>
      <c r="IE24" s="413"/>
      <c r="IF24" s="413"/>
      <c r="IG24" s="413"/>
      <c r="IH24" s="413"/>
      <c r="II24" s="415"/>
      <c r="IJ24" s="416"/>
      <c r="IK24" s="416"/>
      <c r="IL24" s="416"/>
      <c r="IM24" s="416"/>
      <c r="IN24" s="416"/>
      <c r="IO24" s="416"/>
      <c r="IP24" s="417"/>
      <c r="IQ24" s="416"/>
      <c r="IR24" s="413"/>
      <c r="IS24" s="417"/>
      <c r="IT24" s="413"/>
      <c r="IU24" s="410"/>
      <c r="IV24" s="411"/>
      <c r="IW24" s="411"/>
      <c r="IX24" s="419"/>
      <c r="IY24" s="419"/>
      <c r="IZ24" s="419"/>
      <c r="JA24" s="419"/>
      <c r="JB24" s="414"/>
      <c r="JC24" s="413"/>
      <c r="JD24" s="413"/>
      <c r="JE24" s="413"/>
      <c r="JF24" s="413"/>
      <c r="JG24" s="413"/>
      <c r="JH24" s="413"/>
      <c r="JI24" s="413"/>
      <c r="JJ24" s="413"/>
      <c r="JK24" s="413"/>
      <c r="JL24" s="413"/>
      <c r="JM24" s="413"/>
      <c r="JN24" s="413"/>
      <c r="JO24" s="419"/>
      <c r="JP24" s="414"/>
      <c r="JQ24" s="414"/>
      <c r="JR24" s="414"/>
      <c r="JS24" s="414"/>
      <c r="JT24" s="414"/>
      <c r="JU24" s="414"/>
      <c r="JV24" s="412"/>
      <c r="JW24" s="414"/>
      <c r="JX24" s="413"/>
      <c r="JY24" s="412"/>
      <c r="JZ24" s="413"/>
      <c r="KA24" s="410"/>
      <c r="KB24" s="411"/>
      <c r="KC24" s="411"/>
      <c r="KD24" s="415"/>
      <c r="KE24" s="415"/>
      <c r="KF24" s="415"/>
      <c r="KG24" s="415"/>
      <c r="KH24" s="416"/>
      <c r="KI24" s="413"/>
      <c r="KJ24" s="413"/>
      <c r="KK24" s="413"/>
      <c r="KL24" s="413"/>
      <c r="KM24" s="413"/>
      <c r="KN24" s="413"/>
      <c r="KO24" s="413"/>
      <c r="KP24" s="413"/>
      <c r="KQ24" s="413"/>
      <c r="KR24" s="413"/>
      <c r="KS24" s="413"/>
      <c r="KT24" s="413"/>
      <c r="KU24" s="415"/>
      <c r="KV24" s="416"/>
      <c r="KW24" s="416"/>
      <c r="KX24" s="416"/>
      <c r="KY24" s="416"/>
      <c r="KZ24" s="416"/>
      <c r="LA24" s="416"/>
      <c r="LB24" s="417"/>
      <c r="LC24" s="416"/>
      <c r="LD24" s="413"/>
      <c r="LE24" s="417"/>
      <c r="LF24" s="413"/>
      <c r="LG24" s="410"/>
      <c r="LH24" s="411"/>
      <c r="LI24" s="411"/>
      <c r="LJ24" s="415"/>
      <c r="LK24" s="415"/>
      <c r="LL24" s="415"/>
      <c r="LM24" s="415"/>
      <c r="LN24" s="416"/>
      <c r="LO24" s="413"/>
      <c r="LP24" s="413"/>
      <c r="LQ24" s="413"/>
      <c r="LR24" s="413"/>
      <c r="LS24" s="413"/>
      <c r="LT24" s="413"/>
      <c r="LU24" s="413"/>
      <c r="LV24" s="413"/>
      <c r="LW24" s="413"/>
      <c r="LX24" s="413"/>
      <c r="LY24" s="413"/>
      <c r="LZ24" s="413"/>
      <c r="MA24" s="415"/>
      <c r="MB24" s="416"/>
      <c r="MC24" s="416"/>
      <c r="MD24" s="416"/>
      <c r="ME24" s="416"/>
      <c r="MF24" s="416"/>
      <c r="MG24" s="416"/>
      <c r="MH24" s="417"/>
      <c r="MI24" s="416"/>
      <c r="MJ24" s="413"/>
      <c r="MK24" s="417"/>
      <c r="ML24" s="413"/>
      <c r="MM24" s="410"/>
      <c r="MN24" s="411"/>
      <c r="MO24" s="411"/>
      <c r="MP24" s="415"/>
      <c r="MQ24" s="415"/>
      <c r="MR24" s="415"/>
      <c r="MS24" s="415"/>
      <c r="MT24" s="416"/>
      <c r="MU24" s="413"/>
      <c r="MV24" s="413"/>
      <c r="MW24" s="413"/>
      <c r="MX24" s="413"/>
      <c r="MY24" s="413"/>
      <c r="MZ24" s="413"/>
      <c r="NA24" s="413"/>
      <c r="NB24" s="413"/>
      <c r="NC24" s="413"/>
      <c r="ND24" s="413"/>
      <c r="NE24" s="413"/>
      <c r="NF24" s="413"/>
      <c r="NG24" s="415"/>
      <c r="NH24" s="416"/>
      <c r="NI24" s="416"/>
      <c r="NJ24" s="416"/>
      <c r="NK24" s="416"/>
      <c r="NL24" s="416"/>
      <c r="NM24" s="416"/>
      <c r="NN24" s="417"/>
      <c r="NO24" s="416"/>
      <c r="NP24" s="413"/>
      <c r="NQ24" s="417"/>
      <c r="NR24" s="413"/>
      <c r="NS24" s="410"/>
      <c r="NT24" s="409">
        <v>0</v>
      </c>
      <c r="NU24" s="409">
        <v>0</v>
      </c>
      <c r="NV24" s="409">
        <v>0</v>
      </c>
      <c r="NW24" s="409">
        <v>0</v>
      </c>
      <c r="NX24" s="409">
        <v>0</v>
      </c>
      <c r="NY24" s="409">
        <v>0</v>
      </c>
      <c r="NZ24" s="409">
        <v>0</v>
      </c>
      <c r="OA24" s="409">
        <v>0</v>
      </c>
      <c r="OB24" s="409">
        <v>0</v>
      </c>
      <c r="OC24" s="409">
        <v>0</v>
      </c>
      <c r="OD24" s="409">
        <v>0</v>
      </c>
      <c r="OE24" s="409">
        <v>0</v>
      </c>
      <c r="OF24" s="409">
        <v>0</v>
      </c>
      <c r="OG24" s="409">
        <v>0</v>
      </c>
      <c r="OH24" s="409">
        <v>0</v>
      </c>
      <c r="OI24" s="409">
        <v>0</v>
      </c>
      <c r="OJ24" s="409">
        <v>0</v>
      </c>
      <c r="OK24" s="409">
        <v>0</v>
      </c>
      <c r="OL24" s="409">
        <v>0</v>
      </c>
      <c r="OM24" s="409">
        <v>0</v>
      </c>
      <c r="ON24" s="409">
        <v>0</v>
      </c>
      <c r="OO24" s="409">
        <v>0</v>
      </c>
      <c r="OP24" s="409">
        <v>0</v>
      </c>
      <c r="OQ24" s="409">
        <v>0</v>
      </c>
      <c r="OR24" s="409">
        <v>0</v>
      </c>
      <c r="OS24" s="409">
        <v>0</v>
      </c>
      <c r="OT24" s="409">
        <v>0</v>
      </c>
      <c r="OU24" s="409">
        <v>0</v>
      </c>
      <c r="OV24" s="409">
        <v>0</v>
      </c>
      <c r="OW24" s="409">
        <v>0</v>
      </c>
      <c r="OX24" s="409">
        <v>0</v>
      </c>
      <c r="OY24" s="410">
        <f>SUM(NT24:OX24)</f>
        <v>0</v>
      </c>
      <c r="OZ24" s="409">
        <v>0</v>
      </c>
      <c r="PA24" s="409">
        <v>0</v>
      </c>
      <c r="PB24" s="409">
        <v>0</v>
      </c>
      <c r="PC24" s="409">
        <v>0</v>
      </c>
      <c r="PD24" s="409">
        <v>0</v>
      </c>
      <c r="PE24" s="409">
        <v>0</v>
      </c>
      <c r="PF24" s="409">
        <v>0</v>
      </c>
      <c r="PG24" s="409">
        <v>0</v>
      </c>
      <c r="PH24" s="409">
        <v>0</v>
      </c>
      <c r="PI24" s="409">
        <v>0</v>
      </c>
      <c r="PJ24" s="409">
        <v>0</v>
      </c>
      <c r="PK24" s="409">
        <v>0</v>
      </c>
      <c r="PL24" s="409">
        <v>0</v>
      </c>
      <c r="PM24" s="409">
        <v>0</v>
      </c>
      <c r="PN24" s="409">
        <v>0</v>
      </c>
      <c r="PO24" s="409">
        <v>0</v>
      </c>
      <c r="PP24" s="409">
        <v>0</v>
      </c>
      <c r="PQ24" s="409">
        <v>0</v>
      </c>
      <c r="PR24" s="409">
        <v>0</v>
      </c>
      <c r="PS24" s="409">
        <v>0</v>
      </c>
      <c r="PT24" s="409">
        <v>0</v>
      </c>
      <c r="PU24" s="409">
        <v>0</v>
      </c>
      <c r="PV24" s="409">
        <v>0</v>
      </c>
      <c r="PW24" s="409">
        <v>0</v>
      </c>
      <c r="PX24" s="409">
        <v>0</v>
      </c>
      <c r="PY24" s="409">
        <v>0</v>
      </c>
      <c r="PZ24" s="409">
        <v>0</v>
      </c>
      <c r="QA24" s="409">
        <v>0</v>
      </c>
      <c r="QB24" s="409">
        <v>0</v>
      </c>
      <c r="QC24" s="409">
        <v>0</v>
      </c>
      <c r="QD24" s="410">
        <f>SUM(OZ24:QC24)</f>
        <v>0</v>
      </c>
      <c r="QE24" s="409">
        <v>0</v>
      </c>
      <c r="QF24" s="409">
        <v>0</v>
      </c>
      <c r="QG24" s="409">
        <v>0</v>
      </c>
      <c r="QH24" s="409">
        <v>0</v>
      </c>
      <c r="QI24" s="409">
        <v>0</v>
      </c>
      <c r="QJ24" s="409">
        <v>0</v>
      </c>
      <c r="QK24" s="409">
        <v>0</v>
      </c>
      <c r="QL24" s="409">
        <v>0</v>
      </c>
      <c r="QM24" s="409">
        <v>0</v>
      </c>
      <c r="QN24" s="409">
        <v>0</v>
      </c>
      <c r="QO24" s="409">
        <v>0</v>
      </c>
      <c r="QP24" s="409">
        <v>0</v>
      </c>
      <c r="QQ24" s="409">
        <v>0</v>
      </c>
      <c r="QR24" s="409">
        <v>0</v>
      </c>
      <c r="QS24" s="409">
        <v>0</v>
      </c>
      <c r="QT24" s="409">
        <v>0</v>
      </c>
      <c r="QU24" s="409">
        <v>0</v>
      </c>
      <c r="QV24" s="409">
        <v>0</v>
      </c>
      <c r="QW24" s="409">
        <v>0</v>
      </c>
      <c r="QX24" s="409">
        <v>0</v>
      </c>
      <c r="QY24" s="409">
        <v>0</v>
      </c>
      <c r="QZ24" s="409">
        <v>0</v>
      </c>
      <c r="RA24" s="409">
        <v>0</v>
      </c>
      <c r="RB24" s="409">
        <v>0</v>
      </c>
      <c r="RC24" s="409">
        <v>0</v>
      </c>
      <c r="RD24" s="409">
        <v>0</v>
      </c>
      <c r="RE24" s="409">
        <v>0</v>
      </c>
      <c r="RF24" s="409">
        <v>0</v>
      </c>
      <c r="RG24" s="409">
        <v>0</v>
      </c>
      <c r="RH24" s="409">
        <v>0</v>
      </c>
      <c r="RI24" s="409">
        <v>0</v>
      </c>
      <c r="RJ24" s="410">
        <v>0</v>
      </c>
      <c r="RK24" s="409">
        <v>0</v>
      </c>
      <c r="RL24" s="409">
        <v>0</v>
      </c>
      <c r="RM24" s="409">
        <v>0</v>
      </c>
      <c r="RN24" s="409">
        <v>0</v>
      </c>
      <c r="RO24" s="409">
        <v>0</v>
      </c>
      <c r="RP24" s="409">
        <v>0</v>
      </c>
      <c r="RQ24" s="409">
        <v>0</v>
      </c>
      <c r="RR24" s="409">
        <v>0</v>
      </c>
      <c r="RS24" s="409">
        <v>0</v>
      </c>
      <c r="RT24" s="409">
        <v>0</v>
      </c>
      <c r="RU24" s="409">
        <v>0</v>
      </c>
      <c r="RV24" s="409">
        <v>0</v>
      </c>
      <c r="RW24" s="409">
        <v>0</v>
      </c>
      <c r="RX24" s="409">
        <v>0</v>
      </c>
      <c r="RY24" s="409">
        <v>0</v>
      </c>
      <c r="RZ24" s="409">
        <v>0</v>
      </c>
      <c r="SA24" s="409">
        <v>0</v>
      </c>
      <c r="SB24" s="409">
        <v>0</v>
      </c>
      <c r="SC24" s="409">
        <v>0</v>
      </c>
      <c r="SD24" s="409">
        <v>0</v>
      </c>
      <c r="SE24" s="409">
        <v>0</v>
      </c>
      <c r="SF24" s="409">
        <v>0</v>
      </c>
      <c r="SG24" s="409">
        <v>0</v>
      </c>
      <c r="SH24" s="409">
        <v>0</v>
      </c>
      <c r="SI24" s="409">
        <v>0</v>
      </c>
      <c r="SJ24" s="409">
        <v>0</v>
      </c>
      <c r="SK24" s="409">
        <v>0</v>
      </c>
      <c r="SL24" s="409">
        <v>0</v>
      </c>
      <c r="SM24" s="409">
        <v>0</v>
      </c>
      <c r="SN24" s="409">
        <v>0</v>
      </c>
      <c r="SO24" s="245">
        <v>0</v>
      </c>
      <c r="SP24" s="409">
        <v>0</v>
      </c>
      <c r="SQ24" s="409">
        <v>0</v>
      </c>
      <c r="SR24" s="409">
        <v>0</v>
      </c>
      <c r="SS24" s="409">
        <v>0</v>
      </c>
      <c r="ST24" s="409">
        <v>0</v>
      </c>
      <c r="SU24" s="409">
        <v>0</v>
      </c>
      <c r="SV24" s="409">
        <v>0</v>
      </c>
      <c r="SW24" s="409">
        <v>0</v>
      </c>
      <c r="SX24" s="409">
        <v>0</v>
      </c>
      <c r="SY24" s="409">
        <v>0</v>
      </c>
      <c r="SZ24" s="409">
        <v>0</v>
      </c>
      <c r="TA24" s="409">
        <v>0</v>
      </c>
      <c r="TB24" s="409">
        <v>0</v>
      </c>
      <c r="TC24" s="409">
        <v>0</v>
      </c>
      <c r="TD24" s="409">
        <v>0</v>
      </c>
      <c r="TE24" s="409">
        <v>0</v>
      </c>
      <c r="TF24" s="409">
        <v>0</v>
      </c>
      <c r="TG24" s="409">
        <v>0</v>
      </c>
      <c r="TH24" s="409">
        <v>0</v>
      </c>
      <c r="TI24" s="409">
        <v>0</v>
      </c>
      <c r="TJ24" s="409">
        <v>0</v>
      </c>
      <c r="TK24" s="409">
        <v>0</v>
      </c>
      <c r="TL24" s="409">
        <v>0</v>
      </c>
      <c r="TM24" s="409">
        <v>0</v>
      </c>
      <c r="TN24" s="409">
        <v>0</v>
      </c>
      <c r="TO24" s="456">
        <v>14621.187</v>
      </c>
      <c r="TP24" s="409">
        <v>0</v>
      </c>
      <c r="TQ24" s="409">
        <v>0</v>
      </c>
      <c r="TR24" s="409">
        <v>0</v>
      </c>
      <c r="TS24" s="409">
        <v>0</v>
      </c>
      <c r="TT24" s="409">
        <v>0</v>
      </c>
      <c r="TU24" s="245">
        <v>0</v>
      </c>
      <c r="TV24" s="456">
        <v>30798.814000000002</v>
      </c>
      <c r="TW24" s="409">
        <v>0</v>
      </c>
      <c r="TX24" s="409">
        <v>0</v>
      </c>
      <c r="TY24" s="409">
        <v>0</v>
      </c>
      <c r="TZ24" s="409">
        <v>0</v>
      </c>
      <c r="UA24" s="409">
        <v>0</v>
      </c>
      <c r="UB24" s="409">
        <v>0</v>
      </c>
      <c r="UC24" s="409">
        <v>0</v>
      </c>
      <c r="UD24" s="409">
        <v>0</v>
      </c>
      <c r="UE24" s="409">
        <v>0</v>
      </c>
      <c r="UF24" s="409">
        <v>0</v>
      </c>
      <c r="UG24" s="409">
        <v>0</v>
      </c>
      <c r="UH24" s="409">
        <v>0</v>
      </c>
      <c r="UI24" s="409">
        <v>0</v>
      </c>
      <c r="UJ24" s="409">
        <v>0</v>
      </c>
      <c r="UK24" s="409">
        <v>0</v>
      </c>
      <c r="UL24" s="409">
        <v>0</v>
      </c>
      <c r="UM24" s="409">
        <v>0</v>
      </c>
      <c r="UN24" s="409">
        <v>0</v>
      </c>
      <c r="UO24" s="409">
        <v>0</v>
      </c>
      <c r="UP24" s="409">
        <v>0</v>
      </c>
      <c r="UQ24" s="409">
        <v>0</v>
      </c>
      <c r="UR24" s="409">
        <v>0</v>
      </c>
      <c r="US24" s="409">
        <v>0</v>
      </c>
      <c r="UT24" s="409">
        <v>0</v>
      </c>
      <c r="UU24" s="409">
        <v>0</v>
      </c>
      <c r="UV24" s="409">
        <v>0</v>
      </c>
      <c r="UW24" s="409">
        <v>0</v>
      </c>
      <c r="UX24" s="409">
        <v>0</v>
      </c>
      <c r="UY24" s="409">
        <v>0</v>
      </c>
      <c r="UZ24" s="409">
        <v>0</v>
      </c>
      <c r="VA24" s="245">
        <v>30798.814000000002</v>
      </c>
      <c r="VB24" s="409">
        <v>0</v>
      </c>
      <c r="VC24" s="409">
        <v>0</v>
      </c>
      <c r="VD24" s="409">
        <v>0</v>
      </c>
      <c r="VE24" s="409">
        <v>0</v>
      </c>
      <c r="VF24" s="409">
        <v>0</v>
      </c>
      <c r="VG24" s="409">
        <v>0</v>
      </c>
      <c r="VH24" s="409">
        <v>0</v>
      </c>
      <c r="VI24" s="409">
        <v>0</v>
      </c>
      <c r="VJ24" s="409">
        <v>0</v>
      </c>
      <c r="VK24" s="409">
        <v>0</v>
      </c>
      <c r="VL24" s="409">
        <v>0</v>
      </c>
      <c r="VM24" s="409">
        <v>0</v>
      </c>
      <c r="VN24" s="409">
        <v>0</v>
      </c>
      <c r="VO24" s="409">
        <v>0</v>
      </c>
      <c r="VP24" s="409">
        <v>0</v>
      </c>
      <c r="VQ24" s="409">
        <v>0</v>
      </c>
      <c r="VR24" s="409">
        <v>0</v>
      </c>
      <c r="VS24" s="409">
        <v>0</v>
      </c>
      <c r="VT24" s="409">
        <v>0</v>
      </c>
      <c r="VU24" s="409">
        <v>0</v>
      </c>
      <c r="VV24" s="409">
        <v>0</v>
      </c>
      <c r="VW24" s="409">
        <v>0</v>
      </c>
      <c r="VX24" s="409">
        <v>0</v>
      </c>
      <c r="VY24" s="409">
        <v>0</v>
      </c>
      <c r="VZ24" s="409">
        <v>0</v>
      </c>
      <c r="WA24" s="409">
        <v>0</v>
      </c>
      <c r="WB24" s="409">
        <v>0</v>
      </c>
      <c r="WC24" s="409">
        <v>0</v>
      </c>
      <c r="WD24" s="409">
        <v>0</v>
      </c>
      <c r="WE24" s="409">
        <v>0</v>
      </c>
      <c r="WF24" s="245">
        <v>30798.814000000002</v>
      </c>
      <c r="WG24" s="409">
        <v>0</v>
      </c>
      <c r="WH24" s="409">
        <v>0</v>
      </c>
      <c r="WI24" s="409">
        <v>0</v>
      </c>
      <c r="WJ24" s="409">
        <v>0</v>
      </c>
      <c r="WK24" s="409">
        <v>0</v>
      </c>
      <c r="WL24" s="409">
        <v>0</v>
      </c>
      <c r="WM24" s="409">
        <v>0</v>
      </c>
      <c r="WN24" s="409">
        <v>0</v>
      </c>
      <c r="WO24" s="409">
        <v>0</v>
      </c>
      <c r="WP24" s="409">
        <v>0</v>
      </c>
      <c r="WQ24" s="409">
        <v>0</v>
      </c>
      <c r="WR24" s="409">
        <v>0</v>
      </c>
      <c r="WS24" s="409">
        <v>0</v>
      </c>
      <c r="WT24" s="409">
        <v>0</v>
      </c>
      <c r="WU24" s="409">
        <v>0</v>
      </c>
      <c r="WV24" s="409">
        <v>0</v>
      </c>
      <c r="WW24" s="409">
        <v>0</v>
      </c>
      <c r="WX24" s="409">
        <v>0</v>
      </c>
      <c r="WY24" s="409">
        <v>0</v>
      </c>
      <c r="WZ24" s="409">
        <v>0</v>
      </c>
      <c r="XA24" s="409">
        <v>0</v>
      </c>
      <c r="XB24" s="409">
        <v>0</v>
      </c>
      <c r="XC24" s="409">
        <v>0</v>
      </c>
      <c r="XD24" s="409">
        <v>0</v>
      </c>
      <c r="XE24" s="409">
        <v>0</v>
      </c>
      <c r="XF24" s="409">
        <v>0</v>
      </c>
      <c r="XG24" s="409">
        <v>0</v>
      </c>
      <c r="XH24" s="409">
        <v>0</v>
      </c>
      <c r="XI24" s="409">
        <v>0</v>
      </c>
      <c r="XJ24" s="409">
        <v>0</v>
      </c>
      <c r="XK24" s="409">
        <v>0</v>
      </c>
      <c r="XL24" s="245">
        <v>0</v>
      </c>
      <c r="XM24" s="409">
        <v>0</v>
      </c>
      <c r="XN24" s="409">
        <v>0</v>
      </c>
      <c r="XO24" s="409">
        <v>0</v>
      </c>
      <c r="XP24" s="409">
        <v>0</v>
      </c>
      <c r="XQ24" s="409">
        <v>0</v>
      </c>
      <c r="XR24" s="409">
        <v>0</v>
      </c>
      <c r="XS24" s="409">
        <v>0</v>
      </c>
      <c r="XT24" s="409">
        <v>0</v>
      </c>
      <c r="XU24" s="409">
        <v>0</v>
      </c>
      <c r="XV24" s="409">
        <v>0</v>
      </c>
      <c r="XW24" s="409">
        <v>0</v>
      </c>
      <c r="XX24" s="409">
        <v>0</v>
      </c>
      <c r="XY24" s="409">
        <v>0</v>
      </c>
      <c r="XZ24" s="409">
        <v>0</v>
      </c>
      <c r="YA24" s="409">
        <v>0</v>
      </c>
      <c r="YB24" s="409">
        <v>0</v>
      </c>
      <c r="YC24" s="409">
        <v>0</v>
      </c>
      <c r="YD24" s="409">
        <v>0</v>
      </c>
      <c r="YE24" s="409">
        <v>0</v>
      </c>
      <c r="YF24" s="409">
        <v>0</v>
      </c>
      <c r="YG24" s="409">
        <v>0</v>
      </c>
      <c r="YH24" s="409">
        <v>0</v>
      </c>
      <c r="YI24" s="409">
        <v>0</v>
      </c>
      <c r="YJ24" s="409">
        <v>0</v>
      </c>
      <c r="YK24" s="409">
        <v>0</v>
      </c>
      <c r="YL24" s="409">
        <v>0</v>
      </c>
      <c r="YM24" s="409">
        <v>0</v>
      </c>
      <c r="YN24" s="409">
        <v>0</v>
      </c>
      <c r="YO24" s="409">
        <v>0</v>
      </c>
      <c r="YP24" s="409">
        <v>0</v>
      </c>
      <c r="YQ24" s="409">
        <v>0</v>
      </c>
      <c r="YR24" s="245">
        <v>0</v>
      </c>
      <c r="YS24" s="409">
        <v>0</v>
      </c>
      <c r="YT24" s="409">
        <v>0</v>
      </c>
      <c r="YU24" s="409">
        <v>0</v>
      </c>
      <c r="YV24" s="409">
        <v>0</v>
      </c>
      <c r="YW24" s="409">
        <v>0</v>
      </c>
      <c r="YX24" s="409">
        <v>0</v>
      </c>
      <c r="YY24" s="409">
        <v>0</v>
      </c>
      <c r="YZ24" s="409">
        <v>0</v>
      </c>
      <c r="ZA24" s="409">
        <v>0</v>
      </c>
      <c r="ZB24" s="409">
        <v>0</v>
      </c>
      <c r="ZC24" s="409">
        <v>0</v>
      </c>
      <c r="ZD24" s="409">
        <v>0</v>
      </c>
      <c r="ZE24" s="409">
        <v>0</v>
      </c>
      <c r="ZF24" s="409">
        <v>0</v>
      </c>
      <c r="ZG24" s="409">
        <v>0</v>
      </c>
      <c r="ZH24" s="409">
        <v>0</v>
      </c>
      <c r="ZI24" s="409">
        <v>0</v>
      </c>
      <c r="ZJ24" s="409">
        <v>0</v>
      </c>
      <c r="ZK24" s="409">
        <v>0</v>
      </c>
      <c r="ZL24" s="409">
        <v>0</v>
      </c>
      <c r="ZM24" s="409">
        <v>0</v>
      </c>
      <c r="ZN24" s="409">
        <v>0</v>
      </c>
      <c r="ZO24" s="409">
        <v>0</v>
      </c>
      <c r="ZP24" s="409">
        <v>0</v>
      </c>
      <c r="ZQ24" s="409">
        <v>0</v>
      </c>
      <c r="ZR24" s="409">
        <v>0</v>
      </c>
      <c r="ZS24" s="409">
        <v>0</v>
      </c>
      <c r="ZT24" s="409">
        <v>0</v>
      </c>
      <c r="ZU24" s="409">
        <v>0</v>
      </c>
      <c r="ZV24" s="409">
        <v>0</v>
      </c>
      <c r="ZW24" s="409">
        <v>0</v>
      </c>
      <c r="ZX24" s="245">
        <v>0</v>
      </c>
    </row>
    <row r="25" spans="2:1391">
      <c r="B25" s="527" t="s">
        <v>374</v>
      </c>
      <c r="C25" s="982">
        <f>SUM(C6:AG6)/BAN3</f>
        <v>0</v>
      </c>
      <c r="D25" s="982">
        <f>+C25</f>
        <v>0</v>
      </c>
      <c r="E25" s="982">
        <f t="shared" ref="E25:AG26" si="29">+D25</f>
        <v>0</v>
      </c>
      <c r="F25" s="982">
        <f t="shared" si="29"/>
        <v>0</v>
      </c>
      <c r="G25" s="982">
        <f t="shared" si="29"/>
        <v>0</v>
      </c>
      <c r="H25" s="982">
        <f t="shared" si="29"/>
        <v>0</v>
      </c>
      <c r="I25" s="982">
        <f t="shared" si="29"/>
        <v>0</v>
      </c>
      <c r="J25" s="982">
        <f t="shared" si="29"/>
        <v>0</v>
      </c>
      <c r="K25" s="982">
        <f t="shared" si="29"/>
        <v>0</v>
      </c>
      <c r="L25" s="982">
        <f t="shared" si="29"/>
        <v>0</v>
      </c>
      <c r="M25" s="982">
        <f t="shared" si="29"/>
        <v>0</v>
      </c>
      <c r="N25" s="982">
        <f t="shared" si="29"/>
        <v>0</v>
      </c>
      <c r="O25" s="982">
        <f t="shared" si="29"/>
        <v>0</v>
      </c>
      <c r="P25" s="982">
        <f t="shared" si="29"/>
        <v>0</v>
      </c>
      <c r="Q25" s="982">
        <f t="shared" si="29"/>
        <v>0</v>
      </c>
      <c r="R25" s="982">
        <f t="shared" si="29"/>
        <v>0</v>
      </c>
      <c r="S25" s="982">
        <f t="shared" si="29"/>
        <v>0</v>
      </c>
      <c r="T25" s="982">
        <f t="shared" si="29"/>
        <v>0</v>
      </c>
      <c r="U25" s="982">
        <f t="shared" si="29"/>
        <v>0</v>
      </c>
      <c r="V25" s="982">
        <f t="shared" si="29"/>
        <v>0</v>
      </c>
      <c r="W25" s="982">
        <f t="shared" si="29"/>
        <v>0</v>
      </c>
      <c r="X25" s="982">
        <f t="shared" si="29"/>
        <v>0</v>
      </c>
      <c r="Y25" s="982">
        <f t="shared" si="29"/>
        <v>0</v>
      </c>
      <c r="Z25" s="982">
        <f t="shared" si="29"/>
        <v>0</v>
      </c>
      <c r="AA25" s="982">
        <f t="shared" si="29"/>
        <v>0</v>
      </c>
      <c r="AB25" s="982">
        <f t="shared" si="29"/>
        <v>0</v>
      </c>
      <c r="AC25" s="982">
        <f t="shared" si="29"/>
        <v>0</v>
      </c>
      <c r="AD25" s="982">
        <f t="shared" si="29"/>
        <v>0</v>
      </c>
      <c r="AE25" s="982">
        <f t="shared" si="29"/>
        <v>0</v>
      </c>
      <c r="AF25" s="982">
        <f t="shared" si="29"/>
        <v>0</v>
      </c>
      <c r="AG25" s="982">
        <f t="shared" si="29"/>
        <v>0</v>
      </c>
      <c r="AH25" s="235">
        <f t="shared" si="28"/>
        <v>0</v>
      </c>
    </row>
    <row r="26" spans="2:1391">
      <c r="B26" s="527" t="s">
        <v>375</v>
      </c>
      <c r="C26" s="982">
        <f>(Outlook!$J$12/Actual!$E$3)/1000</f>
        <v>5.9499931666666672</v>
      </c>
      <c r="D26" s="982">
        <f>+C26</f>
        <v>5.9499931666666672</v>
      </c>
      <c r="E26" s="982">
        <f>+D26</f>
        <v>5.9499931666666672</v>
      </c>
      <c r="F26" s="982">
        <f t="shared" si="29"/>
        <v>5.9499931666666672</v>
      </c>
      <c r="G26" s="982">
        <f t="shared" si="29"/>
        <v>5.9499931666666672</v>
      </c>
      <c r="H26" s="982">
        <f t="shared" si="29"/>
        <v>5.9499931666666672</v>
      </c>
      <c r="I26" s="982">
        <f t="shared" si="29"/>
        <v>5.9499931666666672</v>
      </c>
      <c r="J26" s="982">
        <f t="shared" si="29"/>
        <v>5.9499931666666672</v>
      </c>
      <c r="K26" s="982">
        <f t="shared" si="29"/>
        <v>5.9499931666666672</v>
      </c>
      <c r="L26" s="982">
        <f t="shared" si="29"/>
        <v>5.9499931666666672</v>
      </c>
      <c r="M26" s="982">
        <f t="shared" si="29"/>
        <v>5.9499931666666672</v>
      </c>
      <c r="N26" s="982">
        <f t="shared" si="29"/>
        <v>5.9499931666666672</v>
      </c>
      <c r="O26" s="982">
        <f t="shared" si="29"/>
        <v>5.9499931666666672</v>
      </c>
      <c r="P26" s="982">
        <f t="shared" si="29"/>
        <v>5.9499931666666672</v>
      </c>
      <c r="Q26" s="982">
        <f t="shared" si="29"/>
        <v>5.9499931666666672</v>
      </c>
      <c r="R26" s="982">
        <f t="shared" si="29"/>
        <v>5.9499931666666672</v>
      </c>
      <c r="S26" s="982">
        <f t="shared" si="29"/>
        <v>5.9499931666666672</v>
      </c>
      <c r="T26" s="982">
        <f t="shared" si="29"/>
        <v>5.9499931666666672</v>
      </c>
      <c r="U26" s="982">
        <f t="shared" si="29"/>
        <v>5.9499931666666672</v>
      </c>
      <c r="V26" s="982">
        <f t="shared" si="29"/>
        <v>5.9499931666666672</v>
      </c>
      <c r="W26" s="982">
        <f t="shared" si="29"/>
        <v>5.9499931666666672</v>
      </c>
      <c r="X26" s="982">
        <f t="shared" si="29"/>
        <v>5.9499931666666672</v>
      </c>
      <c r="Y26" s="982">
        <f t="shared" si="29"/>
        <v>5.9499931666666672</v>
      </c>
      <c r="Z26" s="982">
        <f t="shared" si="29"/>
        <v>5.9499931666666672</v>
      </c>
      <c r="AA26" s="982">
        <f t="shared" si="29"/>
        <v>5.9499931666666672</v>
      </c>
      <c r="AB26" s="982">
        <f t="shared" si="29"/>
        <v>5.9499931666666672</v>
      </c>
      <c r="AC26" s="982">
        <f t="shared" si="29"/>
        <v>5.9499931666666672</v>
      </c>
      <c r="AD26" s="982">
        <f t="shared" si="29"/>
        <v>5.9499931666666672</v>
      </c>
      <c r="AE26" s="982">
        <f t="shared" si="29"/>
        <v>5.9499931666666672</v>
      </c>
      <c r="AF26" s="982">
        <f t="shared" si="29"/>
        <v>5.9499931666666672</v>
      </c>
      <c r="AG26" s="982">
        <f>IF(Actual!$E$3=30,0,AF26)</f>
        <v>0</v>
      </c>
      <c r="AH26" s="235">
        <f t="shared" si="28"/>
        <v>178.49979500000009</v>
      </c>
      <c r="MN26" s="311"/>
    </row>
    <row r="27" spans="2:1391">
      <c r="D27" s="311"/>
      <c r="BL27" s="286"/>
      <c r="BM27" s="286"/>
      <c r="CR27" s="227" t="s">
        <v>12</v>
      </c>
      <c r="CS27" s="227" t="s">
        <v>2</v>
      </c>
      <c r="DX27" s="227" t="s">
        <v>12</v>
      </c>
      <c r="DY27" s="227" t="s">
        <v>2</v>
      </c>
      <c r="GJ27" s="227" t="s">
        <v>12</v>
      </c>
      <c r="GK27" s="227" t="s">
        <v>2</v>
      </c>
      <c r="HP27" s="227" t="s">
        <v>12</v>
      </c>
      <c r="HQ27" s="227" t="s">
        <v>2</v>
      </c>
      <c r="IV27" s="227" t="s">
        <v>12</v>
      </c>
      <c r="IW27" s="227" t="s">
        <v>2</v>
      </c>
      <c r="IY27" s="227">
        <f>105000/30</f>
        <v>3500</v>
      </c>
      <c r="KB27" s="227" t="s">
        <v>12</v>
      </c>
      <c r="KC27" s="227" t="s">
        <v>2</v>
      </c>
      <c r="LH27" s="227" t="s">
        <v>12</v>
      </c>
      <c r="LI27" s="227" t="s">
        <v>2</v>
      </c>
    </row>
    <row r="28" spans="2:1391"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  <c r="BL28" s="286"/>
      <c r="BM28" s="286"/>
      <c r="CR28" s="247"/>
      <c r="CS28" s="247"/>
      <c r="DX28" s="247"/>
      <c r="DY28" s="247"/>
      <c r="GJ28" s="247"/>
      <c r="GK28" s="247"/>
      <c r="HP28" s="247"/>
      <c r="HQ28" s="247"/>
      <c r="IV28" s="247"/>
      <c r="IW28" s="247"/>
      <c r="KB28" s="247"/>
      <c r="KC28" s="247"/>
      <c r="LH28" s="247"/>
      <c r="LI28" s="247"/>
    </row>
    <row r="29" spans="2:1391"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  <c r="AA29" s="269"/>
      <c r="AB29" s="269"/>
      <c r="AC29" s="269"/>
      <c r="AD29" s="269"/>
      <c r="AE29" s="269"/>
      <c r="AF29" s="269"/>
      <c r="AG29" s="269"/>
      <c r="AH29" s="269"/>
      <c r="AI29" s="269"/>
      <c r="AJ29" s="269"/>
      <c r="AK29" s="269"/>
      <c r="BI29" s="246"/>
      <c r="BL29" s="286"/>
      <c r="BM29" s="286"/>
      <c r="CR29" s="248"/>
      <c r="CS29" s="248"/>
      <c r="DX29" s="248"/>
      <c r="DY29" s="248"/>
      <c r="GJ29" s="248"/>
      <c r="GK29" s="248"/>
      <c r="HP29" s="248"/>
      <c r="HQ29" s="248"/>
      <c r="IV29" s="248"/>
      <c r="IW29" s="248"/>
      <c r="KB29" s="248"/>
      <c r="KC29" s="248"/>
      <c r="LH29" s="248"/>
      <c r="LI29" s="248"/>
    </row>
    <row r="30" spans="2:1391"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CR30" s="249"/>
      <c r="CS30" s="249"/>
      <c r="DX30" s="249"/>
      <c r="DY30" s="249"/>
      <c r="GJ30" s="249"/>
      <c r="GK30" s="249"/>
      <c r="HP30" s="249"/>
      <c r="HQ30" s="249"/>
      <c r="IV30" s="249"/>
      <c r="IW30" s="249"/>
      <c r="KB30" s="249"/>
      <c r="KC30" s="249"/>
      <c r="LH30" s="249"/>
      <c r="LI30" s="249"/>
    </row>
    <row r="31" spans="2:1391"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DX31" s="282"/>
      <c r="DY31" s="282"/>
      <c r="HP31" s="286"/>
      <c r="HQ31" s="286"/>
    </row>
  </sheetData>
  <mergeCells count="89">
    <mergeCell ref="AYC3:AZF3"/>
    <mergeCell ref="AZG3:AZG4"/>
    <mergeCell ref="AVR3:AWU3"/>
    <mergeCell ref="AWV3:AWV4"/>
    <mergeCell ref="ASA3:ATD3"/>
    <mergeCell ref="ATE3:ATE4"/>
    <mergeCell ref="AWW3:AYA3"/>
    <mergeCell ref="AYB3:AYB4"/>
    <mergeCell ref="ANG3:AOH3"/>
    <mergeCell ref="AOI3:AOI4"/>
    <mergeCell ref="AVQ3:AVQ4"/>
    <mergeCell ref="AUL3:AVP3"/>
    <mergeCell ref="ATF3:AUI3"/>
    <mergeCell ref="AUK3:AUK4"/>
    <mergeCell ref="AOJ3:APN3"/>
    <mergeCell ref="AQU3:ARY3"/>
    <mergeCell ref="ARZ3:ARZ4"/>
    <mergeCell ref="APP3:AQS3"/>
    <mergeCell ref="AQT3:AQT4"/>
    <mergeCell ref="APO3:APO4"/>
    <mergeCell ref="AIK3:AJN3"/>
    <mergeCell ref="AJO3:AJO4"/>
    <mergeCell ref="AMA3:ANE3"/>
    <mergeCell ref="ANF3:ANF4"/>
    <mergeCell ref="AFY3:AHC3"/>
    <mergeCell ref="AHD3:AHD4"/>
    <mergeCell ref="AJP3:AKT3"/>
    <mergeCell ref="AKU3:AKU4"/>
    <mergeCell ref="AKV3:ALY3"/>
    <mergeCell ref="ALZ3:ALZ4"/>
    <mergeCell ref="AET3:AFW3"/>
    <mergeCell ref="AFX3:AFX4"/>
    <mergeCell ref="AHE3:AII3"/>
    <mergeCell ref="AIJ3:AIJ4"/>
    <mergeCell ref="ZY3:AAZ3"/>
    <mergeCell ref="ABA3:ABA4"/>
    <mergeCell ref="ADN3:AER3"/>
    <mergeCell ref="AES3:AES4"/>
    <mergeCell ref="ACH3:ADL3"/>
    <mergeCell ref="ADM3:ADM4"/>
    <mergeCell ref="ABB3:ACF3"/>
    <mergeCell ref="ACG3:ACG4"/>
    <mergeCell ref="XL3:XL4"/>
    <mergeCell ref="YS3:ZV3"/>
    <mergeCell ref="ZX3:ZX4"/>
    <mergeCell ref="XM3:YP3"/>
    <mergeCell ref="YR3:YR4"/>
    <mergeCell ref="VA3:VA4"/>
    <mergeCell ref="B3:B4"/>
    <mergeCell ref="DX3:EY3"/>
    <mergeCell ref="FC3:FC4"/>
    <mergeCell ref="CR3:DS3"/>
    <mergeCell ref="DW3:DW4"/>
    <mergeCell ref="BL3:CM3"/>
    <mergeCell ref="CQ3:CQ4"/>
    <mergeCell ref="C3:AD3"/>
    <mergeCell ref="AH3:AH4"/>
    <mergeCell ref="AI3:BJ3"/>
    <mergeCell ref="BK3:BK4"/>
    <mergeCell ref="HP3:IQ3"/>
    <mergeCell ref="IU3:IU4"/>
    <mergeCell ref="KB3:LC3"/>
    <mergeCell ref="LG3:LG4"/>
    <mergeCell ref="LH3:MI3"/>
    <mergeCell ref="MM3:MM4"/>
    <mergeCell ref="OZ3:QC3"/>
    <mergeCell ref="TV3:UZ3"/>
    <mergeCell ref="NT3:OX3"/>
    <mergeCell ref="NS3:NS4"/>
    <mergeCell ref="MN3:NO3"/>
    <mergeCell ref="RK3:SN3"/>
    <mergeCell ref="SO3:SO4"/>
    <mergeCell ref="OY3:OY4"/>
    <mergeCell ref="AZH3:BAL3"/>
    <mergeCell ref="BAM3:BAM4"/>
    <mergeCell ref="FD3:GE3"/>
    <mergeCell ref="IV3:JW3"/>
    <mergeCell ref="HO3:HO4"/>
    <mergeCell ref="WG3:XJ3"/>
    <mergeCell ref="QD3:QD4"/>
    <mergeCell ref="SP3:TT3"/>
    <mergeCell ref="TU3:TU4"/>
    <mergeCell ref="WF3:WF4"/>
    <mergeCell ref="QE3:RH3"/>
    <mergeCell ref="RJ3:RJ4"/>
    <mergeCell ref="VB3:WE3"/>
    <mergeCell ref="GI3:GI4"/>
    <mergeCell ref="KA3:KA4"/>
    <mergeCell ref="GJ3:HK3"/>
  </mergeCells>
  <conditionalFormatting sqref="C5:AG5">
    <cfRule type="cellIs" dxfId="48" priority="25" operator="lessThan">
      <formula>50000</formula>
    </cfRule>
  </conditionalFormatting>
  <conditionalFormatting sqref="AI5:BJ5">
    <cfRule type="cellIs" dxfId="47" priority="86" operator="lessThan">
      <formula>50000</formula>
    </cfRule>
  </conditionalFormatting>
  <conditionalFormatting sqref="BL5:CP5">
    <cfRule type="cellIs" dxfId="46" priority="83" operator="lessThan">
      <formula>50000</formula>
    </cfRule>
  </conditionalFormatting>
  <conditionalFormatting sqref="CR5:DV5">
    <cfRule type="cellIs" dxfId="45" priority="87" operator="lessThan">
      <formula>50000</formula>
    </cfRule>
  </conditionalFormatting>
  <conditionalFormatting sqref="DX5:FB5">
    <cfRule type="cellIs" dxfId="44" priority="84" operator="lessThan">
      <formula>50000</formula>
    </cfRule>
  </conditionalFormatting>
  <conditionalFormatting sqref="FD5:GH5">
    <cfRule type="cellIs" dxfId="43" priority="81" operator="lessThan">
      <formula>50000</formula>
    </cfRule>
  </conditionalFormatting>
  <conditionalFormatting sqref="GJ5:HN5">
    <cfRule type="cellIs" dxfId="42" priority="80" operator="lessThan">
      <formula>50000</formula>
    </cfRule>
  </conditionalFormatting>
  <conditionalFormatting sqref="HP5:IT5">
    <cfRule type="cellIs" dxfId="41" priority="78" operator="lessThan">
      <formula>50000</formula>
    </cfRule>
  </conditionalFormatting>
  <conditionalFormatting sqref="IV5:JZ5">
    <cfRule type="cellIs" dxfId="40" priority="73" operator="lessThan">
      <formula>50000</formula>
    </cfRule>
  </conditionalFormatting>
  <conditionalFormatting sqref="KB5:LF5">
    <cfRule type="cellIs" dxfId="39" priority="72" operator="lessThan">
      <formula>50000</formula>
    </cfRule>
  </conditionalFormatting>
  <conditionalFormatting sqref="LH5:ML5">
    <cfRule type="cellIs" dxfId="38" priority="74" operator="lessThan">
      <formula>50000</formula>
    </cfRule>
  </conditionalFormatting>
  <conditionalFormatting sqref="MN5:NR5">
    <cfRule type="cellIs" dxfId="37" priority="71" operator="lessThan">
      <formula>50000</formula>
    </cfRule>
  </conditionalFormatting>
  <conditionalFormatting sqref="NT5:OX5">
    <cfRule type="cellIs" dxfId="36" priority="36" operator="lessThan">
      <formula>50000</formula>
    </cfRule>
  </conditionalFormatting>
  <conditionalFormatting sqref="OZ5:QC5">
    <cfRule type="cellIs" dxfId="35" priority="35" operator="lessThan">
      <formula>50000</formula>
    </cfRule>
  </conditionalFormatting>
  <conditionalFormatting sqref="QE5:RI5">
    <cfRule type="cellIs" dxfId="34" priority="34" operator="lessThan">
      <formula>50000</formula>
    </cfRule>
  </conditionalFormatting>
  <conditionalFormatting sqref="RK5:SN5">
    <cfRule type="cellIs" dxfId="33" priority="33" operator="lessThan">
      <formula>50000</formula>
    </cfRule>
  </conditionalFormatting>
  <conditionalFormatting sqref="SP5:TT5">
    <cfRule type="cellIs" dxfId="32" priority="32" operator="lessThan">
      <formula>50000</formula>
    </cfRule>
  </conditionalFormatting>
  <conditionalFormatting sqref="TV5:UZ5">
    <cfRule type="cellIs" dxfId="31" priority="31" operator="lessThan">
      <formula>50000</formula>
    </cfRule>
  </conditionalFormatting>
  <conditionalFormatting sqref="VB5:WE5">
    <cfRule type="cellIs" dxfId="30" priority="30" operator="lessThan">
      <formula>50000</formula>
    </cfRule>
  </conditionalFormatting>
  <conditionalFormatting sqref="WG5:XK5">
    <cfRule type="cellIs" dxfId="29" priority="29" operator="lessThan">
      <formula>50000</formula>
    </cfRule>
  </conditionalFormatting>
  <conditionalFormatting sqref="XM5:YQ5">
    <cfRule type="cellIs" dxfId="28" priority="28" operator="lessThan">
      <formula>50000</formula>
    </cfRule>
  </conditionalFormatting>
  <conditionalFormatting sqref="YS5:ZW5">
    <cfRule type="cellIs" dxfId="27" priority="27" operator="lessThan">
      <formula>50000</formula>
    </cfRule>
  </conditionalFormatting>
  <conditionalFormatting sqref="ZY5:AAZ5">
    <cfRule type="cellIs" dxfId="26" priority="26" operator="lessThan">
      <formula>50000</formula>
    </cfRule>
  </conditionalFormatting>
  <conditionalFormatting sqref="ABB5:ACF5">
    <cfRule type="cellIs" dxfId="25" priority="22" operator="lessThan">
      <formula>50000</formula>
    </cfRule>
  </conditionalFormatting>
  <conditionalFormatting sqref="ACH5:ADL5">
    <cfRule type="cellIs" dxfId="24" priority="23" operator="lessThan">
      <formula>50000</formula>
    </cfRule>
  </conditionalFormatting>
  <conditionalFormatting sqref="ADN5:AER5">
    <cfRule type="cellIs" dxfId="23" priority="21" operator="lessThan">
      <formula>50000</formula>
    </cfRule>
  </conditionalFormatting>
  <conditionalFormatting sqref="AET5:AFW5">
    <cfRule type="cellIs" dxfId="22" priority="20" operator="lessThan">
      <formula>50000</formula>
    </cfRule>
  </conditionalFormatting>
  <conditionalFormatting sqref="AFY5:AHC5">
    <cfRule type="cellIs" dxfId="21" priority="19" operator="lessThan">
      <formula>50000</formula>
    </cfRule>
  </conditionalFormatting>
  <conditionalFormatting sqref="AHE5:AII5">
    <cfRule type="cellIs" dxfId="20" priority="18" operator="lessThan">
      <formula>50000</formula>
    </cfRule>
  </conditionalFormatting>
  <conditionalFormatting sqref="AIK5:AJN5">
    <cfRule type="cellIs" dxfId="19" priority="16" operator="lessThan">
      <formula>50000</formula>
    </cfRule>
  </conditionalFormatting>
  <conditionalFormatting sqref="AJP5:AKT5">
    <cfRule type="cellIs" dxfId="18" priority="15" operator="lessThan">
      <formula>50000</formula>
    </cfRule>
  </conditionalFormatting>
  <conditionalFormatting sqref="AKV5:ALY5">
    <cfRule type="cellIs" dxfId="17" priority="14" operator="lessThan">
      <formula>50000</formula>
    </cfRule>
  </conditionalFormatting>
  <conditionalFormatting sqref="AMA5:ANE5">
    <cfRule type="cellIs" dxfId="16" priority="13" operator="lessThan">
      <formula>50000</formula>
    </cfRule>
  </conditionalFormatting>
  <conditionalFormatting sqref="ANG5:AOH5">
    <cfRule type="cellIs" dxfId="15" priority="12" operator="lessThan">
      <formula>50000</formula>
    </cfRule>
  </conditionalFormatting>
  <conditionalFormatting sqref="AOJ5:APN5">
    <cfRule type="cellIs" dxfId="14" priority="11" operator="lessThan">
      <formula>50000</formula>
    </cfRule>
  </conditionalFormatting>
  <conditionalFormatting sqref="APP5:AQS5">
    <cfRule type="cellIs" dxfId="13" priority="9" operator="lessThan">
      <formula>50000</formula>
    </cfRule>
  </conditionalFormatting>
  <conditionalFormatting sqref="AQU5:ARY5">
    <cfRule type="cellIs" dxfId="12" priority="8" operator="lessThan">
      <formula>50000</formula>
    </cfRule>
  </conditionalFormatting>
  <conditionalFormatting sqref="ASA5:ATD5">
    <cfRule type="cellIs" dxfId="11" priority="7" operator="lessThan">
      <formula>50000</formula>
    </cfRule>
  </conditionalFormatting>
  <conditionalFormatting sqref="ATF5:AUJ5">
    <cfRule type="cellIs" dxfId="10" priority="6" operator="lessThan">
      <formula>50000</formula>
    </cfRule>
  </conditionalFormatting>
  <conditionalFormatting sqref="AUL5:AVP5">
    <cfRule type="cellIs" dxfId="9" priority="5" operator="lessThan">
      <formula>50000</formula>
    </cfRule>
  </conditionalFormatting>
  <conditionalFormatting sqref="AVR5:AWU5">
    <cfRule type="cellIs" dxfId="8" priority="4" operator="lessThan">
      <formula>50000</formula>
    </cfRule>
  </conditionalFormatting>
  <conditionalFormatting sqref="AWW5:AYA5">
    <cfRule type="cellIs" dxfId="7" priority="3" operator="lessThan">
      <formula>50000</formula>
    </cfRule>
  </conditionalFormatting>
  <conditionalFormatting sqref="AYC5:AZF5">
    <cfRule type="cellIs" dxfId="6" priority="2" operator="lessThan">
      <formula>50000</formula>
    </cfRule>
  </conditionalFormatting>
  <conditionalFormatting sqref="AZH5:BAL5">
    <cfRule type="cellIs" dxfId="5" priority="1" operator="lessThan">
      <formula>50000</formula>
    </cfRule>
  </conditionalFormatting>
  <pageMargins left="0.7" right="0.7" top="0.75" bottom="0.75" header="0.3" footer="0.3"/>
  <pageSetup paperSize="9" orientation="portrait" r:id="rId1"/>
  <ignoredErrors>
    <ignoredError sqref="FC6 MM14" formula="1"/>
    <ignoredError sqref="DW10 FC10 IU9 KA9 ANF11:ANF20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2" tint="-0.249977111117893"/>
  </sheetPr>
  <dimension ref="A20:AI67"/>
  <sheetViews>
    <sheetView showGridLines="0" zoomScale="70" zoomScaleNormal="70" workbookViewId="0">
      <selection activeCell="D56" sqref="D56"/>
    </sheetView>
  </sheetViews>
  <sheetFormatPr defaultRowHeight="14.45"/>
  <cols>
    <col min="1" max="1" width="9.28515625" customWidth="1"/>
    <col min="4" max="4" width="10" customWidth="1"/>
    <col min="5" max="10" width="11.7109375" bestFit="1" customWidth="1"/>
    <col min="11" max="11" width="14.7109375" bestFit="1" customWidth="1"/>
    <col min="12" max="35" width="11.7109375" bestFit="1" customWidth="1"/>
  </cols>
  <sheetData>
    <row r="20" spans="3:14">
      <c r="C20">
        <v>20</v>
      </c>
      <c r="D20">
        <v>1</v>
      </c>
      <c r="E20">
        <v>15</v>
      </c>
      <c r="F20">
        <v>3</v>
      </c>
      <c r="G20">
        <v>2</v>
      </c>
      <c r="H20">
        <v>1</v>
      </c>
      <c r="I20">
        <v>5</v>
      </c>
      <c r="J20">
        <v>20</v>
      </c>
      <c r="K20">
        <v>1</v>
      </c>
      <c r="L20">
        <v>14</v>
      </c>
      <c r="M20">
        <v>3</v>
      </c>
      <c r="N20">
        <v>2</v>
      </c>
    </row>
    <row r="48" spans="2:34"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</row>
    <row r="49" spans="1:35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</row>
    <row r="50" spans="1:35">
      <c r="A50" s="287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</row>
    <row r="51" spans="1:35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</row>
    <row r="52" spans="1:35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</row>
    <row r="53" spans="1:35">
      <c r="A53" s="287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</row>
    <row r="54" spans="1:35">
      <c r="A54" s="287"/>
      <c r="B54" s="287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7"/>
    </row>
    <row r="55" spans="1:35" s="257" customFormat="1">
      <c r="A55" s="287"/>
      <c r="B55" s="287"/>
      <c r="C55" s="288"/>
      <c r="D55" s="316">
        <v>1</v>
      </c>
      <c r="E55" s="316">
        <v>2</v>
      </c>
      <c r="F55" s="316">
        <v>3</v>
      </c>
      <c r="G55" s="316">
        <v>4</v>
      </c>
      <c r="H55" s="316">
        <v>5</v>
      </c>
      <c r="I55" s="316">
        <v>6</v>
      </c>
      <c r="J55" s="316">
        <v>7</v>
      </c>
      <c r="K55" s="316">
        <v>8</v>
      </c>
      <c r="L55" s="316">
        <v>9</v>
      </c>
      <c r="M55" s="316">
        <v>10</v>
      </c>
      <c r="N55" s="316">
        <v>11</v>
      </c>
      <c r="O55" s="316">
        <v>12</v>
      </c>
      <c r="P55" s="316">
        <v>13</v>
      </c>
      <c r="Q55" s="316">
        <v>14</v>
      </c>
      <c r="R55" s="316">
        <v>15</v>
      </c>
      <c r="S55" s="316">
        <v>16</v>
      </c>
      <c r="T55" s="316">
        <v>17</v>
      </c>
      <c r="U55" s="316">
        <v>18</v>
      </c>
      <c r="V55" s="316">
        <v>19</v>
      </c>
      <c r="W55" s="316">
        <v>20</v>
      </c>
      <c r="X55" s="316">
        <v>21</v>
      </c>
      <c r="Y55" s="316">
        <v>22</v>
      </c>
      <c r="Z55" s="316">
        <v>23</v>
      </c>
      <c r="AA55" s="316">
        <v>24</v>
      </c>
      <c r="AB55" s="316">
        <v>25</v>
      </c>
      <c r="AC55" s="316">
        <v>26</v>
      </c>
      <c r="AD55" s="316">
        <v>27</v>
      </c>
      <c r="AE55" s="316">
        <v>28</v>
      </c>
      <c r="AF55" s="316">
        <v>29</v>
      </c>
      <c r="AG55" s="316">
        <v>30</v>
      </c>
      <c r="AH55" s="316">
        <v>31</v>
      </c>
      <c r="AI55"/>
    </row>
    <row r="56" spans="1:35" s="257" customFormat="1">
      <c r="A56" s="287"/>
      <c r="B56" s="287"/>
      <c r="C56" s="288" t="s">
        <v>376</v>
      </c>
      <c r="D56" s="432">
        <f>$K$66/30</f>
        <v>3666.6666666666665</v>
      </c>
      <c r="E56" s="432">
        <f>D56</f>
        <v>3666.6666666666665</v>
      </c>
      <c r="F56" s="432">
        <f t="shared" ref="F56:AH56" si="0">E56</f>
        <v>3666.6666666666665</v>
      </c>
      <c r="G56" s="432">
        <f t="shared" si="0"/>
        <v>3666.6666666666665</v>
      </c>
      <c r="H56" s="432">
        <f t="shared" si="0"/>
        <v>3666.6666666666665</v>
      </c>
      <c r="I56" s="432">
        <f t="shared" si="0"/>
        <v>3666.6666666666665</v>
      </c>
      <c r="J56" s="432">
        <f t="shared" si="0"/>
        <v>3666.6666666666665</v>
      </c>
      <c r="K56" s="432">
        <f t="shared" si="0"/>
        <v>3666.6666666666665</v>
      </c>
      <c r="L56" s="432">
        <f t="shared" si="0"/>
        <v>3666.6666666666665</v>
      </c>
      <c r="M56" s="432">
        <f t="shared" si="0"/>
        <v>3666.6666666666665</v>
      </c>
      <c r="N56" s="432">
        <f t="shared" si="0"/>
        <v>3666.6666666666665</v>
      </c>
      <c r="O56" s="432">
        <f t="shared" si="0"/>
        <v>3666.6666666666665</v>
      </c>
      <c r="P56" s="432">
        <f t="shared" si="0"/>
        <v>3666.6666666666665</v>
      </c>
      <c r="Q56" s="432">
        <f t="shared" si="0"/>
        <v>3666.6666666666665</v>
      </c>
      <c r="R56" s="432">
        <f t="shared" si="0"/>
        <v>3666.6666666666665</v>
      </c>
      <c r="S56" s="432">
        <f t="shared" si="0"/>
        <v>3666.6666666666665</v>
      </c>
      <c r="T56" s="432">
        <f t="shared" si="0"/>
        <v>3666.6666666666665</v>
      </c>
      <c r="U56" s="432">
        <f t="shared" si="0"/>
        <v>3666.6666666666665</v>
      </c>
      <c r="V56" s="432">
        <f t="shared" si="0"/>
        <v>3666.6666666666665</v>
      </c>
      <c r="W56" s="432">
        <f t="shared" si="0"/>
        <v>3666.6666666666665</v>
      </c>
      <c r="X56" s="432">
        <f t="shared" si="0"/>
        <v>3666.6666666666665</v>
      </c>
      <c r="Y56" s="432">
        <f t="shared" si="0"/>
        <v>3666.6666666666665</v>
      </c>
      <c r="Z56" s="432">
        <f t="shared" si="0"/>
        <v>3666.6666666666665</v>
      </c>
      <c r="AA56" s="432">
        <f t="shared" si="0"/>
        <v>3666.6666666666665</v>
      </c>
      <c r="AB56" s="432">
        <f t="shared" si="0"/>
        <v>3666.6666666666665</v>
      </c>
      <c r="AC56" s="432">
        <f t="shared" si="0"/>
        <v>3666.6666666666665</v>
      </c>
      <c r="AD56" s="432">
        <f t="shared" si="0"/>
        <v>3666.6666666666665</v>
      </c>
      <c r="AE56" s="432">
        <f t="shared" si="0"/>
        <v>3666.6666666666665</v>
      </c>
      <c r="AF56" s="432">
        <f t="shared" si="0"/>
        <v>3666.6666666666665</v>
      </c>
      <c r="AG56" s="432">
        <f t="shared" si="0"/>
        <v>3666.6666666666665</v>
      </c>
      <c r="AH56" s="432">
        <f t="shared" si="0"/>
        <v>3666.6666666666665</v>
      </c>
      <c r="AI56" s="316">
        <f>SUM(D56:AH56)</f>
        <v>113666.66666666672</v>
      </c>
    </row>
    <row r="57" spans="1:35" s="257" customFormat="1">
      <c r="A57" s="287"/>
      <c r="B57" s="287"/>
      <c r="C57" s="288" t="s">
        <v>377</v>
      </c>
      <c r="D57" s="432">
        <f>$K$67/30</f>
        <v>876.90986666666754</v>
      </c>
      <c r="E57" s="432">
        <f>D57</f>
        <v>876.90986666666754</v>
      </c>
      <c r="F57" s="432">
        <f t="shared" ref="F57:AH57" si="1">E57</f>
        <v>876.90986666666754</v>
      </c>
      <c r="G57" s="432">
        <f t="shared" si="1"/>
        <v>876.90986666666754</v>
      </c>
      <c r="H57" s="432">
        <f t="shared" si="1"/>
        <v>876.90986666666754</v>
      </c>
      <c r="I57" s="432">
        <f t="shared" si="1"/>
        <v>876.90986666666754</v>
      </c>
      <c r="J57" s="432">
        <f t="shared" si="1"/>
        <v>876.90986666666754</v>
      </c>
      <c r="K57" s="432">
        <f t="shared" si="1"/>
        <v>876.90986666666754</v>
      </c>
      <c r="L57" s="432">
        <f t="shared" si="1"/>
        <v>876.90986666666754</v>
      </c>
      <c r="M57" s="432">
        <f t="shared" si="1"/>
        <v>876.90986666666754</v>
      </c>
      <c r="N57" s="432">
        <f t="shared" si="1"/>
        <v>876.90986666666754</v>
      </c>
      <c r="O57" s="432">
        <f t="shared" si="1"/>
        <v>876.90986666666754</v>
      </c>
      <c r="P57" s="432">
        <f t="shared" si="1"/>
        <v>876.90986666666754</v>
      </c>
      <c r="Q57" s="432">
        <f t="shared" si="1"/>
        <v>876.90986666666754</v>
      </c>
      <c r="R57" s="432">
        <f t="shared" si="1"/>
        <v>876.90986666666754</v>
      </c>
      <c r="S57" s="432">
        <f t="shared" si="1"/>
        <v>876.90986666666754</v>
      </c>
      <c r="T57" s="432">
        <f t="shared" si="1"/>
        <v>876.90986666666754</v>
      </c>
      <c r="U57" s="432">
        <f t="shared" si="1"/>
        <v>876.90986666666754</v>
      </c>
      <c r="V57" s="432">
        <f t="shared" si="1"/>
        <v>876.90986666666754</v>
      </c>
      <c r="W57" s="432">
        <f t="shared" si="1"/>
        <v>876.90986666666754</v>
      </c>
      <c r="X57" s="432">
        <f t="shared" si="1"/>
        <v>876.90986666666754</v>
      </c>
      <c r="Y57" s="432">
        <f t="shared" si="1"/>
        <v>876.90986666666754</v>
      </c>
      <c r="Z57" s="432">
        <f t="shared" si="1"/>
        <v>876.90986666666754</v>
      </c>
      <c r="AA57" s="432">
        <f t="shared" si="1"/>
        <v>876.90986666666754</v>
      </c>
      <c r="AB57" s="432">
        <f t="shared" si="1"/>
        <v>876.90986666666754</v>
      </c>
      <c r="AC57" s="432">
        <f t="shared" si="1"/>
        <v>876.90986666666754</v>
      </c>
      <c r="AD57" s="432">
        <f t="shared" si="1"/>
        <v>876.90986666666754</v>
      </c>
      <c r="AE57" s="432">
        <f t="shared" si="1"/>
        <v>876.90986666666754</v>
      </c>
      <c r="AF57" s="432">
        <f t="shared" si="1"/>
        <v>876.90986666666754</v>
      </c>
      <c r="AG57" s="432">
        <f t="shared" si="1"/>
        <v>876.90986666666754</v>
      </c>
      <c r="AH57" s="432">
        <f t="shared" si="1"/>
        <v>876.90986666666754</v>
      </c>
      <c r="AI57" s="316">
        <f>SUM(D57:AH57)</f>
        <v>27184.205866666704</v>
      </c>
    </row>
    <row r="58" spans="1:35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</row>
    <row r="59" spans="1:35">
      <c r="A59" s="287"/>
      <c r="B59" s="287"/>
      <c r="C59" s="287"/>
      <c r="D59" s="287"/>
      <c r="E59" s="287"/>
      <c r="F59" s="287"/>
      <c r="G59" s="287"/>
      <c r="H59" s="287"/>
      <c r="I59" s="287" t="s">
        <v>12</v>
      </c>
      <c r="J59" s="405">
        <f>SUM(D56:J56)</f>
        <v>25666.666666666668</v>
      </c>
      <c r="K59" s="404">
        <f>(K66-J62)/24</f>
        <v>-5351.760416666667</v>
      </c>
      <c r="L59" s="287"/>
      <c r="M59" s="287"/>
      <c r="N59" s="287"/>
      <c r="O59" s="287"/>
      <c r="P59" s="287"/>
      <c r="Q59" s="405">
        <f>SUM(D56:Q56)</f>
        <v>51333.333333333321</v>
      </c>
      <c r="R59" s="404">
        <f>(K66-Q62)/17</f>
        <v>-7555.4264705882351</v>
      </c>
      <c r="S59" s="287"/>
      <c r="T59" s="287"/>
      <c r="U59" s="287"/>
      <c r="V59" s="287"/>
      <c r="W59" s="287"/>
      <c r="X59" s="404">
        <f>SUM(D56:X56)</f>
        <v>77000</v>
      </c>
      <c r="Y59" s="404">
        <f>(K66-X62)/10</f>
        <v>-12844.225</v>
      </c>
      <c r="Z59" s="287"/>
      <c r="AA59" s="287"/>
      <c r="AB59" s="287"/>
      <c r="AC59" s="287"/>
      <c r="AD59" s="287"/>
      <c r="AE59" s="404">
        <f>SUM(K56:AE56)</f>
        <v>77000</v>
      </c>
      <c r="AF59" s="404">
        <f>(K66-AE62)/3</f>
        <v>-42814.083333333336</v>
      </c>
      <c r="AG59" s="287"/>
      <c r="AH59" s="287"/>
    </row>
    <row r="60" spans="1:35">
      <c r="A60" s="287"/>
      <c r="B60" s="287"/>
      <c r="C60" s="287"/>
      <c r="D60" s="287"/>
      <c r="E60" s="287"/>
      <c r="F60" s="287"/>
      <c r="G60" s="287"/>
      <c r="H60" s="287"/>
      <c r="I60" s="287"/>
      <c r="J60" s="405">
        <f>SUM(D57:J57)</f>
        <v>6138.3690666666735</v>
      </c>
      <c r="K60" s="404">
        <f>(K67-J63)/24</f>
        <v>1041.4332500000012</v>
      </c>
      <c r="L60" s="287"/>
      <c r="M60" s="287"/>
      <c r="N60" s="287"/>
      <c r="O60" s="287"/>
      <c r="P60" s="287"/>
      <c r="Q60" s="405">
        <f>SUM(D57:Q57)</f>
        <v>12276.738133333343</v>
      </c>
      <c r="R60" s="404">
        <f>(K67-Q63)/17</f>
        <v>1470.2587058823544</v>
      </c>
      <c r="S60" s="287"/>
      <c r="T60" s="287"/>
      <c r="U60" s="287"/>
      <c r="V60" s="287"/>
      <c r="W60" s="287"/>
      <c r="X60" s="404">
        <f>SUM(D57:X57)</f>
        <v>18415.107200000017</v>
      </c>
      <c r="Y60" s="404">
        <f>(K67-X63)/10</f>
        <v>2499.4398000000028</v>
      </c>
      <c r="Z60" s="287"/>
      <c r="AA60" s="287"/>
      <c r="AB60" s="287"/>
      <c r="AC60" s="287"/>
      <c r="AD60" s="287"/>
      <c r="AE60" s="404">
        <f>SUM(K57:AE57)</f>
        <v>18415.107200000017</v>
      </c>
      <c r="AF60" s="404">
        <f>(K67-AE63)/3</f>
        <v>8331.4660000000094</v>
      </c>
      <c r="AG60" s="287"/>
      <c r="AH60" s="287"/>
    </row>
    <row r="61" spans="1:35"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</row>
    <row r="62" spans="1:35">
      <c r="I62" t="s">
        <v>2</v>
      </c>
      <c r="J62" s="404">
        <f>SUM(Actual!F150:L150)</f>
        <v>238442.25</v>
      </c>
      <c r="Q62" s="405">
        <f>SUM(Actual!F150:S150)</f>
        <v>238442.25</v>
      </c>
      <c r="X62" s="405">
        <f>SUM(Actual!F150:Z150)</f>
        <v>238442.25</v>
      </c>
      <c r="AE62" s="405">
        <f>SUM(Actual!F150:AG150)</f>
        <v>238442.25</v>
      </c>
    </row>
    <row r="63" spans="1:35">
      <c r="J63" s="404">
        <f>SUM(Actual!F151:L151)</f>
        <v>1312.8979999999999</v>
      </c>
      <c r="Q63" s="405">
        <f>SUM(Actual!F151:S151)</f>
        <v>1312.8979999999999</v>
      </c>
      <c r="X63" s="405">
        <f>SUM(Actual!F151:Z151)</f>
        <v>1312.8979999999999</v>
      </c>
      <c r="AE63" s="405">
        <f>SUM(Actual!F151:AG151)</f>
        <v>1312.8979999999999</v>
      </c>
    </row>
    <row r="66" spans="11:13">
      <c r="K66" s="406">
        <v>110000</v>
      </c>
      <c r="L66" s="405">
        <f>K66-J62</f>
        <v>-128442.25</v>
      </c>
      <c r="M66" s="405"/>
    </row>
    <row r="67" spans="11:13">
      <c r="K67" s="406">
        <v>26307.296000000028</v>
      </c>
      <c r="L67" s="405">
        <f>K67-J63</f>
        <v>24994.398000000027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99CC"/>
  </sheetPr>
  <dimension ref="A2:AI104"/>
  <sheetViews>
    <sheetView showGridLines="0" zoomScale="70" zoomScaleNormal="70" workbookViewId="0">
      <selection activeCell="B35" sqref="B35:O99"/>
    </sheetView>
  </sheetViews>
  <sheetFormatPr defaultRowHeight="14.45"/>
  <cols>
    <col min="1" max="1" width="13.28515625" bestFit="1" customWidth="1"/>
    <col min="2" max="2" width="14.28515625" bestFit="1" customWidth="1"/>
    <col min="3" max="3" width="15.28515625" customWidth="1"/>
    <col min="4" max="4" width="16.28515625" customWidth="1"/>
    <col min="5" max="5" width="11.28515625" customWidth="1"/>
    <col min="6" max="6" width="13.7109375" customWidth="1"/>
    <col min="7" max="9" width="11.28515625" customWidth="1"/>
    <col min="10" max="10" width="13.28515625" bestFit="1" customWidth="1"/>
    <col min="11" max="11" width="15.85546875" customWidth="1"/>
    <col min="12" max="12" width="12.7109375" customWidth="1"/>
    <col min="13" max="13" width="11.28515625" customWidth="1"/>
    <col min="14" max="14" width="12.7109375" customWidth="1"/>
    <col min="15" max="18" width="11.28515625" customWidth="1"/>
    <col min="19" max="19" width="18" customWidth="1"/>
    <col min="20" max="20" width="19.7109375" bestFit="1" customWidth="1"/>
    <col min="21" max="21" width="14.7109375" customWidth="1"/>
    <col min="22" max="22" width="12.28515625" bestFit="1" customWidth="1"/>
    <col min="23" max="23" width="11.28515625" bestFit="1" customWidth="1"/>
    <col min="24" max="25" width="10.28515625" bestFit="1" customWidth="1"/>
    <col min="26" max="29" width="10" bestFit="1" customWidth="1"/>
  </cols>
  <sheetData>
    <row r="2" spans="1:30" ht="18" customHeight="1">
      <c r="B2" s="1374" t="s">
        <v>378</v>
      </c>
      <c r="C2" s="1376" t="s">
        <v>93</v>
      </c>
      <c r="D2" s="1372" t="s">
        <v>64</v>
      </c>
      <c r="E2" s="1373"/>
      <c r="F2" s="1373"/>
      <c r="G2" s="1373"/>
      <c r="H2" s="1373"/>
      <c r="I2" s="1373"/>
      <c r="K2" s="780" t="s">
        <v>62</v>
      </c>
      <c r="L2" s="781"/>
      <c r="M2" s="1252" t="s">
        <v>64</v>
      </c>
      <c r="N2" s="1253"/>
      <c r="O2" s="1253"/>
      <c r="P2" s="1253"/>
      <c r="Q2" s="1253"/>
      <c r="R2" s="1254"/>
      <c r="T2" s="362"/>
      <c r="U2" s="362"/>
    </row>
    <row r="3" spans="1:30" ht="18.75" customHeight="1">
      <c r="B3" s="1375"/>
      <c r="C3" s="1377"/>
      <c r="D3" s="366" t="s">
        <v>379</v>
      </c>
      <c r="E3" s="367" t="s">
        <v>380</v>
      </c>
      <c r="F3" s="367" t="s">
        <v>67</v>
      </c>
      <c r="G3" s="367" t="s">
        <v>66</v>
      </c>
      <c r="H3" s="368" t="s">
        <v>381</v>
      </c>
      <c r="I3" s="368" t="s">
        <v>65</v>
      </c>
      <c r="J3" s="723" t="s">
        <v>382</v>
      </c>
      <c r="K3" s="782"/>
      <c r="L3" s="783"/>
      <c r="M3" s="366" t="s">
        <v>379</v>
      </c>
      <c r="N3" s="367" t="s">
        <v>380</v>
      </c>
      <c r="O3" s="367" t="s">
        <v>67</v>
      </c>
      <c r="P3" s="367" t="s">
        <v>66</v>
      </c>
      <c r="Q3" s="368" t="s">
        <v>381</v>
      </c>
      <c r="R3" s="368" t="s">
        <v>65</v>
      </c>
      <c r="S3" s="723" t="s">
        <v>382</v>
      </c>
      <c r="T3" s="362"/>
      <c r="U3" s="362"/>
    </row>
    <row r="4" spans="1:30">
      <c r="A4" s="449"/>
      <c r="B4" s="365" t="s">
        <v>383</v>
      </c>
      <c r="C4" s="505">
        <f>Actual!AK163</f>
        <v>53492.115105999997</v>
      </c>
      <c r="D4" s="502" t="e">
        <f t="shared" ref="D4:I4" si="0">(SUMPRODUCT($C$25:$C$30,D25:D30)+($C$13*D13))/SUM($C$25:$C$30,$C$13)</f>
        <v>#REF!</v>
      </c>
      <c r="E4" s="502" t="e">
        <f t="shared" si="0"/>
        <v>#REF!</v>
      </c>
      <c r="F4" s="502" t="e">
        <f t="shared" si="0"/>
        <v>#REF!</v>
      </c>
      <c r="G4" s="502" t="e">
        <f t="shared" si="0"/>
        <v>#REF!</v>
      </c>
      <c r="H4" s="502" t="e">
        <f t="shared" si="0"/>
        <v>#REF!</v>
      </c>
      <c r="I4" s="502" t="e">
        <f t="shared" si="0"/>
        <v>#REF!</v>
      </c>
      <c r="J4" s="724"/>
      <c r="K4" s="392" t="s">
        <v>69</v>
      </c>
      <c r="L4" s="506">
        <f>Actual!AK167</f>
        <v>101525.994468</v>
      </c>
      <c r="M4" s="507">
        <f>IF(L4=0,"",(($L$13*M13)+($L$14*M14)+($L$25*M25)+(L26*M26))/SUM(L13:L14,L25:L26))</f>
        <v>39.846068376068381</v>
      </c>
      <c r="N4" s="507">
        <f>IF(L4=0,"",(($L$13*N13)+($L$14*N14)+($L$25*N25)+(L26*N26))/SUM(L13:L14,L25:L26))</f>
        <v>17.557794871794872</v>
      </c>
      <c r="O4" s="507">
        <f>IF(L4=0,"",(($L$13*O13)+($L$14*$O$14)+($L$25*O25)+(L26*O26))/SUM($L$13:$L$14,$L$25:$L$26))</f>
        <v>9.0914358974358969</v>
      </c>
      <c r="P4" s="507">
        <f>IF(L4=0,"",(($L$13*P13)+($L$14*$P$14)+($L$25*P25)+(L26*P26))/SUM($L$13:$L$14,$L$25:$L$26))</f>
        <v>0.11220512820512821</v>
      </c>
      <c r="Q4" s="522">
        <f>IF(L4=0,"",(($L$13*Q13)+($L$14*$Q$14)+($L$25*Q25)+(L26*Q26))/SUM($L$13:$L$14,$L$25:$L$26))</f>
        <v>4980.9521367521365</v>
      </c>
      <c r="R4" s="522">
        <f>IF(L4=0,"",(($L$13*R13)+($L$14*$R$14)+($L$25*R25)+(L26*R26))/SUM($L$13:$L$14,$L$25:$L$26))</f>
        <v>3639.4762106830412</v>
      </c>
      <c r="S4" s="797"/>
      <c r="T4" s="798"/>
      <c r="U4" s="362"/>
    </row>
    <row r="5" spans="1:30">
      <c r="A5" s="449"/>
      <c r="B5" s="719" t="s">
        <v>384</v>
      </c>
      <c r="C5" s="505"/>
      <c r="D5" s="502"/>
      <c r="E5" s="502"/>
      <c r="F5" s="502"/>
      <c r="G5" s="502"/>
      <c r="H5" s="503"/>
      <c r="I5" s="503"/>
      <c r="K5" s="392" t="s">
        <v>70</v>
      </c>
      <c r="T5" s="362"/>
      <c r="U5" s="362"/>
      <c r="V5" s="362"/>
    </row>
    <row r="6" spans="1:30">
      <c r="B6" s="719"/>
      <c r="C6" s="505"/>
      <c r="D6" s="502"/>
      <c r="E6" s="502"/>
      <c r="F6" s="502"/>
      <c r="G6" s="502"/>
      <c r="H6" s="503"/>
      <c r="I6" s="503"/>
      <c r="J6" s="362"/>
      <c r="K6" s="392" t="s">
        <v>214</v>
      </c>
      <c r="L6" s="506">
        <f>Actual!AK168</f>
        <v>56651.176224000003</v>
      </c>
      <c r="M6" s="507">
        <f>IF(L6=0,"",(($L$16*M16)+($L$28*M28))/SUM($L$16,$L$28))</f>
        <v>36.29</v>
      </c>
      <c r="N6" s="507">
        <f>IF(L6=0,"",(($L$16*N16)+($L$28*N28))/SUM($L$16,$L$28))</f>
        <v>10.955</v>
      </c>
      <c r="O6" s="507">
        <f>IF(L6=0,"",(($L$16*O16)+($L$28*O28))/SUM($L$16,$L$28))</f>
        <v>10.719999999999999</v>
      </c>
      <c r="P6" s="507">
        <f>IF(L6=0,"",(($L$16*P16)+($L$28*P28))/SUM($L$16,$L$28))</f>
        <v>0.15</v>
      </c>
      <c r="Q6" s="522">
        <f>IF(L6=0,"",(($L$16*Q16)+($L$28*Q28))/SUM($L$16,$L$28))</f>
        <v>5008.5</v>
      </c>
      <c r="R6" s="522">
        <f>IF(L6=0,"",(($L$16*R16)+($L$28*R28))/SUM($L$16,$L$28))</f>
        <v>3583.4862709865802</v>
      </c>
      <c r="T6" s="362"/>
      <c r="U6" s="362"/>
      <c r="V6" s="362"/>
    </row>
    <row r="7" spans="1:30">
      <c r="B7" s="719"/>
      <c r="C7" s="505"/>
      <c r="D7" s="501"/>
      <c r="E7" s="501"/>
      <c r="F7" s="501"/>
      <c r="G7" s="501"/>
      <c r="H7" s="505"/>
      <c r="I7" s="503"/>
      <c r="J7" s="362"/>
      <c r="K7" s="392"/>
      <c r="L7" s="501"/>
      <c r="M7" s="507"/>
      <c r="N7" s="507"/>
      <c r="O7" s="507"/>
      <c r="P7" s="507"/>
      <c r="Q7" s="522"/>
      <c r="R7" s="522"/>
      <c r="T7" s="362"/>
      <c r="U7" s="362"/>
    </row>
    <row r="8" spans="1:30"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2"/>
      <c r="R8" s="362"/>
      <c r="S8" s="362"/>
      <c r="U8" s="362"/>
    </row>
    <row r="9" spans="1:30">
      <c r="B9" s="470" t="s">
        <v>126</v>
      </c>
      <c r="C9" s="471">
        <f>SUM(C4:C7)</f>
        <v>53492.115105999997</v>
      </c>
      <c r="D9" s="471" t="e">
        <f t="shared" ref="D9:I9" si="1">SUMPRODUCT($C$4:$C$7,D4:D7)/$C$9</f>
        <v>#REF!</v>
      </c>
      <c r="E9" s="471" t="e">
        <f t="shared" si="1"/>
        <v>#REF!</v>
      </c>
      <c r="F9" s="471" t="e">
        <f t="shared" si="1"/>
        <v>#REF!</v>
      </c>
      <c r="G9" s="471" t="e">
        <f t="shared" si="1"/>
        <v>#REF!</v>
      </c>
      <c r="H9" s="818" t="e">
        <f t="shared" si="1"/>
        <v>#REF!</v>
      </c>
      <c r="I9" s="818" t="e">
        <f t="shared" si="1"/>
        <v>#REF!</v>
      </c>
      <c r="J9" s="362"/>
      <c r="K9" s="363" t="s">
        <v>126</v>
      </c>
      <c r="L9" s="364">
        <f>SUM(L4:L8)</f>
        <v>158177.17069200001</v>
      </c>
      <c r="M9" s="471">
        <f t="shared" ref="M9:R9" si="2">SUMPRODUCT($L$4:$L$7,M4:M7)/$L$9</f>
        <v>38.572461980430447</v>
      </c>
      <c r="N9" s="471">
        <f t="shared" si="2"/>
        <v>15.193002947546013</v>
      </c>
      <c r="O9" s="471">
        <f t="shared" si="2"/>
        <v>9.6747063628438692</v>
      </c>
      <c r="P9" s="471">
        <f t="shared" si="2"/>
        <v>0.12574136692432952</v>
      </c>
      <c r="Q9" s="818">
        <f t="shared" si="2"/>
        <v>4990.8184079000011</v>
      </c>
      <c r="R9" s="818">
        <f t="shared" si="2"/>
        <v>3619.4234058020411</v>
      </c>
      <c r="S9" s="362"/>
    </row>
    <row r="10" spans="1:30" ht="22.5" customHeight="1">
      <c r="B10" t="s">
        <v>385</v>
      </c>
      <c r="E10" s="390"/>
      <c r="F10" s="390"/>
      <c r="G10" s="390"/>
      <c r="H10" s="362"/>
      <c r="I10" s="362"/>
      <c r="J10" s="362"/>
      <c r="K10" t="s">
        <v>385</v>
      </c>
      <c r="M10" s="362"/>
      <c r="N10" s="362"/>
      <c r="O10" s="362"/>
      <c r="P10" s="362"/>
      <c r="Q10" s="362"/>
      <c r="R10" s="362"/>
      <c r="S10" s="362"/>
    </row>
    <row r="11" spans="1:30">
      <c r="B11" s="1374" t="s">
        <v>378</v>
      </c>
      <c r="C11" s="1376" t="s">
        <v>93</v>
      </c>
      <c r="D11" s="1372" t="s">
        <v>64</v>
      </c>
      <c r="E11" s="1373"/>
      <c r="F11" s="1373"/>
      <c r="G11" s="1373"/>
      <c r="H11" s="1373"/>
      <c r="I11" s="1373"/>
      <c r="K11" s="1378" t="s">
        <v>62</v>
      </c>
      <c r="L11" s="1379"/>
      <c r="M11" s="1252" t="s">
        <v>64</v>
      </c>
      <c r="N11" s="1253"/>
      <c r="O11" s="1253"/>
      <c r="P11" s="1253"/>
      <c r="Q11" s="1253"/>
      <c r="R11" s="1254"/>
      <c r="S11" s="362"/>
    </row>
    <row r="12" spans="1:30">
      <c r="B12" s="1375"/>
      <c r="C12" s="1377"/>
      <c r="D12" s="366" t="s">
        <v>379</v>
      </c>
      <c r="E12" s="367" t="s">
        <v>380</v>
      </c>
      <c r="F12" s="367" t="s">
        <v>67</v>
      </c>
      <c r="G12" s="367" t="s">
        <v>66</v>
      </c>
      <c r="H12" s="368" t="s">
        <v>381</v>
      </c>
      <c r="I12" s="368" t="s">
        <v>65</v>
      </c>
      <c r="J12" s="723" t="s">
        <v>382</v>
      </c>
      <c r="K12" s="1380"/>
      <c r="L12" s="1381"/>
      <c r="M12" s="366" t="s">
        <v>379</v>
      </c>
      <c r="N12" s="367" t="s">
        <v>380</v>
      </c>
      <c r="O12" s="367" t="s">
        <v>67</v>
      </c>
      <c r="P12" s="367" t="s">
        <v>66</v>
      </c>
      <c r="Q12" s="368" t="s">
        <v>381</v>
      </c>
      <c r="R12" s="368" t="s">
        <v>65</v>
      </c>
      <c r="S12" s="723" t="s">
        <v>386</v>
      </c>
    </row>
    <row r="13" spans="1:30">
      <c r="B13" s="365" t="s">
        <v>383</v>
      </c>
      <c r="C13" s="501">
        <v>9073.7248379999837</v>
      </c>
      <c r="D13" s="1042">
        <v>40.801747109927362</v>
      </c>
      <c r="E13" s="1042">
        <v>18.149053095825245</v>
      </c>
      <c r="F13" s="1041">
        <v>7.507429545463185</v>
      </c>
      <c r="G13" s="1041">
        <v>0.17536968313509693</v>
      </c>
      <c r="H13" s="503">
        <v>5032.7401588104585</v>
      </c>
      <c r="I13" s="503">
        <v>3619.4878886114402</v>
      </c>
      <c r="J13" s="785"/>
      <c r="K13" s="392" t="s">
        <v>70</v>
      </c>
      <c r="L13" s="983">
        <v>25000</v>
      </c>
      <c r="M13" s="507">
        <v>38.970923076923079</v>
      </c>
      <c r="N13" s="507">
        <v>13.05523076923077</v>
      </c>
      <c r="O13" s="507">
        <v>11.349384615384615</v>
      </c>
      <c r="P13" s="507">
        <v>0.13476923076923078</v>
      </c>
      <c r="Q13" s="947">
        <v>5115.1538461538457</v>
      </c>
      <c r="R13" s="947">
        <v>3590.4761184853392</v>
      </c>
      <c r="S13" s="785">
        <v>45710</v>
      </c>
      <c r="T13" s="1044" t="s">
        <v>387</v>
      </c>
      <c r="U13" s="362">
        <v>5008.1274509803925</v>
      </c>
      <c r="V13" s="362">
        <v>4650.4539570237466</v>
      </c>
      <c r="W13" s="362">
        <v>5095.2118252467999</v>
      </c>
      <c r="X13" s="405"/>
      <c r="Y13" s="405"/>
      <c r="Z13" s="405"/>
      <c r="AA13" s="405"/>
      <c r="AB13" s="405"/>
      <c r="AC13" s="405"/>
      <c r="AD13" s="405"/>
    </row>
    <row r="14" spans="1:30" ht="14.45" customHeight="1">
      <c r="B14" s="719" t="s">
        <v>384</v>
      </c>
      <c r="C14" s="505"/>
      <c r="D14" s="502"/>
      <c r="E14" s="502"/>
      <c r="F14" s="502"/>
      <c r="G14" s="502"/>
      <c r="H14" s="503"/>
      <c r="I14" s="503"/>
      <c r="J14" s="785">
        <v>45710</v>
      </c>
      <c r="K14" s="392" t="s">
        <v>69</v>
      </c>
      <c r="L14" s="933">
        <v>20000</v>
      </c>
      <c r="M14" s="507">
        <v>40.94</v>
      </c>
      <c r="N14" s="507">
        <v>23.186</v>
      </c>
      <c r="O14" s="507">
        <v>6.2690000000000001</v>
      </c>
      <c r="P14" s="507">
        <v>8.4000000000000005E-2</v>
      </c>
      <c r="Q14" s="947">
        <v>4813.2</v>
      </c>
      <c r="R14" s="947">
        <v>3700.7263259301694</v>
      </c>
      <c r="S14" s="785">
        <v>45710</v>
      </c>
      <c r="T14" s="1044" t="s">
        <v>388</v>
      </c>
      <c r="U14" s="362">
        <v>3726.8792744450302</v>
      </c>
      <c r="V14" s="362">
        <v>3619.1857514702588</v>
      </c>
      <c r="W14" s="362">
        <v>3719.0931304952251</v>
      </c>
      <c r="X14" s="405"/>
      <c r="Y14" s="405"/>
      <c r="Z14" s="405"/>
      <c r="AA14" s="405"/>
      <c r="AB14" s="405"/>
      <c r="AC14" s="405"/>
      <c r="AD14" s="405"/>
    </row>
    <row r="15" spans="1:30">
      <c r="B15" s="719"/>
      <c r="C15" s="505"/>
      <c r="D15" s="502"/>
      <c r="E15" s="502"/>
      <c r="F15" s="502"/>
      <c r="G15" s="502"/>
      <c r="H15" s="503"/>
      <c r="I15" s="503"/>
      <c r="K15" s="392"/>
      <c r="L15" s="506"/>
      <c r="M15" s="507"/>
      <c r="N15" s="507"/>
      <c r="O15" s="507"/>
      <c r="P15" s="507"/>
      <c r="Q15" s="947"/>
      <c r="R15" s="947"/>
      <c r="S15" s="785"/>
      <c r="T15" s="1044" t="s">
        <v>389</v>
      </c>
      <c r="U15" s="362">
        <v>0.16880392156862745</v>
      </c>
      <c r="V15" s="362">
        <v>0.17176598158160578</v>
      </c>
      <c r="W15" s="362">
        <v>0.13163095988237766</v>
      </c>
    </row>
    <row r="16" spans="1:30">
      <c r="B16" s="719"/>
      <c r="C16" s="505"/>
      <c r="D16" s="501"/>
      <c r="E16" s="501"/>
      <c r="F16" s="501"/>
      <c r="G16" s="501"/>
      <c r="H16" s="505"/>
      <c r="I16" s="503"/>
      <c r="K16" s="392" t="s">
        <v>71</v>
      </c>
      <c r="L16" s="501">
        <v>6000</v>
      </c>
      <c r="M16" s="507">
        <v>36.29</v>
      </c>
      <c r="N16" s="507">
        <v>10.955</v>
      </c>
      <c r="O16" s="507">
        <v>10.719999999999999</v>
      </c>
      <c r="P16" s="507">
        <v>0.15</v>
      </c>
      <c r="Q16" s="947">
        <v>5008.5</v>
      </c>
      <c r="R16" s="947">
        <v>3583.4862709865802</v>
      </c>
      <c r="S16" s="785">
        <v>45710</v>
      </c>
      <c r="T16" s="1044" t="s">
        <v>390</v>
      </c>
      <c r="U16" s="362">
        <v>10.510490196078431</v>
      </c>
      <c r="V16" s="362">
        <v>13.921787668468905</v>
      </c>
      <c r="W16" s="362">
        <v>9.1221770636420896</v>
      </c>
    </row>
    <row r="17" spans="1:23">
      <c r="B17" s="719"/>
      <c r="C17" s="505"/>
      <c r="D17" s="501"/>
      <c r="E17" s="501"/>
      <c r="F17" s="501"/>
      <c r="G17" s="501"/>
      <c r="H17" s="505"/>
      <c r="I17" s="503"/>
      <c r="K17" s="392"/>
      <c r="L17" s="501"/>
      <c r="M17" s="507"/>
      <c r="N17" s="507"/>
      <c r="O17" s="507"/>
      <c r="P17" s="507"/>
      <c r="Q17" s="947"/>
      <c r="R17" s="947"/>
      <c r="S17" s="362"/>
      <c r="T17" s="1044" t="s">
        <v>391</v>
      </c>
      <c r="U17" s="362">
        <v>37.060303415686299</v>
      </c>
      <c r="V17" s="362">
        <v>37.185724921011484</v>
      </c>
      <c r="W17" s="362">
        <v>39.528508484772097</v>
      </c>
    </row>
    <row r="18" spans="1:23">
      <c r="B18" s="719"/>
      <c r="C18" s="505"/>
      <c r="D18" s="501"/>
      <c r="E18" s="501"/>
      <c r="F18" s="501"/>
      <c r="G18" s="501"/>
      <c r="H18" s="505"/>
      <c r="I18" s="503"/>
      <c r="K18" s="392"/>
      <c r="L18" s="501"/>
      <c r="M18" s="507"/>
      <c r="N18" s="507"/>
      <c r="O18" s="507"/>
      <c r="P18" s="507"/>
      <c r="Q18" s="947"/>
      <c r="R18" s="947"/>
      <c r="S18" s="362"/>
      <c r="T18" s="1044" t="s">
        <v>392</v>
      </c>
      <c r="U18" s="362">
        <v>15.422529411764707</v>
      </c>
      <c r="V18" s="362">
        <v>19.265731682490781</v>
      </c>
      <c r="W18" s="362">
        <v>17.1531747532031</v>
      </c>
    </row>
    <row r="19" spans="1:23">
      <c r="B19" s="593"/>
      <c r="C19" s="725"/>
      <c r="D19" s="726"/>
      <c r="E19" s="726"/>
      <c r="F19" s="726"/>
      <c r="G19" s="726"/>
      <c r="H19" s="725"/>
      <c r="I19" s="727"/>
      <c r="J19" s="362"/>
      <c r="L19" s="726"/>
      <c r="M19" s="728"/>
      <c r="N19" s="728"/>
      <c r="O19" s="728"/>
      <c r="P19" s="728"/>
      <c r="Q19" s="949"/>
      <c r="R19" s="949"/>
      <c r="S19" s="362"/>
      <c r="T19" s="1044" t="s">
        <v>393</v>
      </c>
      <c r="U19" s="362">
        <v>44.611705882352943</v>
      </c>
      <c r="V19" s="362">
        <v>40.323076871803991</v>
      </c>
      <c r="W19" s="362">
        <v>44.412958412098298</v>
      </c>
    </row>
    <row r="20" spans="1:23">
      <c r="B20" s="470" t="s">
        <v>126</v>
      </c>
      <c r="C20" s="471">
        <f>SUM(C13:C18)</f>
        <v>9073.7248379999837</v>
      </c>
      <c r="D20" s="471">
        <f t="shared" ref="D20:I20" si="3">SUMPRODUCT($C$13:$C$18,D13:D18)/$C$20</f>
        <v>40.801747109927362</v>
      </c>
      <c r="E20" s="471">
        <f t="shared" si="3"/>
        <v>18.149053095825245</v>
      </c>
      <c r="F20" s="471">
        <f t="shared" si="3"/>
        <v>7.5074295454631859</v>
      </c>
      <c r="G20" s="471">
        <f t="shared" si="3"/>
        <v>0.17536968313509693</v>
      </c>
      <c r="H20" s="471">
        <f t="shared" si="3"/>
        <v>5032.7401588104585</v>
      </c>
      <c r="I20" s="471">
        <f t="shared" si="3"/>
        <v>3619.4878886114402</v>
      </c>
      <c r="J20" s="362"/>
      <c r="K20" s="363" t="s">
        <v>126</v>
      </c>
      <c r="L20" s="364">
        <f>SUM(L13:L19)</f>
        <v>51000</v>
      </c>
      <c r="M20" s="471">
        <f t="shared" ref="M20:R20" si="4">SUMPRODUCT($L$13:$L$16,M13:M16)/$L$20</f>
        <v>39.427707390648571</v>
      </c>
      <c r="N20" s="471">
        <f t="shared" si="4"/>
        <v>16.780995475113123</v>
      </c>
      <c r="O20" s="471">
        <f t="shared" si="4"/>
        <v>9.2830316742081447</v>
      </c>
      <c r="P20" s="471">
        <f t="shared" si="4"/>
        <v>0.11665158371040725</v>
      </c>
      <c r="Q20" s="818">
        <f t="shared" si="4"/>
        <v>4984.1930618401202</v>
      </c>
      <c r="R20" s="818">
        <f t="shared" si="4"/>
        <v>3632.8891589540458</v>
      </c>
      <c r="S20" s="362"/>
    </row>
    <row r="21" spans="1:23">
      <c r="B21" s="593"/>
      <c r="C21" s="725"/>
      <c r="D21" s="726"/>
      <c r="E21" s="726"/>
      <c r="F21" s="726"/>
      <c r="G21" s="726"/>
      <c r="H21" s="725"/>
      <c r="I21" s="727"/>
      <c r="J21" s="362"/>
      <c r="L21" s="726"/>
      <c r="M21" s="728"/>
      <c r="N21" s="728"/>
      <c r="O21" s="728"/>
      <c r="P21" s="728"/>
      <c r="Q21" s="729"/>
      <c r="R21" s="729"/>
      <c r="S21" s="362"/>
    </row>
    <row r="22" spans="1:23">
      <c r="B22" t="s">
        <v>6</v>
      </c>
      <c r="E22" s="390"/>
      <c r="F22" s="390"/>
      <c r="G22" s="390"/>
      <c r="H22" s="362"/>
      <c r="I22" s="362"/>
      <c r="J22" s="362"/>
      <c r="K22" s="362" t="s">
        <v>394</v>
      </c>
      <c r="L22" s="362"/>
      <c r="M22" s="362"/>
      <c r="N22" s="362"/>
      <c r="O22" s="362"/>
      <c r="P22" s="362"/>
      <c r="Q22" s="362"/>
      <c r="R22" s="362"/>
      <c r="S22" s="362"/>
    </row>
    <row r="23" spans="1:23">
      <c r="B23" s="1374" t="s">
        <v>378</v>
      </c>
      <c r="C23" s="1376" t="s">
        <v>395</v>
      </c>
      <c r="D23" s="1372" t="s">
        <v>64</v>
      </c>
      <c r="E23" s="1373"/>
      <c r="F23" s="1373"/>
      <c r="G23" s="1373"/>
      <c r="H23" s="1373"/>
      <c r="I23" s="1373"/>
      <c r="K23" s="1378" t="s">
        <v>396</v>
      </c>
      <c r="L23" s="1379"/>
      <c r="M23" s="1252" t="s">
        <v>64</v>
      </c>
      <c r="N23" s="1253"/>
      <c r="O23" s="1253"/>
      <c r="P23" s="1253"/>
      <c r="Q23" s="1253"/>
      <c r="R23" s="1254"/>
    </row>
    <row r="24" spans="1:23">
      <c r="B24" s="1375"/>
      <c r="C24" s="1377"/>
      <c r="D24" s="366" t="s">
        <v>379</v>
      </c>
      <c r="E24" s="367" t="s">
        <v>380</v>
      </c>
      <c r="F24" s="367" t="s">
        <v>67</v>
      </c>
      <c r="G24" s="367" t="s">
        <v>66</v>
      </c>
      <c r="H24" s="368" t="s">
        <v>381</v>
      </c>
      <c r="I24" s="368" t="s">
        <v>65</v>
      </c>
      <c r="J24" s="723" t="s">
        <v>382</v>
      </c>
      <c r="K24" s="1380"/>
      <c r="L24" s="1381"/>
      <c r="M24" s="366" t="s">
        <v>379</v>
      </c>
      <c r="N24" s="367" t="s">
        <v>380</v>
      </c>
      <c r="O24" s="367" t="s">
        <v>67</v>
      </c>
      <c r="P24" s="367" t="s">
        <v>66</v>
      </c>
      <c r="Q24" s="368" t="s">
        <v>381</v>
      </c>
      <c r="R24" s="368" t="s">
        <v>65</v>
      </c>
      <c r="S24" s="723" t="s">
        <v>382</v>
      </c>
    </row>
    <row r="25" spans="1:23">
      <c r="B25" s="392" t="s">
        <v>69</v>
      </c>
      <c r="C25" s="504" t="e">
        <f>Actual!#REF!-SUM(H37:H43)</f>
        <v>#REF!</v>
      </c>
      <c r="D25" s="502">
        <v>39.344285714285697</v>
      </c>
      <c r="E25" s="502">
        <v>22.351746031746032</v>
      </c>
      <c r="F25" s="502">
        <v>7.927142857142857</v>
      </c>
      <c r="G25" s="502">
        <v>0.17857142857142858</v>
      </c>
      <c r="H25" s="950">
        <v>4702.2380952380954</v>
      </c>
      <c r="I25" s="950">
        <f>H25*(100-D25)/(100-E25)</f>
        <v>3673.2005657818509</v>
      </c>
      <c r="J25" s="785"/>
      <c r="K25" s="392" t="s">
        <v>69</v>
      </c>
      <c r="L25" s="506"/>
      <c r="M25" s="506"/>
      <c r="N25" s="506"/>
      <c r="O25" s="506"/>
      <c r="P25" s="506"/>
      <c r="Q25" s="946"/>
      <c r="R25" s="946"/>
      <c r="S25" s="785">
        <v>45710</v>
      </c>
    </row>
    <row r="26" spans="1:23">
      <c r="B26" s="392" t="s">
        <v>70</v>
      </c>
      <c r="C26" s="504"/>
      <c r="D26" s="502"/>
      <c r="E26" s="502"/>
      <c r="F26" s="502"/>
      <c r="G26" s="502"/>
      <c r="H26" s="950"/>
      <c r="I26" s="950"/>
      <c r="K26" s="392" t="s">
        <v>397</v>
      </c>
      <c r="L26" s="506"/>
      <c r="M26" s="506"/>
      <c r="N26" s="506"/>
      <c r="O26" s="506"/>
      <c r="P26" s="506"/>
      <c r="Q26" s="946"/>
      <c r="R26" s="946"/>
      <c r="S26" s="785">
        <v>45710</v>
      </c>
    </row>
    <row r="27" spans="1:23">
      <c r="B27" s="719" t="s">
        <v>224</v>
      </c>
      <c r="C27" s="505">
        <f>Actual!AK169-I99-K99-M99</f>
        <v>-4180.78</v>
      </c>
      <c r="D27" s="502">
        <f t="shared" ref="D27:I27" si="5">IF($C$27=0,0,M6)</f>
        <v>36.29</v>
      </c>
      <c r="E27" s="502">
        <f t="shared" si="5"/>
        <v>10.955</v>
      </c>
      <c r="F27" s="502">
        <f t="shared" si="5"/>
        <v>10.719999999999999</v>
      </c>
      <c r="G27" s="502">
        <f t="shared" si="5"/>
        <v>0.15</v>
      </c>
      <c r="H27" s="950">
        <f t="shared" si="5"/>
        <v>5008.5</v>
      </c>
      <c r="I27" s="950">
        <f t="shared" si="5"/>
        <v>3583.4862709865802</v>
      </c>
      <c r="K27" s="392" t="s">
        <v>70</v>
      </c>
      <c r="L27" s="506"/>
      <c r="M27" s="506"/>
      <c r="N27" s="506"/>
      <c r="O27" s="506"/>
      <c r="P27" s="506"/>
      <c r="Q27" s="946"/>
      <c r="R27" s="946"/>
    </row>
    <row r="28" spans="1:23">
      <c r="A28" s="1113"/>
      <c r="B28" s="719" t="s">
        <v>398</v>
      </c>
      <c r="C28" s="505">
        <v>0</v>
      </c>
      <c r="D28" s="502">
        <v>38.334179504163409</v>
      </c>
      <c r="E28" s="502">
        <v>27.392258487114852</v>
      </c>
      <c r="F28" s="502">
        <v>11.404187280986164</v>
      </c>
      <c r="G28" s="502">
        <v>0.12724100966159793</v>
      </c>
      <c r="H28" s="950">
        <v>4087.7050151810249</v>
      </c>
      <c r="I28" s="950">
        <v>3471.6915642025688</v>
      </c>
      <c r="J28" s="785" t="s">
        <v>399</v>
      </c>
      <c r="K28" s="392" t="s">
        <v>69</v>
      </c>
      <c r="L28" s="506"/>
      <c r="M28" s="506"/>
      <c r="N28" s="506"/>
      <c r="O28" s="506"/>
      <c r="P28" s="506"/>
      <c r="Q28" s="946"/>
      <c r="R28" s="946"/>
      <c r="U28" s="1014"/>
    </row>
    <row r="29" spans="1:23">
      <c r="A29" s="1113"/>
      <c r="B29" s="719" t="s">
        <v>400</v>
      </c>
      <c r="C29" s="505">
        <f>Actual!AK112-SUM(C37:C98)-SUM(D37:D62)</f>
        <v>0</v>
      </c>
      <c r="D29" s="502">
        <v>38.838769179974413</v>
      </c>
      <c r="E29" s="502">
        <v>21.771841670441866</v>
      </c>
      <c r="F29" s="502">
        <v>7.3062261448130794</v>
      </c>
      <c r="G29" s="502">
        <v>0.10935535223375241</v>
      </c>
      <c r="H29" s="950">
        <v>4803.4957405386931</v>
      </c>
      <c r="I29" s="950">
        <v>3755.5238165320634</v>
      </c>
      <c r="J29" s="785" t="s">
        <v>399</v>
      </c>
      <c r="K29" s="392" t="s">
        <v>397</v>
      </c>
      <c r="L29" s="506"/>
      <c r="M29" s="507"/>
      <c r="N29" s="507"/>
      <c r="O29" s="507"/>
      <c r="P29" s="507"/>
      <c r="Q29" s="947"/>
      <c r="R29" s="947"/>
    </row>
    <row r="30" spans="1:23">
      <c r="B30" s="719" t="s">
        <v>401</v>
      </c>
      <c r="C30" s="501">
        <f>Actual!AK113-SUM(F38:F45)</f>
        <v>-9864.369999999999</v>
      </c>
      <c r="D30" s="502">
        <v>38.746907094228128</v>
      </c>
      <c r="E30" s="502">
        <v>25.60484067527641</v>
      </c>
      <c r="F30" s="502">
        <v>9.5612623055198647</v>
      </c>
      <c r="G30" s="502">
        <v>0.13975936422796797</v>
      </c>
      <c r="H30" s="950">
        <v>4400.6675100148486</v>
      </c>
      <c r="I30" s="950">
        <v>3623.280039791121</v>
      </c>
      <c r="J30" s="785" t="s">
        <v>399</v>
      </c>
      <c r="K30" s="392" t="s">
        <v>70</v>
      </c>
      <c r="L30" s="501"/>
      <c r="M30" s="507"/>
      <c r="N30" s="507"/>
      <c r="O30" s="507"/>
      <c r="P30" s="507"/>
      <c r="Q30" s="947"/>
      <c r="R30" s="947"/>
    </row>
    <row r="31" spans="1:23" ht="16.899999999999999">
      <c r="C31" s="520"/>
      <c r="H31" s="951"/>
      <c r="I31" s="951"/>
      <c r="J31" s="362"/>
      <c r="K31" s="362"/>
      <c r="L31" s="362"/>
      <c r="M31" s="362"/>
      <c r="N31" s="362"/>
      <c r="O31" s="362"/>
      <c r="P31" s="362"/>
      <c r="Q31" s="948"/>
      <c r="R31" s="948"/>
      <c r="S31" s="362"/>
    </row>
    <row r="32" spans="1:23">
      <c r="B32" s="470" t="s">
        <v>126</v>
      </c>
      <c r="C32" s="471" t="e">
        <f>SUM(C25:C30)</f>
        <v>#REF!</v>
      </c>
      <c r="D32" s="471" t="e">
        <f t="shared" ref="D32:I32" si="6">SUMPRODUCT($C$25:$C$30,D25:D30)/$C$32</f>
        <v>#REF!</v>
      </c>
      <c r="E32" s="471" t="e">
        <f t="shared" si="6"/>
        <v>#REF!</v>
      </c>
      <c r="F32" s="471" t="e">
        <f t="shared" si="6"/>
        <v>#REF!</v>
      </c>
      <c r="G32" s="471" t="e">
        <f t="shared" si="6"/>
        <v>#REF!</v>
      </c>
      <c r="H32" s="818" t="e">
        <f t="shared" si="6"/>
        <v>#REF!</v>
      </c>
      <c r="I32" s="818" t="e">
        <f t="shared" si="6"/>
        <v>#REF!</v>
      </c>
      <c r="J32" s="362"/>
      <c r="K32" s="363" t="s">
        <v>126</v>
      </c>
      <c r="L32" s="364">
        <f>SUM(L25:L30)</f>
        <v>0</v>
      </c>
      <c r="M32" s="471" t="e">
        <f t="shared" ref="M32:R32" si="7">SUMPRODUCT($L$25:$L$30,M25:M30)/$L$32</f>
        <v>#DIV/0!</v>
      </c>
      <c r="N32" s="471" t="e">
        <f t="shared" si="7"/>
        <v>#DIV/0!</v>
      </c>
      <c r="O32" s="471" t="e">
        <f t="shared" si="7"/>
        <v>#DIV/0!</v>
      </c>
      <c r="P32" s="471" t="e">
        <f t="shared" si="7"/>
        <v>#DIV/0!</v>
      </c>
      <c r="Q32" s="818" t="e">
        <f t="shared" si="7"/>
        <v>#DIV/0!</v>
      </c>
      <c r="R32" s="818" t="e">
        <f t="shared" si="7"/>
        <v>#DIV/0!</v>
      </c>
      <c r="S32" s="362"/>
    </row>
    <row r="33" spans="2:35">
      <c r="C33" s="449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62"/>
    </row>
    <row r="34" spans="2:35">
      <c r="J34" s="1040" t="s">
        <v>402</v>
      </c>
      <c r="K34" s="1040"/>
      <c r="L34" s="1040"/>
      <c r="M34" s="1040"/>
      <c r="N34" s="1040"/>
    </row>
    <row r="35" spans="2:35" ht="90" customHeight="1">
      <c r="B35" s="988"/>
      <c r="C35" s="988" t="s">
        <v>403</v>
      </c>
      <c r="D35" s="988" t="s">
        <v>404</v>
      </c>
      <c r="E35" s="988" t="s">
        <v>405</v>
      </c>
      <c r="F35" s="988" t="s">
        <v>406</v>
      </c>
      <c r="G35" s="989" t="s">
        <v>407</v>
      </c>
      <c r="H35" s="988" t="s">
        <v>408</v>
      </c>
      <c r="I35" s="1043" t="s">
        <v>409</v>
      </c>
      <c r="J35" s="1022" t="s">
        <v>410</v>
      </c>
      <c r="K35" s="1022" t="s">
        <v>411</v>
      </c>
      <c r="L35" s="1022" t="s">
        <v>412</v>
      </c>
      <c r="M35" s="1022" t="s">
        <v>413</v>
      </c>
      <c r="N35" s="1022" t="s">
        <v>414</v>
      </c>
      <c r="O35" s="1022" t="s">
        <v>415</v>
      </c>
      <c r="S35" s="999" t="s">
        <v>416</v>
      </c>
      <c r="T35" s="999" t="s">
        <v>417</v>
      </c>
      <c r="U35" s="1371" t="s">
        <v>418</v>
      </c>
      <c r="V35" s="1371"/>
      <c r="W35" s="1371" t="s">
        <v>419</v>
      </c>
      <c r="X35" s="1371"/>
      <c r="Y35" s="1371" t="s">
        <v>10</v>
      </c>
      <c r="Z35" s="1371"/>
      <c r="AA35" s="1371" t="s">
        <v>420</v>
      </c>
      <c r="AB35" s="1371"/>
      <c r="AC35" s="1371" t="s">
        <v>421</v>
      </c>
      <c r="AD35" s="1371"/>
      <c r="AE35" s="1371"/>
      <c r="AF35" s="1371"/>
      <c r="AG35" s="1371"/>
      <c r="AH35" s="1371"/>
      <c r="AI35" s="1371"/>
    </row>
    <row r="36" spans="2:35">
      <c r="B36" s="991"/>
      <c r="D36" s="991"/>
      <c r="E36" s="991"/>
      <c r="F36" s="991"/>
      <c r="G36" s="991"/>
      <c r="H36" s="991"/>
      <c r="I36" s="991"/>
      <c r="J36" s="991"/>
      <c r="L36" s="991"/>
      <c r="M36" s="991"/>
      <c r="N36" s="991"/>
      <c r="O36" s="991"/>
      <c r="S36" s="999" t="s">
        <v>422</v>
      </c>
      <c r="T36" s="999" t="s">
        <v>423</v>
      </c>
      <c r="U36" s="999" t="s">
        <v>423</v>
      </c>
      <c r="V36" s="999" t="s">
        <v>422</v>
      </c>
      <c r="W36" s="999" t="s">
        <v>423</v>
      </c>
      <c r="X36" s="999" t="s">
        <v>422</v>
      </c>
      <c r="Y36" s="999" t="s">
        <v>423</v>
      </c>
      <c r="Z36" s="999" t="s">
        <v>422</v>
      </c>
      <c r="AA36" s="999" t="s">
        <v>423</v>
      </c>
      <c r="AB36" s="999" t="s">
        <v>422</v>
      </c>
      <c r="AC36" s="999" t="s">
        <v>423</v>
      </c>
      <c r="AD36" s="999" t="s">
        <v>424</v>
      </c>
      <c r="AE36" s="999" t="s">
        <v>422</v>
      </c>
      <c r="AF36" s="999" t="s">
        <v>425</v>
      </c>
      <c r="AG36" s="999" t="s">
        <v>426</v>
      </c>
      <c r="AH36" s="999" t="s">
        <v>427</v>
      </c>
      <c r="AI36" s="999" t="s">
        <v>428</v>
      </c>
    </row>
    <row r="37" spans="2:35" ht="15">
      <c r="B37" s="995">
        <v>46113</v>
      </c>
      <c r="C37" s="993"/>
      <c r="D37" s="992"/>
      <c r="E37" s="993"/>
      <c r="F37" s="993"/>
      <c r="G37" s="993"/>
      <c r="H37" s="993"/>
      <c r="I37" s="1001"/>
      <c r="J37" s="1001"/>
      <c r="K37" s="992"/>
      <c r="L37" s="1001"/>
      <c r="M37" s="1001"/>
      <c r="N37" s="1002"/>
      <c r="O37" s="1002"/>
      <c r="Q37" s="362"/>
      <c r="R37" s="362"/>
      <c r="S37" s="362">
        <v>39.972000000000001</v>
      </c>
      <c r="T37" s="362">
        <v>20.46</v>
      </c>
      <c r="U37" s="362">
        <v>3.528</v>
      </c>
      <c r="V37" s="362">
        <v>2.661536255439692</v>
      </c>
      <c r="W37" s="362">
        <v>42.262</v>
      </c>
      <c r="X37" s="362">
        <v>31.89672668900408</v>
      </c>
      <c r="Y37" s="362">
        <v>33.75</v>
      </c>
      <c r="Z37" s="362">
        <v>25.469737055556223</v>
      </c>
      <c r="AA37" s="362">
        <v>0.23200000000000001</v>
      </c>
      <c r="AB37" s="362">
        <v>0.17496916039866819</v>
      </c>
      <c r="AC37" s="362">
        <v>5034.6000000000004</v>
      </c>
      <c r="AD37" s="362">
        <v>6329.1416221227537</v>
      </c>
      <c r="AE37" s="362">
        <v>3799.2779640281947</v>
      </c>
      <c r="AF37" s="362">
        <v>6622.6419577775368</v>
      </c>
      <c r="AG37" s="362">
        <v>5379.7703788043409</v>
      </c>
      <c r="AH37" s="362">
        <v>5316.4789625831127</v>
      </c>
      <c r="AI37" s="362">
        <v>5253.1875463618844</v>
      </c>
    </row>
    <row r="38" spans="2:35" ht="15">
      <c r="B38" s="996">
        <v>46113</v>
      </c>
      <c r="C38" s="993"/>
      <c r="D38" s="992"/>
      <c r="E38" s="993"/>
      <c r="F38" s="993"/>
      <c r="G38" s="993">
        <v>7501.2</v>
      </c>
      <c r="H38" s="993"/>
      <c r="I38" s="1001"/>
      <c r="J38" s="1001"/>
      <c r="K38" s="1018"/>
      <c r="L38" s="1001"/>
      <c r="M38" s="1001"/>
      <c r="N38" s="1002"/>
      <c r="O38" s="1002"/>
      <c r="Q38" s="362"/>
      <c r="R38" s="362"/>
      <c r="S38" s="362">
        <v>41.411999999999999</v>
      </c>
      <c r="T38" s="362">
        <v>19.097999999999999</v>
      </c>
      <c r="U38" s="362">
        <v>7.0640000000000001</v>
      </c>
      <c r="V38" s="362">
        <v>5.117301449616094</v>
      </c>
      <c r="W38" s="362">
        <v>43.968000000000004</v>
      </c>
      <c r="X38" s="362">
        <v>31.839845657775236</v>
      </c>
      <c r="Y38" s="362">
        <v>29.869999999999997</v>
      </c>
      <c r="Z38" s="362">
        <v>21.630852892608672</v>
      </c>
      <c r="AA38" s="362">
        <v>0.216</v>
      </c>
      <c r="AB38" s="362">
        <v>0.15632394243965525</v>
      </c>
      <c r="AC38" s="362">
        <v>4820.6000000000004</v>
      </c>
      <c r="AD38" s="362">
        <v>5959.1701023589649</v>
      </c>
      <c r="AE38" s="362">
        <v>3491.2848993093567</v>
      </c>
      <c r="AF38" s="362">
        <v>6529.4494951823226</v>
      </c>
      <c r="AG38" s="362">
        <v>5065.2945870051208</v>
      </c>
      <c r="AH38" s="362">
        <v>5005.7028859815309</v>
      </c>
      <c r="AI38" s="362">
        <v>4946.111184957942</v>
      </c>
    </row>
    <row r="39" spans="2:35" ht="14.45" customHeight="1">
      <c r="B39" s="997">
        <f t="shared" ref="B39:B70" si="8">+B37+1</f>
        <v>46114</v>
      </c>
      <c r="C39" s="993"/>
      <c r="D39" s="992"/>
      <c r="E39" s="993"/>
      <c r="F39" s="993"/>
      <c r="G39" s="993"/>
      <c r="H39" s="993"/>
      <c r="I39" s="1001"/>
      <c r="J39" s="1001"/>
      <c r="K39" s="1018"/>
      <c r="L39" s="1001"/>
      <c r="M39" s="1001"/>
      <c r="N39" s="1002"/>
      <c r="O39" s="1002"/>
      <c r="Q39" s="362"/>
      <c r="R39" s="362"/>
      <c r="S39" s="362">
        <v>39.603999999999999</v>
      </c>
      <c r="T39" s="362">
        <v>17.962</v>
      </c>
      <c r="U39" s="362">
        <v>5.5739999999999998</v>
      </c>
      <c r="V39" s="362">
        <v>4.1040140157035427</v>
      </c>
      <c r="W39" s="362">
        <v>44.055999999999997</v>
      </c>
      <c r="X39" s="362">
        <v>32.43285835435406</v>
      </c>
      <c r="Y39" s="362">
        <v>32.407999999999994</v>
      </c>
      <c r="Z39" s="362">
        <v>23.859127629942396</v>
      </c>
      <c r="AA39" s="362">
        <v>0.20599999999999999</v>
      </c>
      <c r="AB39" s="362">
        <v>0.15172151596335354</v>
      </c>
      <c r="AC39" s="362">
        <v>5049</v>
      </c>
      <c r="AD39" s="362">
        <v>6154.4929793929978</v>
      </c>
      <c r="AE39" s="362">
        <v>3717.0326474278972</v>
      </c>
      <c r="AF39" s="362">
        <v>6603.147133737365</v>
      </c>
      <c r="AG39" s="362">
        <v>5231.319032484048</v>
      </c>
      <c r="AH39" s="362">
        <v>5169.7741026901176</v>
      </c>
      <c r="AI39" s="362">
        <v>5108.2291728961891</v>
      </c>
    </row>
    <row r="40" spans="2:35" ht="15">
      <c r="B40" s="998">
        <f t="shared" si="8"/>
        <v>46114</v>
      </c>
      <c r="C40" s="993"/>
      <c r="D40" s="992"/>
      <c r="E40" s="993"/>
      <c r="F40" s="993">
        <v>1137</v>
      </c>
      <c r="G40" s="993">
        <v>5246.99</v>
      </c>
      <c r="H40" s="993">
        <v>574</v>
      </c>
      <c r="I40" s="1001"/>
      <c r="J40" s="1001"/>
      <c r="K40" s="1018">
        <v>643.6</v>
      </c>
      <c r="L40" s="1001"/>
      <c r="M40" s="1001"/>
      <c r="N40" s="1002"/>
      <c r="O40" s="1002"/>
      <c r="Q40" s="362"/>
      <c r="R40" s="362" t="s">
        <v>429</v>
      </c>
      <c r="S40" s="362">
        <v>39.99</v>
      </c>
      <c r="T40" s="362">
        <v>18.18</v>
      </c>
      <c r="U40" s="362">
        <v>5.59</v>
      </c>
      <c r="V40" s="362">
        <v>4.0999254461011976</v>
      </c>
      <c r="W40" s="362">
        <v>44.17</v>
      </c>
      <c r="X40" s="362">
        <v>32.396011977511613</v>
      </c>
      <c r="Y40" s="362">
        <v>32.059999999999988</v>
      </c>
      <c r="Z40" s="362">
        <v>23.514062576387182</v>
      </c>
      <c r="AA40" s="362">
        <v>0.22</v>
      </c>
      <c r="AB40" s="362">
        <v>0.16135663651918847</v>
      </c>
      <c r="AC40" s="362">
        <v>5036</v>
      </c>
      <c r="AD40" s="362">
        <v>6154.9743339036913</v>
      </c>
      <c r="AE40" s="362">
        <v>3693.6000977756053</v>
      </c>
      <c r="AF40" s="362">
        <v>6606.3229699593348</v>
      </c>
      <c r="AG40" s="362">
        <v>5231.7281838181379</v>
      </c>
      <c r="AH40" s="362">
        <v>5170.1784404791006</v>
      </c>
      <c r="AI40" s="362">
        <v>5108.6286971400641</v>
      </c>
    </row>
    <row r="41" spans="2:35" ht="15">
      <c r="B41" s="997">
        <f t="shared" si="8"/>
        <v>46115</v>
      </c>
      <c r="C41" s="992"/>
      <c r="D41" s="992"/>
      <c r="E41" s="992"/>
      <c r="F41" s="992"/>
      <c r="G41" s="992"/>
      <c r="H41" s="992"/>
      <c r="I41" s="1018"/>
      <c r="J41" s="1001"/>
      <c r="K41" s="1018"/>
      <c r="L41" s="1001"/>
      <c r="M41" s="1001"/>
      <c r="N41" s="1002"/>
      <c r="O41" s="1002"/>
    </row>
    <row r="42" spans="2:35" ht="15">
      <c r="B42" s="998">
        <f t="shared" si="8"/>
        <v>46115</v>
      </c>
      <c r="C42" s="992"/>
      <c r="D42" s="992"/>
      <c r="E42" s="992"/>
      <c r="F42" s="992">
        <v>3034.9</v>
      </c>
      <c r="G42" s="992">
        <v>2809.48</v>
      </c>
      <c r="H42" s="992">
        <v>680</v>
      </c>
      <c r="I42" s="992"/>
      <c r="J42" s="993"/>
      <c r="K42" s="992">
        <v>700.7</v>
      </c>
      <c r="L42" s="993"/>
      <c r="M42" s="993"/>
      <c r="N42" s="1003">
        <v>275.82</v>
      </c>
      <c r="O42" s="1003"/>
    </row>
    <row r="43" spans="2:35" ht="15">
      <c r="B43" s="997">
        <f t="shared" si="8"/>
        <v>46116</v>
      </c>
      <c r="C43" s="992"/>
      <c r="D43" s="992"/>
      <c r="E43" s="992"/>
      <c r="F43" s="992">
        <v>3938.22</v>
      </c>
      <c r="G43" s="992">
        <v>2465.54</v>
      </c>
      <c r="H43" s="992">
        <v>300</v>
      </c>
      <c r="I43" s="992"/>
      <c r="J43" s="993"/>
      <c r="K43" s="992">
        <v>798.1</v>
      </c>
      <c r="L43" s="993"/>
      <c r="M43" s="993"/>
      <c r="N43" s="1004"/>
      <c r="O43" s="1004"/>
      <c r="Q43" s="362"/>
    </row>
    <row r="44" spans="2:35" ht="15">
      <c r="B44" s="998">
        <f t="shared" si="8"/>
        <v>46116</v>
      </c>
      <c r="C44" s="992"/>
      <c r="D44" s="992"/>
      <c r="E44" s="992"/>
      <c r="F44" s="992"/>
      <c r="G44" s="992"/>
      <c r="H44" s="992"/>
      <c r="I44" s="992"/>
      <c r="J44" s="993"/>
      <c r="K44" s="992"/>
      <c r="L44" s="993"/>
      <c r="M44" s="993"/>
      <c r="N44" s="1004"/>
      <c r="O44" s="1004"/>
      <c r="Q44" s="362"/>
    </row>
    <row r="45" spans="2:35" ht="15">
      <c r="B45" s="997">
        <f t="shared" si="8"/>
        <v>46117</v>
      </c>
      <c r="C45" s="992"/>
      <c r="D45" s="992"/>
      <c r="E45" s="992"/>
      <c r="F45" s="992">
        <v>1754.25</v>
      </c>
      <c r="G45" s="992">
        <v>4134.55</v>
      </c>
      <c r="H45" s="992">
        <v>638</v>
      </c>
      <c r="I45" s="992"/>
      <c r="J45" s="993"/>
      <c r="K45" s="992"/>
      <c r="L45" s="993"/>
      <c r="M45" s="993">
        <v>978.54</v>
      </c>
      <c r="N45" s="1004"/>
      <c r="O45" s="1004"/>
      <c r="T45" s="362"/>
      <c r="U45" s="362"/>
      <c r="V45" s="362"/>
      <c r="W45" s="362"/>
      <c r="X45" s="362"/>
      <c r="Y45" s="362"/>
      <c r="Z45" s="362"/>
      <c r="AA45" s="362"/>
    </row>
    <row r="46" spans="2:35" ht="15">
      <c r="B46" s="998">
        <f t="shared" si="8"/>
        <v>46117</v>
      </c>
      <c r="C46" s="992"/>
      <c r="D46" s="992"/>
      <c r="E46" s="992"/>
      <c r="F46" s="992"/>
      <c r="G46" s="992"/>
      <c r="H46" s="992"/>
      <c r="I46" s="992"/>
      <c r="J46" s="993"/>
      <c r="K46" s="993"/>
      <c r="L46" s="993"/>
      <c r="M46" s="993"/>
      <c r="N46" s="1003"/>
      <c r="O46" s="1003"/>
    </row>
    <row r="47" spans="2:35" ht="15">
      <c r="B47" s="997">
        <f t="shared" si="8"/>
        <v>46118</v>
      </c>
      <c r="C47" s="992"/>
      <c r="D47" s="992"/>
      <c r="E47" s="992"/>
      <c r="F47" s="992"/>
      <c r="G47" s="992"/>
      <c r="H47" s="992"/>
      <c r="I47" s="992"/>
      <c r="J47" s="993"/>
      <c r="K47" s="993"/>
      <c r="L47" s="993"/>
      <c r="M47" s="993"/>
      <c r="N47" s="1004"/>
      <c r="O47" s="1004"/>
    </row>
    <row r="48" spans="2:35" ht="15">
      <c r="B48" s="998">
        <f t="shared" si="8"/>
        <v>46118</v>
      </c>
      <c r="C48" s="992"/>
      <c r="D48" s="992"/>
      <c r="E48" s="992"/>
      <c r="F48" s="992">
        <v>5713.61</v>
      </c>
      <c r="G48" s="992">
        <v>133.04</v>
      </c>
      <c r="H48" s="992">
        <v>599</v>
      </c>
      <c r="I48" s="992"/>
      <c r="J48" s="993"/>
      <c r="K48" s="993">
        <v>1059.8399999999999</v>
      </c>
      <c r="L48" s="993"/>
      <c r="M48" s="993"/>
      <c r="N48" s="1003"/>
      <c r="O48" s="1003"/>
    </row>
    <row r="49" spans="2:15" ht="15">
      <c r="B49" s="997">
        <f t="shared" si="8"/>
        <v>46119</v>
      </c>
      <c r="C49" s="992"/>
      <c r="D49" s="992"/>
      <c r="E49" s="992"/>
      <c r="F49" s="992"/>
      <c r="G49" s="992"/>
      <c r="H49" s="992"/>
      <c r="I49" s="992"/>
      <c r="J49" s="993"/>
      <c r="K49" s="993"/>
      <c r="L49" s="1004"/>
      <c r="M49" s="1004"/>
      <c r="N49" s="1004"/>
      <c r="O49" s="1004"/>
    </row>
    <row r="50" spans="2:15" ht="15">
      <c r="B50" s="998">
        <f t="shared" si="8"/>
        <v>46119</v>
      </c>
      <c r="C50" s="992"/>
      <c r="D50" s="992"/>
      <c r="E50" s="992"/>
      <c r="F50" s="992"/>
      <c r="G50" s="992"/>
      <c r="H50" s="992"/>
      <c r="I50" s="992"/>
      <c r="J50" s="1004"/>
      <c r="K50" s="1004"/>
      <c r="L50" s="1004"/>
      <c r="M50" s="1004"/>
      <c r="N50" s="1004"/>
      <c r="O50" s="1004"/>
    </row>
    <row r="51" spans="2:15" ht="15">
      <c r="B51" s="997">
        <f t="shared" si="8"/>
        <v>46120</v>
      </c>
      <c r="C51" s="992"/>
      <c r="D51" s="992"/>
      <c r="E51" s="992"/>
      <c r="F51" s="992"/>
      <c r="G51" s="992"/>
      <c r="H51" s="992"/>
      <c r="I51" s="992"/>
      <c r="J51" s="1004"/>
      <c r="K51" s="1004"/>
      <c r="L51" s="1004"/>
      <c r="M51" s="1004"/>
      <c r="N51" s="1004"/>
      <c r="O51" s="1004"/>
    </row>
    <row r="52" spans="2:15" ht="15" hidden="1">
      <c r="B52" s="998">
        <f t="shared" si="8"/>
        <v>46120</v>
      </c>
      <c r="C52" s="992"/>
      <c r="D52" s="992"/>
      <c r="E52" s="992"/>
      <c r="F52" s="992"/>
      <c r="G52" s="992"/>
      <c r="H52" s="992"/>
      <c r="I52" s="992"/>
      <c r="J52" s="1005"/>
      <c r="K52" s="1005"/>
      <c r="L52" s="1006"/>
      <c r="M52" s="1006"/>
      <c r="N52" s="1006"/>
      <c r="O52" s="1006"/>
    </row>
    <row r="53" spans="2:15" ht="15" hidden="1">
      <c r="B53" s="997">
        <f t="shared" si="8"/>
        <v>46121</v>
      </c>
      <c r="C53" s="992"/>
      <c r="D53" s="992"/>
      <c r="E53" s="992"/>
      <c r="F53" s="992"/>
      <c r="G53" s="1054"/>
      <c r="H53" s="992"/>
      <c r="I53" s="992"/>
      <c r="J53" s="1005"/>
      <c r="K53" s="1005"/>
      <c r="L53" s="1007"/>
      <c r="M53" s="1007"/>
      <c r="N53" s="1007"/>
      <c r="O53" s="1007"/>
    </row>
    <row r="54" spans="2:15" ht="15" hidden="1">
      <c r="B54" s="998">
        <f t="shared" si="8"/>
        <v>46121</v>
      </c>
      <c r="C54" s="992"/>
      <c r="D54" s="992"/>
      <c r="E54" s="992"/>
      <c r="F54" s="992"/>
      <c r="G54" s="992"/>
      <c r="H54" s="992"/>
      <c r="I54" s="992"/>
      <c r="J54" s="1006"/>
      <c r="K54" s="1006"/>
      <c r="L54" s="1006"/>
      <c r="M54" s="1006"/>
      <c r="N54" s="1006"/>
      <c r="O54" s="1006"/>
    </row>
    <row r="55" spans="2:15" ht="15" hidden="1">
      <c r="B55" s="997">
        <f t="shared" si="8"/>
        <v>46122</v>
      </c>
      <c r="C55" s="1112"/>
      <c r="D55" s="992"/>
      <c r="E55" s="992"/>
      <c r="F55" s="992"/>
      <c r="G55" s="992"/>
      <c r="H55" s="992"/>
      <c r="I55" s="992"/>
      <c r="J55" s="1007"/>
      <c r="K55" s="1007"/>
      <c r="L55" s="1007"/>
      <c r="M55" s="1007"/>
      <c r="N55" s="1007"/>
      <c r="O55" s="1007"/>
    </row>
    <row r="56" spans="2:15" ht="15" hidden="1">
      <c r="B56" s="998">
        <f t="shared" si="8"/>
        <v>46122</v>
      </c>
      <c r="C56" s="1112"/>
      <c r="D56" s="992"/>
      <c r="E56" s="992"/>
      <c r="F56" s="992"/>
      <c r="G56" s="992"/>
      <c r="H56" s="992"/>
      <c r="I56" s="992"/>
      <c r="J56" s="1006"/>
      <c r="K56" s="1006"/>
      <c r="L56" s="1006"/>
      <c r="M56" s="1006"/>
      <c r="N56" s="1006"/>
      <c r="O56" s="1006"/>
    </row>
    <row r="57" spans="2:15" ht="15" hidden="1">
      <c r="B57" s="997">
        <f t="shared" si="8"/>
        <v>46123</v>
      </c>
      <c r="C57" s="992"/>
      <c r="D57" s="992"/>
      <c r="E57" s="992"/>
      <c r="F57" s="992"/>
      <c r="G57" s="992"/>
      <c r="H57" s="992"/>
      <c r="I57" s="992"/>
      <c r="J57" s="992"/>
      <c r="K57" s="1019"/>
      <c r="L57" s="1007"/>
      <c r="M57" s="1007"/>
      <c r="N57" s="1007"/>
      <c r="O57" s="1007"/>
    </row>
    <row r="58" spans="2:15" ht="15" hidden="1">
      <c r="B58" s="998">
        <f t="shared" si="8"/>
        <v>46123</v>
      </c>
      <c r="C58" s="992"/>
      <c r="D58" s="992"/>
      <c r="E58" s="992"/>
      <c r="F58" s="992"/>
      <c r="G58" s="992"/>
      <c r="H58" s="992"/>
      <c r="I58" s="992"/>
      <c r="J58" s="1006"/>
      <c r="K58" s="1006"/>
      <c r="L58" s="1006"/>
      <c r="M58" s="1006"/>
      <c r="N58" s="1006"/>
      <c r="O58" s="1006"/>
    </row>
    <row r="59" spans="2:15" ht="15" hidden="1">
      <c r="B59" s="997">
        <f t="shared" si="8"/>
        <v>46124</v>
      </c>
      <c r="C59" s="992"/>
      <c r="D59" s="992"/>
      <c r="E59" s="992"/>
      <c r="F59" s="992"/>
      <c r="G59" s="992"/>
      <c r="H59" s="992"/>
      <c r="I59" s="992"/>
      <c r="J59" s="1008"/>
      <c r="K59" s="1008"/>
      <c r="L59" s="1008"/>
      <c r="M59" s="1008"/>
      <c r="N59" s="1008"/>
      <c r="O59" s="1008"/>
    </row>
    <row r="60" spans="2:15" ht="15">
      <c r="B60" s="998">
        <f t="shared" si="8"/>
        <v>46124</v>
      </c>
      <c r="C60" s="992"/>
      <c r="D60" s="992"/>
      <c r="E60" s="992"/>
      <c r="F60" s="992"/>
      <c r="G60" s="992"/>
      <c r="H60" s="992"/>
      <c r="I60" s="992"/>
      <c r="J60" s="1009"/>
      <c r="K60" s="1055"/>
      <c r="L60" s="1009"/>
      <c r="M60" s="1009"/>
      <c r="N60" s="1009"/>
      <c r="O60" s="1009"/>
    </row>
    <row r="61" spans="2:15" ht="15">
      <c r="B61" s="997">
        <f t="shared" si="8"/>
        <v>46125</v>
      </c>
      <c r="C61" s="992"/>
      <c r="D61" s="992"/>
      <c r="E61" s="992"/>
      <c r="F61" s="992"/>
      <c r="G61" s="992"/>
      <c r="H61" s="992"/>
      <c r="I61" s="992"/>
      <c r="J61" s="1009"/>
      <c r="K61" s="1009"/>
      <c r="L61" s="1009"/>
      <c r="M61" s="1009"/>
      <c r="N61" s="1009"/>
      <c r="O61" s="1009"/>
    </row>
    <row r="62" spans="2:15" ht="15">
      <c r="B62" s="998">
        <f t="shared" si="8"/>
        <v>46125</v>
      </c>
      <c r="C62" s="992"/>
      <c r="D62" s="992"/>
      <c r="E62" s="992"/>
      <c r="F62" s="992"/>
      <c r="G62" s="992"/>
      <c r="H62" s="992"/>
      <c r="I62" s="992"/>
      <c r="J62" s="1009"/>
      <c r="K62" s="1009"/>
      <c r="L62" s="1009"/>
      <c r="M62" s="1009"/>
      <c r="N62" s="1009"/>
      <c r="O62" s="1009"/>
    </row>
    <row r="63" spans="2:15" ht="15">
      <c r="B63" s="997">
        <f t="shared" si="8"/>
        <v>46126</v>
      </c>
      <c r="C63" s="992"/>
      <c r="D63" s="992"/>
      <c r="E63" s="992"/>
      <c r="F63" s="992"/>
      <c r="G63" s="992"/>
      <c r="H63" s="992"/>
      <c r="I63" s="992"/>
      <c r="J63" s="1007"/>
      <c r="K63" s="1007"/>
      <c r="L63" s="1007"/>
      <c r="M63" s="1007"/>
      <c r="N63" s="1007"/>
      <c r="O63" s="1007"/>
    </row>
    <row r="64" spans="2:15" ht="15">
      <c r="B64" s="998">
        <f t="shared" si="8"/>
        <v>46126</v>
      </c>
      <c r="C64" s="992"/>
      <c r="D64" s="992"/>
      <c r="E64" s="992"/>
      <c r="F64" s="992"/>
      <c r="G64" s="992"/>
      <c r="H64" s="992"/>
      <c r="I64" s="992"/>
      <c r="J64" s="993"/>
      <c r="K64" s="993"/>
      <c r="L64" s="993"/>
      <c r="M64" s="993"/>
      <c r="N64" s="993"/>
      <c r="O64" s="993"/>
    </row>
    <row r="65" spans="2:15" ht="15">
      <c r="B65" s="997">
        <f t="shared" si="8"/>
        <v>46127</v>
      </c>
      <c r="C65" s="992"/>
      <c r="D65" s="992"/>
      <c r="E65" s="992"/>
      <c r="F65" s="992"/>
      <c r="G65" s="992"/>
      <c r="H65" s="992"/>
      <c r="I65" s="992"/>
      <c r="J65" s="993"/>
      <c r="K65" s="992"/>
      <c r="L65" s="993"/>
      <c r="M65" s="993"/>
      <c r="N65" s="993"/>
      <c r="O65" s="993"/>
    </row>
    <row r="66" spans="2:15" ht="15">
      <c r="B66" s="998">
        <f t="shared" si="8"/>
        <v>46127</v>
      </c>
      <c r="C66" s="992"/>
      <c r="D66" s="992"/>
      <c r="E66" s="992"/>
      <c r="F66" s="992"/>
      <c r="G66" s="992"/>
      <c r="H66" s="992"/>
      <c r="I66" s="992"/>
      <c r="J66" s="1010"/>
      <c r="K66" s="1010"/>
      <c r="L66" s="1010"/>
      <c r="M66" s="993"/>
      <c r="N66" s="993"/>
      <c r="O66" s="1010"/>
    </row>
    <row r="67" spans="2:15" ht="15">
      <c r="B67" s="997">
        <f t="shared" si="8"/>
        <v>46128</v>
      </c>
      <c r="C67" s="992"/>
      <c r="D67" s="992"/>
      <c r="E67" s="992"/>
      <c r="F67" s="992"/>
      <c r="G67" s="992"/>
      <c r="H67" s="992"/>
      <c r="I67" s="992"/>
      <c r="J67" s="993"/>
      <c r="K67" s="993"/>
      <c r="L67" s="993"/>
      <c r="M67" s="993"/>
      <c r="N67" s="993"/>
      <c r="O67" s="993"/>
    </row>
    <row r="68" spans="2:15" ht="15">
      <c r="B68" s="998">
        <f t="shared" si="8"/>
        <v>46128</v>
      </c>
      <c r="C68" s="992"/>
      <c r="D68" s="992"/>
      <c r="E68" s="992"/>
      <c r="F68" s="992"/>
      <c r="G68" s="992"/>
      <c r="H68" s="992"/>
      <c r="I68" s="992"/>
      <c r="J68" s="1011"/>
      <c r="K68" s="1011"/>
      <c r="L68" s="1011"/>
      <c r="M68" s="1011"/>
      <c r="N68" s="1011"/>
      <c r="O68" s="1011"/>
    </row>
    <row r="69" spans="2:15" ht="15">
      <c r="B69" s="997">
        <f t="shared" si="8"/>
        <v>46129</v>
      </c>
      <c r="C69" s="992"/>
      <c r="D69" s="992"/>
      <c r="E69" s="992"/>
      <c r="F69" s="992"/>
      <c r="G69" s="992"/>
      <c r="H69" s="992"/>
      <c r="I69" s="992"/>
      <c r="J69" s="993"/>
      <c r="K69" s="993"/>
      <c r="L69" s="1012"/>
      <c r="M69" s="993"/>
      <c r="N69" s="993"/>
      <c r="O69" s="993"/>
    </row>
    <row r="70" spans="2:15" ht="15">
      <c r="B70" s="998">
        <f t="shared" si="8"/>
        <v>46129</v>
      </c>
      <c r="C70" s="992"/>
      <c r="D70" s="992"/>
      <c r="E70" s="992"/>
      <c r="F70" s="992"/>
      <c r="G70" s="992"/>
      <c r="H70" s="992"/>
      <c r="I70" s="992"/>
      <c r="J70" s="1010"/>
      <c r="K70" s="1010"/>
      <c r="L70" s="993"/>
      <c r="M70" s="1010"/>
      <c r="N70" s="1010"/>
      <c r="O70" s="1010"/>
    </row>
    <row r="71" spans="2:15" ht="15">
      <c r="B71" s="997">
        <f t="shared" ref="B71:B98" si="9">+B69+1</f>
        <v>46130</v>
      </c>
      <c r="C71" s="992"/>
      <c r="D71" s="992"/>
      <c r="E71" s="992"/>
      <c r="F71" s="992"/>
      <c r="G71" s="992"/>
      <c r="H71" s="992"/>
      <c r="I71" s="992"/>
      <c r="J71" s="993"/>
      <c r="K71" s="992"/>
      <c r="L71" s="993"/>
      <c r="M71" s="993"/>
      <c r="N71" s="993"/>
      <c r="O71" s="993"/>
    </row>
    <row r="72" spans="2:15" ht="15">
      <c r="B72" s="998">
        <f t="shared" si="9"/>
        <v>46130</v>
      </c>
      <c r="C72" s="992"/>
      <c r="D72" s="992"/>
      <c r="E72" s="992"/>
      <c r="F72" s="992"/>
      <c r="G72" s="992"/>
      <c r="H72" s="992"/>
      <c r="I72" s="992"/>
      <c r="J72" s="1010"/>
      <c r="K72" s="1020"/>
      <c r="L72" s="1010"/>
      <c r="M72" s="1010"/>
      <c r="N72" s="1010"/>
      <c r="O72" s="1010"/>
    </row>
    <row r="73" spans="2:15" ht="15">
      <c r="B73" s="997">
        <f t="shared" si="9"/>
        <v>46131</v>
      </c>
      <c r="C73" s="992"/>
      <c r="D73" s="992"/>
      <c r="E73" s="992"/>
      <c r="F73" s="992"/>
      <c r="G73" s="992"/>
      <c r="H73" s="992"/>
      <c r="I73" s="992"/>
      <c r="J73" s="993"/>
      <c r="K73" s="992"/>
      <c r="L73" s="993"/>
      <c r="M73" s="993"/>
      <c r="N73" s="993"/>
      <c r="O73" s="993"/>
    </row>
    <row r="74" spans="2:15" ht="15">
      <c r="B74" s="998">
        <f t="shared" si="9"/>
        <v>46131</v>
      </c>
      <c r="C74" s="992"/>
      <c r="D74" s="992"/>
      <c r="E74" s="992"/>
      <c r="F74" s="992"/>
      <c r="G74" s="992"/>
      <c r="H74" s="992"/>
      <c r="I74" s="992"/>
      <c r="J74" s="993"/>
      <c r="K74" s="992"/>
      <c r="L74" s="993"/>
      <c r="M74" s="993"/>
      <c r="N74" s="993"/>
      <c r="O74" s="993"/>
    </row>
    <row r="75" spans="2:15" ht="15">
      <c r="B75" s="997">
        <f t="shared" si="9"/>
        <v>46132</v>
      </c>
      <c r="C75" s="992"/>
      <c r="D75" s="992"/>
      <c r="E75" s="992"/>
      <c r="F75" s="992"/>
      <c r="G75" s="992"/>
      <c r="H75" s="992"/>
      <c r="I75" s="992"/>
      <c r="J75" s="993"/>
      <c r="K75" s="992"/>
      <c r="L75" s="993"/>
      <c r="M75" s="993"/>
      <c r="N75" s="993"/>
      <c r="O75" s="993"/>
    </row>
    <row r="76" spans="2:15" ht="15">
      <c r="B76" s="998">
        <f t="shared" si="9"/>
        <v>46132</v>
      </c>
      <c r="C76" s="992"/>
      <c r="D76" s="992"/>
      <c r="E76" s="992"/>
      <c r="F76" s="992"/>
      <c r="G76" s="992"/>
      <c r="H76" s="992"/>
      <c r="I76" s="992"/>
      <c r="J76" s="993"/>
      <c r="K76" s="992"/>
      <c r="L76" s="993"/>
      <c r="M76" s="993"/>
      <c r="N76" s="993"/>
      <c r="O76" s="993"/>
    </row>
    <row r="77" spans="2:15" ht="15">
      <c r="B77" s="997">
        <f t="shared" si="9"/>
        <v>46133</v>
      </c>
      <c r="C77" s="992"/>
      <c r="D77" s="992"/>
      <c r="E77" s="992"/>
      <c r="F77" s="992"/>
      <c r="G77" s="992"/>
      <c r="H77" s="992"/>
      <c r="I77" s="992"/>
      <c r="J77" s="993"/>
      <c r="K77" s="992"/>
      <c r="L77" s="993"/>
      <c r="M77" s="993"/>
      <c r="N77" s="993"/>
      <c r="O77" s="993"/>
    </row>
    <row r="78" spans="2:15" ht="15">
      <c r="B78" s="998">
        <f t="shared" si="9"/>
        <v>46133</v>
      </c>
      <c r="C78" s="992"/>
      <c r="D78" s="992"/>
      <c r="E78" s="992"/>
      <c r="F78" s="992"/>
      <c r="G78" s="992"/>
      <c r="H78" s="992"/>
      <c r="I78" s="992"/>
      <c r="J78" s="993"/>
      <c r="K78" s="992"/>
      <c r="L78" s="993"/>
      <c r="M78" s="993"/>
      <c r="N78" s="993"/>
      <c r="O78" s="993"/>
    </row>
    <row r="79" spans="2:15" ht="15">
      <c r="B79" s="997">
        <f t="shared" si="9"/>
        <v>46134</v>
      </c>
      <c r="C79" s="992"/>
      <c r="D79" s="992"/>
      <c r="E79" s="992"/>
      <c r="F79" s="992"/>
      <c r="G79" s="992"/>
      <c r="H79" s="992"/>
      <c r="I79" s="992"/>
      <c r="J79" s="993"/>
      <c r="K79" s="992"/>
      <c r="L79" s="993"/>
      <c r="M79" s="993"/>
      <c r="N79" s="993"/>
      <c r="O79" s="993"/>
    </row>
    <row r="80" spans="2:15" ht="15">
      <c r="B80" s="998">
        <f t="shared" si="9"/>
        <v>46134</v>
      </c>
      <c r="C80" s="992"/>
      <c r="D80" s="992"/>
      <c r="E80" s="992"/>
      <c r="F80" s="992"/>
      <c r="G80" s="992"/>
      <c r="H80" s="992"/>
      <c r="I80" s="992"/>
      <c r="J80" s="993"/>
      <c r="K80" s="1021"/>
      <c r="L80" s="993"/>
      <c r="M80" s="993"/>
      <c r="N80" s="993"/>
      <c r="O80" s="993"/>
    </row>
    <row r="81" spans="2:18" ht="15">
      <c r="B81" s="997">
        <f t="shared" si="9"/>
        <v>46135</v>
      </c>
      <c r="C81" s="992"/>
      <c r="D81" s="992"/>
      <c r="E81" s="992"/>
      <c r="F81" s="992"/>
      <c r="G81" s="992"/>
      <c r="H81" s="992"/>
      <c r="I81" s="992"/>
      <c r="J81" s="993"/>
      <c r="K81" s="992"/>
      <c r="L81" s="993"/>
      <c r="M81" s="993"/>
      <c r="N81" s="993"/>
      <c r="O81" s="993"/>
      <c r="R81" s="362">
        <v>7352.8</v>
      </c>
    </row>
    <row r="82" spans="2:18" ht="15">
      <c r="B82" s="998">
        <f t="shared" si="9"/>
        <v>46135</v>
      </c>
      <c r="C82" s="992"/>
      <c r="D82" s="992"/>
      <c r="E82" s="992"/>
      <c r="F82" s="992"/>
      <c r="G82" s="992"/>
      <c r="H82" s="992"/>
      <c r="I82" s="992"/>
      <c r="J82" s="993"/>
      <c r="K82" s="992"/>
      <c r="L82" s="993"/>
      <c r="M82" s="993"/>
      <c r="N82" s="993"/>
      <c r="O82" s="993"/>
    </row>
    <row r="83" spans="2:18" ht="15">
      <c r="B83" s="997">
        <f t="shared" si="9"/>
        <v>46136</v>
      </c>
      <c r="C83" s="992"/>
      <c r="D83" s="992"/>
      <c r="E83" s="992"/>
      <c r="F83" s="992"/>
      <c r="G83" s="992"/>
      <c r="H83" s="992"/>
      <c r="I83" s="992"/>
      <c r="J83" s="993"/>
      <c r="K83" s="992"/>
      <c r="L83" s="993"/>
      <c r="M83" s="993"/>
      <c r="N83" s="993"/>
      <c r="O83" s="993"/>
    </row>
    <row r="84" spans="2:18" ht="15">
      <c r="B84" s="998">
        <f t="shared" si="9"/>
        <v>46136</v>
      </c>
      <c r="C84" s="992"/>
      <c r="D84" s="992"/>
      <c r="E84" s="992"/>
      <c r="F84" s="992"/>
      <c r="G84" s="992"/>
      <c r="H84" s="992"/>
      <c r="I84" s="992"/>
      <c r="J84" s="993"/>
      <c r="K84" s="992"/>
      <c r="L84" s="993"/>
      <c r="M84" s="993"/>
      <c r="N84" s="993"/>
      <c r="O84" s="993"/>
    </row>
    <row r="85" spans="2:18" ht="15">
      <c r="B85" s="997">
        <f t="shared" si="9"/>
        <v>46137</v>
      </c>
      <c r="C85" s="992"/>
      <c r="D85" s="992"/>
      <c r="E85" s="992"/>
      <c r="F85" s="992"/>
      <c r="G85" s="992"/>
      <c r="H85" s="992"/>
      <c r="I85" s="992"/>
      <c r="J85" s="993"/>
      <c r="K85" s="992"/>
      <c r="L85" s="993"/>
      <c r="M85" s="993"/>
      <c r="N85" s="993"/>
      <c r="O85" s="993"/>
    </row>
    <row r="86" spans="2:18" ht="15">
      <c r="B86" s="998">
        <f t="shared" si="9"/>
        <v>46137</v>
      </c>
      <c r="C86" s="992"/>
      <c r="D86" s="992"/>
      <c r="E86" s="992"/>
      <c r="F86" s="992"/>
      <c r="G86" s="992"/>
      <c r="H86" s="992"/>
      <c r="I86" s="992"/>
      <c r="J86" s="993"/>
      <c r="K86" s="992"/>
      <c r="L86" s="993"/>
      <c r="M86" s="993"/>
      <c r="N86" s="993"/>
      <c r="O86" s="993"/>
    </row>
    <row r="87" spans="2:18" ht="15">
      <c r="B87" s="997">
        <f t="shared" si="9"/>
        <v>46138</v>
      </c>
      <c r="C87" s="992"/>
      <c r="D87" s="992"/>
      <c r="E87" s="992"/>
      <c r="F87" s="992"/>
      <c r="G87" s="992"/>
      <c r="H87" s="992"/>
      <c r="I87" s="992"/>
      <c r="J87" s="993"/>
      <c r="K87" s="992"/>
      <c r="L87" s="993"/>
      <c r="M87" s="993"/>
      <c r="N87" s="993"/>
      <c r="O87" s="993"/>
    </row>
    <row r="88" spans="2:18" ht="15">
      <c r="B88" s="998">
        <f t="shared" si="9"/>
        <v>46138</v>
      </c>
      <c r="C88" s="992"/>
      <c r="D88" s="992"/>
      <c r="E88" s="992"/>
      <c r="F88" s="992"/>
      <c r="G88" s="992"/>
      <c r="H88" s="992"/>
      <c r="I88" s="992"/>
      <c r="J88" s="993"/>
      <c r="K88" s="992"/>
      <c r="L88" s="993"/>
      <c r="M88" s="993"/>
      <c r="N88" s="993"/>
      <c r="O88" s="993"/>
    </row>
    <row r="89" spans="2:18" ht="15">
      <c r="B89" s="997">
        <f t="shared" si="9"/>
        <v>46139</v>
      </c>
      <c r="C89" s="992"/>
      <c r="D89" s="992"/>
      <c r="E89" s="992"/>
      <c r="F89" s="992"/>
      <c r="G89" s="992"/>
      <c r="H89" s="992"/>
      <c r="I89" s="992"/>
      <c r="J89" s="993"/>
      <c r="K89" s="992"/>
      <c r="L89" s="993"/>
      <c r="M89" s="993"/>
      <c r="N89" s="993"/>
      <c r="O89" s="993"/>
    </row>
    <row r="90" spans="2:18" ht="15">
      <c r="B90" s="998">
        <f t="shared" si="9"/>
        <v>46139</v>
      </c>
      <c r="C90" s="992"/>
      <c r="D90" s="992"/>
      <c r="E90" s="992"/>
      <c r="F90" s="992"/>
      <c r="G90" s="992"/>
      <c r="H90" s="992"/>
      <c r="I90" s="992"/>
      <c r="J90" s="993"/>
      <c r="K90" s="1020"/>
      <c r="L90" s="993"/>
      <c r="M90" s="993"/>
      <c r="N90" s="993"/>
      <c r="O90" s="993"/>
    </row>
    <row r="91" spans="2:18" ht="15">
      <c r="B91" s="997">
        <f t="shared" si="9"/>
        <v>46140</v>
      </c>
      <c r="C91" s="992"/>
      <c r="D91" s="992"/>
      <c r="E91" s="992"/>
      <c r="F91" s="992"/>
      <c r="G91" s="992"/>
      <c r="H91" s="992"/>
      <c r="I91" s="992"/>
      <c r="J91" s="993"/>
      <c r="K91" s="992"/>
      <c r="L91" s="993"/>
      <c r="M91" s="993"/>
      <c r="N91" s="993"/>
      <c r="O91" s="993"/>
    </row>
    <row r="92" spans="2:18" ht="15">
      <c r="B92" s="998">
        <f t="shared" si="9"/>
        <v>46140</v>
      </c>
      <c r="C92" s="992"/>
      <c r="D92" s="992"/>
      <c r="E92" s="992"/>
      <c r="F92" s="992"/>
      <c r="G92" s="992"/>
      <c r="H92" s="992"/>
      <c r="I92" s="992"/>
      <c r="J92" s="993"/>
      <c r="K92" s="992"/>
      <c r="L92" s="993"/>
      <c r="M92" s="993"/>
      <c r="N92" s="993"/>
      <c r="O92" s="993"/>
    </row>
    <row r="93" spans="2:18" ht="15">
      <c r="B93" s="997">
        <f t="shared" si="9"/>
        <v>46141</v>
      </c>
      <c r="C93" s="992"/>
      <c r="D93" s="992"/>
      <c r="E93" s="992"/>
      <c r="F93" s="992"/>
      <c r="G93" s="992"/>
      <c r="H93" s="992"/>
      <c r="I93" s="992"/>
      <c r="J93" s="993"/>
      <c r="K93" s="992"/>
      <c r="L93" s="993"/>
      <c r="M93" s="993"/>
      <c r="N93" s="993"/>
      <c r="O93" s="993"/>
    </row>
    <row r="94" spans="2:18" ht="15">
      <c r="B94" s="998">
        <f t="shared" si="9"/>
        <v>46141</v>
      </c>
      <c r="C94" s="992"/>
      <c r="D94" s="992"/>
      <c r="E94" s="992"/>
      <c r="F94" s="992"/>
      <c r="G94" s="992"/>
      <c r="H94" s="992"/>
      <c r="I94" s="992"/>
      <c r="J94" s="993"/>
      <c r="K94" s="1020"/>
      <c r="L94" s="993"/>
      <c r="M94" s="993"/>
      <c r="N94" s="993"/>
      <c r="O94" s="993"/>
    </row>
    <row r="95" spans="2:18" ht="15">
      <c r="B95" s="997">
        <f t="shared" si="9"/>
        <v>46142</v>
      </c>
      <c r="C95" s="992"/>
      <c r="D95" s="992"/>
      <c r="E95" s="992"/>
      <c r="F95" s="992"/>
      <c r="G95" s="992"/>
      <c r="H95" s="992"/>
      <c r="I95" s="992"/>
      <c r="J95" s="993"/>
      <c r="K95" s="1020"/>
      <c r="L95" s="993"/>
      <c r="M95" s="993"/>
      <c r="N95" s="993"/>
      <c r="O95" s="993"/>
    </row>
    <row r="96" spans="2:18" ht="15">
      <c r="B96" s="998">
        <f t="shared" si="9"/>
        <v>46142</v>
      </c>
      <c r="C96" s="992"/>
      <c r="D96" s="992"/>
      <c r="E96" s="992"/>
      <c r="F96" s="992"/>
      <c r="G96" s="992"/>
      <c r="H96" s="992"/>
      <c r="I96" s="992"/>
      <c r="J96" s="993"/>
      <c r="K96" s="1020"/>
      <c r="L96" s="993"/>
      <c r="M96" s="993"/>
      <c r="N96" s="993"/>
      <c r="O96" s="993"/>
    </row>
    <row r="97" spans="1:15" ht="15">
      <c r="B97" s="997">
        <f t="shared" si="9"/>
        <v>46143</v>
      </c>
      <c r="C97" s="992"/>
      <c r="D97" s="992"/>
      <c r="E97" s="992"/>
      <c r="F97" s="992"/>
      <c r="G97" s="992"/>
      <c r="H97" s="992"/>
      <c r="I97" s="992"/>
      <c r="J97" s="993"/>
      <c r="K97" s="1020"/>
      <c r="L97" s="993"/>
      <c r="M97" s="993"/>
      <c r="N97" s="993"/>
      <c r="O97" s="993"/>
    </row>
    <row r="98" spans="1:15" ht="15">
      <c r="B98" s="998">
        <f t="shared" si="9"/>
        <v>46143</v>
      </c>
      <c r="C98" s="992"/>
      <c r="D98" s="992"/>
      <c r="E98" s="992"/>
      <c r="F98" s="992"/>
      <c r="G98" s="992"/>
      <c r="H98" s="992"/>
      <c r="I98" s="992"/>
      <c r="J98" s="993"/>
      <c r="K98" s="1020"/>
      <c r="L98" s="993"/>
      <c r="M98" s="993"/>
      <c r="N98" s="993"/>
      <c r="O98" s="993"/>
    </row>
    <row r="99" spans="1:15">
      <c r="B99" s="994"/>
      <c r="C99" s="1000">
        <f>SUM(C37:C98)</f>
        <v>0</v>
      </c>
      <c r="D99" s="1000">
        <f t="shared" ref="D99:K99" si="10">SUM(D37:D98)</f>
        <v>0</v>
      </c>
      <c r="E99" s="1000">
        <f t="shared" si="10"/>
        <v>0</v>
      </c>
      <c r="F99" s="1000">
        <f t="shared" si="10"/>
        <v>15577.98</v>
      </c>
      <c r="G99" s="1000">
        <f t="shared" si="10"/>
        <v>22290.799999999999</v>
      </c>
      <c r="H99" s="1000">
        <f t="shared" si="10"/>
        <v>2791</v>
      </c>
      <c r="I99" s="1000">
        <f t="shared" si="10"/>
        <v>0</v>
      </c>
      <c r="J99" s="1000">
        <f t="shared" si="10"/>
        <v>0</v>
      </c>
      <c r="K99" s="1000">
        <f t="shared" si="10"/>
        <v>3202.24</v>
      </c>
      <c r="L99" s="1000">
        <f>SUM(L37:L98)</f>
        <v>0</v>
      </c>
      <c r="M99" s="1000">
        <f>SUM(M37:M98)</f>
        <v>978.54</v>
      </c>
      <c r="N99" s="1000">
        <f>SUM(N37:N98)</f>
        <v>275.82</v>
      </c>
      <c r="O99" s="1023">
        <f>SUM(O37:O98)</f>
        <v>0</v>
      </c>
    </row>
    <row r="101" spans="1:15">
      <c r="H101" s="362"/>
    </row>
    <row r="103" spans="1:15">
      <c r="A103" s="362"/>
      <c r="C103" s="362"/>
      <c r="D103" s="362"/>
      <c r="E103" s="362"/>
      <c r="F103" s="362"/>
    </row>
    <row r="104" spans="1:15">
      <c r="A104" s="362"/>
      <c r="C104" s="362"/>
      <c r="D104" s="362"/>
      <c r="E104" s="362"/>
      <c r="F104" s="362"/>
    </row>
  </sheetData>
  <mergeCells count="19">
    <mergeCell ref="B2:B3"/>
    <mergeCell ref="C2:C3"/>
    <mergeCell ref="D2:I2"/>
    <mergeCell ref="K23:L24"/>
    <mergeCell ref="M23:R23"/>
    <mergeCell ref="B23:B24"/>
    <mergeCell ref="C23:C24"/>
    <mergeCell ref="D23:I23"/>
    <mergeCell ref="K11:L12"/>
    <mergeCell ref="M11:R11"/>
    <mergeCell ref="B11:B12"/>
    <mergeCell ref="C11:C12"/>
    <mergeCell ref="AA35:AB35"/>
    <mergeCell ref="AC35:AI35"/>
    <mergeCell ref="D11:I11"/>
    <mergeCell ref="M2:R2"/>
    <mergeCell ref="U35:V35"/>
    <mergeCell ref="W35:X35"/>
    <mergeCell ref="Y35:Z35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1" tint="0.499984740745262"/>
  </sheetPr>
  <dimension ref="A1:AT147"/>
  <sheetViews>
    <sheetView topLeftCell="A4" workbookViewId="0">
      <pane xSplit="3" ySplit="37" topLeftCell="D41" activePane="bottomRight" state="frozen"/>
      <selection pane="bottomRight" activeCell="D4" sqref="D4"/>
      <selection pane="bottomLeft" activeCell="A41" sqref="A41"/>
      <selection pane="topRight" activeCell="D4" sqref="D4"/>
    </sheetView>
  </sheetViews>
  <sheetFormatPr defaultColWidth="8.85546875" defaultRowHeight="14.45"/>
  <cols>
    <col min="1" max="2" width="30.7109375" style="731" customWidth="1"/>
    <col min="3" max="3" width="9.7109375" style="731" customWidth="1"/>
    <col min="4" max="9" width="11.7109375" style="731" customWidth="1"/>
    <col min="10" max="10" width="12.28515625" style="731" bestFit="1" customWidth="1"/>
    <col min="11" max="12" width="11.7109375" style="731" customWidth="1"/>
    <col min="13" max="13" width="12.28515625" style="731" bestFit="1" customWidth="1"/>
    <col min="14" max="15" width="11.7109375" style="731" customWidth="1"/>
    <col min="16" max="16" width="12.28515625" style="731" bestFit="1" customWidth="1"/>
    <col min="17" max="18" width="11.7109375" style="731" customWidth="1"/>
    <col min="19" max="19" width="12.28515625" style="731" bestFit="1" customWidth="1"/>
    <col min="20" max="21" width="11.7109375" style="731" customWidth="1"/>
    <col min="22" max="22" width="12.28515625" style="731" bestFit="1" customWidth="1"/>
    <col min="23" max="24" width="11.7109375" style="731" customWidth="1"/>
    <col min="25" max="25" width="12.28515625" style="731" bestFit="1" customWidth="1"/>
    <col min="26" max="35" width="11.7109375" style="731" customWidth="1"/>
    <col min="36" max="36" width="14.140625" style="731" bestFit="1" customWidth="1"/>
    <col min="37" max="37" width="14.140625" style="731" customWidth="1"/>
    <col min="38" max="39" width="11.7109375" style="731" customWidth="1"/>
    <col min="40" max="40" width="12.28515625" style="731" bestFit="1" customWidth="1"/>
    <col min="41" max="42" width="11.7109375" style="731" customWidth="1"/>
    <col min="43" max="43" width="14.7109375" style="731" customWidth="1"/>
    <col min="44" max="44" width="8.85546875" style="731"/>
    <col min="45" max="45" width="12.28515625" style="731" bestFit="1" customWidth="1"/>
    <col min="46" max="46" width="9.140625" style="731" bestFit="1" customWidth="1"/>
    <col min="47" max="16384" width="8.85546875" style="731"/>
  </cols>
  <sheetData>
    <row r="1" spans="1:43" ht="17.45">
      <c r="A1" s="730" t="s">
        <v>430</v>
      </c>
      <c r="B1" s="730"/>
      <c r="C1" s="730"/>
    </row>
    <row r="2" spans="1:43" ht="18" thickBot="1">
      <c r="A2" s="730"/>
      <c r="B2" s="730"/>
      <c r="C2" s="730"/>
    </row>
    <row r="3" spans="1:43">
      <c r="D3" s="1384">
        <v>2024</v>
      </c>
      <c r="E3" s="1384"/>
      <c r="F3" s="1384"/>
      <c r="G3" s="1384"/>
      <c r="H3" s="1384"/>
      <c r="I3" s="1384"/>
      <c r="J3" s="1384"/>
      <c r="K3" s="1384"/>
      <c r="L3" s="1384"/>
      <c r="M3" s="1384"/>
      <c r="N3" s="1384"/>
      <c r="O3" s="1384"/>
      <c r="P3" s="1384"/>
      <c r="Q3" s="1384"/>
      <c r="R3" s="1384"/>
      <c r="S3" s="1384"/>
      <c r="T3" s="1384"/>
      <c r="U3" s="1384"/>
      <c r="V3" s="1384"/>
      <c r="W3" s="1384"/>
      <c r="X3" s="1384"/>
      <c r="Y3" s="1384"/>
      <c r="Z3" s="1384"/>
      <c r="AA3" s="1384"/>
      <c r="AB3" s="1384"/>
      <c r="AC3" s="1384"/>
      <c r="AD3" s="1384"/>
      <c r="AE3" s="1384"/>
      <c r="AF3" s="1384"/>
      <c r="AG3" s="1385"/>
      <c r="AH3" s="732"/>
      <c r="AI3" s="733"/>
      <c r="AJ3" s="733"/>
      <c r="AK3" s="733"/>
      <c r="AL3" s="733"/>
      <c r="AM3" s="733"/>
      <c r="AN3" s="1386"/>
      <c r="AO3" s="1387"/>
      <c r="AP3" s="1388"/>
      <c r="AQ3" s="734"/>
    </row>
    <row r="4" spans="1:43">
      <c r="A4" s="735" t="s">
        <v>431</v>
      </c>
      <c r="B4" s="735" t="s">
        <v>432</v>
      </c>
      <c r="C4" s="735" t="s">
        <v>113</v>
      </c>
      <c r="D4" s="1389" t="s">
        <v>433</v>
      </c>
      <c r="E4" s="1390"/>
      <c r="F4" s="1391"/>
      <c r="G4" s="1389" t="s">
        <v>434</v>
      </c>
      <c r="H4" s="1390"/>
      <c r="I4" s="1391"/>
      <c r="J4" s="1389" t="s">
        <v>435</v>
      </c>
      <c r="K4" s="1390"/>
      <c r="L4" s="1391"/>
      <c r="M4" s="1389" t="s">
        <v>436</v>
      </c>
      <c r="N4" s="1390"/>
      <c r="O4" s="1391"/>
      <c r="P4" s="1389" t="s">
        <v>437</v>
      </c>
      <c r="Q4" s="1390"/>
      <c r="R4" s="1391"/>
      <c r="S4" s="1389" t="s">
        <v>438</v>
      </c>
      <c r="T4" s="1390"/>
      <c r="U4" s="1391"/>
      <c r="V4" s="1389" t="s">
        <v>439</v>
      </c>
      <c r="W4" s="1390"/>
      <c r="X4" s="1391"/>
      <c r="Y4" s="1389" t="s">
        <v>440</v>
      </c>
      <c r="Z4" s="1390"/>
      <c r="AA4" s="1391"/>
      <c r="AB4" s="1389" t="s">
        <v>441</v>
      </c>
      <c r="AC4" s="1390"/>
      <c r="AD4" s="1391"/>
      <c r="AE4" s="1389" t="s">
        <v>442</v>
      </c>
      <c r="AF4" s="1390"/>
      <c r="AG4" s="1390"/>
      <c r="AH4" s="1392" t="s">
        <v>443</v>
      </c>
      <c r="AI4" s="1390"/>
      <c r="AJ4" s="1390"/>
      <c r="AK4" s="1390"/>
      <c r="AL4" s="1390"/>
      <c r="AM4" s="1390"/>
      <c r="AN4" s="1392" t="s">
        <v>232</v>
      </c>
      <c r="AO4" s="1390"/>
      <c r="AP4" s="1393"/>
      <c r="AQ4" s="815" t="s">
        <v>126</v>
      </c>
    </row>
    <row r="5" spans="1:43">
      <c r="A5" s="736" t="s">
        <v>444</v>
      </c>
      <c r="B5" s="737"/>
      <c r="C5" s="737"/>
      <c r="D5" s="738" t="s">
        <v>209</v>
      </c>
      <c r="E5" s="738" t="s">
        <v>208</v>
      </c>
      <c r="F5" s="738" t="s">
        <v>210</v>
      </c>
      <c r="G5" s="738" t="s">
        <v>209</v>
      </c>
      <c r="H5" s="738" t="s">
        <v>208</v>
      </c>
      <c r="I5" s="738" t="s">
        <v>210</v>
      </c>
      <c r="J5" s="738" t="s">
        <v>209</v>
      </c>
      <c r="K5" s="738" t="s">
        <v>208</v>
      </c>
      <c r="L5" s="738" t="s">
        <v>210</v>
      </c>
      <c r="M5" s="738" t="s">
        <v>209</v>
      </c>
      <c r="N5" s="738" t="s">
        <v>208</v>
      </c>
      <c r="O5" s="738" t="s">
        <v>210</v>
      </c>
      <c r="P5" s="738" t="s">
        <v>209</v>
      </c>
      <c r="Q5" s="738" t="s">
        <v>208</v>
      </c>
      <c r="R5" s="738" t="s">
        <v>210</v>
      </c>
      <c r="S5" s="738" t="s">
        <v>209</v>
      </c>
      <c r="T5" s="738" t="s">
        <v>208</v>
      </c>
      <c r="U5" s="738" t="s">
        <v>210</v>
      </c>
      <c r="V5" s="738" t="s">
        <v>209</v>
      </c>
      <c r="W5" s="738" t="s">
        <v>208</v>
      </c>
      <c r="X5" s="738" t="s">
        <v>210</v>
      </c>
      <c r="Y5" s="738" t="s">
        <v>209</v>
      </c>
      <c r="Z5" s="738" t="s">
        <v>208</v>
      </c>
      <c r="AA5" s="738" t="s">
        <v>210</v>
      </c>
      <c r="AB5" s="738" t="s">
        <v>209</v>
      </c>
      <c r="AC5" s="738" t="s">
        <v>208</v>
      </c>
      <c r="AD5" s="738" t="s">
        <v>210</v>
      </c>
      <c r="AE5" s="738" t="s">
        <v>209</v>
      </c>
      <c r="AF5" s="738" t="s">
        <v>208</v>
      </c>
      <c r="AG5" s="738" t="s">
        <v>210</v>
      </c>
      <c r="AH5" s="1382" t="s">
        <v>209</v>
      </c>
      <c r="AI5" s="1383"/>
      <c r="AJ5" s="1383" t="s">
        <v>208</v>
      </c>
      <c r="AK5" s="1383"/>
      <c r="AL5" s="1383" t="s">
        <v>210</v>
      </c>
      <c r="AM5" s="1383"/>
      <c r="AN5" s="816" t="s">
        <v>209</v>
      </c>
      <c r="AO5" s="739" t="s">
        <v>208</v>
      </c>
      <c r="AP5" s="740" t="s">
        <v>210</v>
      </c>
      <c r="AQ5" s="741"/>
    </row>
    <row r="6" spans="1:43" ht="13.15" hidden="1" customHeight="1">
      <c r="A6" s="742" t="s">
        <v>445</v>
      </c>
      <c r="B6" s="742"/>
      <c r="C6" s="742" t="s">
        <v>85</v>
      </c>
      <c r="D6" s="743">
        <v>230000</v>
      </c>
      <c r="E6" s="743"/>
      <c r="F6" s="743"/>
      <c r="G6" s="743">
        <v>215000</v>
      </c>
      <c r="H6" s="743"/>
      <c r="I6" s="743"/>
      <c r="J6" s="743">
        <v>230000</v>
      </c>
      <c r="K6" s="743"/>
      <c r="L6" s="743"/>
      <c r="M6" s="743">
        <v>220000</v>
      </c>
      <c r="N6" s="743"/>
      <c r="O6" s="743"/>
      <c r="P6" s="743">
        <v>255000</v>
      </c>
      <c r="Q6" s="743"/>
      <c r="R6" s="743"/>
      <c r="S6" s="743">
        <v>290000</v>
      </c>
      <c r="T6" s="743"/>
      <c r="U6" s="743"/>
      <c r="V6" s="743">
        <v>375000</v>
      </c>
      <c r="W6" s="743"/>
      <c r="X6" s="743"/>
      <c r="Y6" s="743">
        <v>395000</v>
      </c>
      <c r="Z6" s="743"/>
      <c r="AA6" s="743"/>
      <c r="AB6" s="743">
        <v>365000</v>
      </c>
      <c r="AC6" s="743"/>
      <c r="AD6" s="743"/>
      <c r="AE6" s="743">
        <v>345000</v>
      </c>
      <c r="AF6" s="743"/>
      <c r="AG6" s="744"/>
      <c r="AH6" s="745"/>
      <c r="AI6" s="743"/>
      <c r="AJ6" s="743"/>
      <c r="AK6" s="743"/>
      <c r="AL6" s="743"/>
      <c r="AM6" s="744"/>
      <c r="AN6" s="746"/>
      <c r="AO6" s="743"/>
      <c r="AP6" s="747"/>
      <c r="AQ6" s="747">
        <f>SUM(D6:AG6)</f>
        <v>2920000</v>
      </c>
    </row>
    <row r="7" spans="1:43" ht="13.15" hidden="1" customHeight="1">
      <c r="A7" s="742" t="s">
        <v>446</v>
      </c>
      <c r="B7" s="742"/>
      <c r="C7" s="742" t="s">
        <v>447</v>
      </c>
      <c r="D7" s="743">
        <v>1183.07</v>
      </c>
      <c r="E7" s="743"/>
      <c r="F7" s="743"/>
      <c r="G7" s="743">
        <v>1238.07</v>
      </c>
      <c r="H7" s="743"/>
      <c r="I7" s="743"/>
      <c r="J7" s="743">
        <v>1205.3</v>
      </c>
      <c r="K7" s="743"/>
      <c r="L7" s="743"/>
      <c r="M7" s="743">
        <v>1248.1199999999999</v>
      </c>
      <c r="N7" s="743"/>
      <c r="O7" s="743"/>
      <c r="P7" s="743">
        <v>1362.91</v>
      </c>
      <c r="Q7" s="743"/>
      <c r="R7" s="743"/>
      <c r="S7" s="743">
        <v>1363.64</v>
      </c>
      <c r="T7" s="743"/>
      <c r="U7" s="743"/>
      <c r="V7" s="743">
        <v>1457.41</v>
      </c>
      <c r="W7" s="743"/>
      <c r="X7" s="743"/>
      <c r="Y7" s="743">
        <v>1701.29</v>
      </c>
      <c r="Z7" s="743"/>
      <c r="AA7" s="743"/>
      <c r="AB7" s="743">
        <v>1831.32</v>
      </c>
      <c r="AC7" s="743"/>
      <c r="AD7" s="743"/>
      <c r="AE7" s="743">
        <v>2081.19</v>
      </c>
      <c r="AF7" s="743"/>
      <c r="AG7" s="744"/>
      <c r="AH7" s="745"/>
      <c r="AI7" s="743"/>
      <c r="AJ7" s="743"/>
      <c r="AK7" s="743"/>
      <c r="AL7" s="743"/>
      <c r="AM7" s="744"/>
      <c r="AN7" s="746"/>
      <c r="AO7" s="743"/>
      <c r="AP7" s="747"/>
      <c r="AQ7" s="747">
        <f>SUMPRODUCT(D6:AG6,D7:AG7)/AQ6</f>
        <v>1519.888647260274</v>
      </c>
    </row>
    <row r="8" spans="1:43" ht="13.15" hidden="1" customHeight="1">
      <c r="A8" s="748" t="s">
        <v>448</v>
      </c>
      <c r="B8" s="748"/>
      <c r="C8" s="748" t="s">
        <v>85</v>
      </c>
      <c r="D8" s="748">
        <v>300000</v>
      </c>
      <c r="E8" s="748"/>
      <c r="F8" s="748"/>
      <c r="G8" s="748">
        <v>250000</v>
      </c>
      <c r="H8" s="748"/>
      <c r="I8" s="748"/>
      <c r="J8" s="748">
        <v>300000</v>
      </c>
      <c r="K8" s="748"/>
      <c r="L8" s="748"/>
      <c r="M8" s="748">
        <v>350000</v>
      </c>
      <c r="N8" s="748"/>
      <c r="O8" s="748"/>
      <c r="P8" s="748">
        <v>400000</v>
      </c>
      <c r="Q8" s="748"/>
      <c r="R8" s="748"/>
      <c r="S8" s="748">
        <v>500000</v>
      </c>
      <c r="T8" s="748"/>
      <c r="U8" s="748"/>
      <c r="V8" s="748">
        <v>590000</v>
      </c>
      <c r="W8" s="748"/>
      <c r="X8" s="748"/>
      <c r="Y8" s="748">
        <v>570000</v>
      </c>
      <c r="Z8" s="748"/>
      <c r="AA8" s="748"/>
      <c r="AB8" s="748">
        <v>540000</v>
      </c>
      <c r="AC8" s="748"/>
      <c r="AD8" s="748"/>
      <c r="AE8" s="748">
        <v>500000</v>
      </c>
      <c r="AF8" s="748"/>
      <c r="AG8" s="749"/>
      <c r="AH8" s="750"/>
      <c r="AI8" s="748"/>
      <c r="AJ8" s="748"/>
      <c r="AK8" s="748"/>
      <c r="AL8" s="748"/>
      <c r="AM8" s="749"/>
      <c r="AN8" s="751"/>
      <c r="AO8" s="748"/>
      <c r="AP8" s="752"/>
      <c r="AQ8" s="752">
        <f>SUM(D8:AG8)</f>
        <v>4300000</v>
      </c>
    </row>
    <row r="9" spans="1:43" ht="13.15" hidden="1" customHeight="1">
      <c r="A9" s="748" t="s">
        <v>449</v>
      </c>
      <c r="B9" s="748"/>
      <c r="C9" s="748" t="s">
        <v>447</v>
      </c>
      <c r="D9" s="748" t="e">
        <f>#REF!</f>
        <v>#REF!</v>
      </c>
      <c r="E9" s="748"/>
      <c r="F9" s="748"/>
      <c r="G9" s="748" t="e">
        <f>#REF!</f>
        <v>#REF!</v>
      </c>
      <c r="H9" s="748"/>
      <c r="I9" s="748"/>
      <c r="J9" s="748" t="e">
        <f>#REF!</f>
        <v>#REF!</v>
      </c>
      <c r="K9" s="748"/>
      <c r="L9" s="748"/>
      <c r="M9" s="748" t="e">
        <f>#REF!</f>
        <v>#REF!</v>
      </c>
      <c r="N9" s="748"/>
      <c r="O9" s="748"/>
      <c r="P9" s="748" t="e">
        <f>#REF!</f>
        <v>#REF!</v>
      </c>
      <c r="Q9" s="748"/>
      <c r="R9" s="748"/>
      <c r="S9" s="748" t="e">
        <f>#REF!</f>
        <v>#REF!</v>
      </c>
      <c r="T9" s="748"/>
      <c r="U9" s="748"/>
      <c r="V9" s="748" t="e">
        <f>#REF!</f>
        <v>#REF!</v>
      </c>
      <c r="W9" s="748"/>
      <c r="X9" s="748"/>
      <c r="Y9" s="748" t="e">
        <f>#REF!</f>
        <v>#REF!</v>
      </c>
      <c r="Z9" s="748"/>
      <c r="AA9" s="748"/>
      <c r="AB9" s="748" t="e">
        <f>#REF!</f>
        <v>#REF!</v>
      </c>
      <c r="AC9" s="748"/>
      <c r="AD9" s="748"/>
      <c r="AE9" s="748" t="e">
        <f>#REF!</f>
        <v>#REF!</v>
      </c>
      <c r="AF9" s="748"/>
      <c r="AG9" s="749"/>
      <c r="AH9" s="750"/>
      <c r="AI9" s="748"/>
      <c r="AJ9" s="748"/>
      <c r="AK9" s="748"/>
      <c r="AL9" s="748"/>
      <c r="AM9" s="749"/>
      <c r="AN9" s="751"/>
      <c r="AO9" s="748"/>
      <c r="AP9" s="752"/>
      <c r="AQ9" s="752" t="e">
        <f>SUMPRODUCT(D8:AG8,D9:AG9)/AQ8</f>
        <v>#REF!</v>
      </c>
    </row>
    <row r="10" spans="1:43" ht="13.15" hidden="1" customHeight="1">
      <c r="A10" s="742" t="s">
        <v>450</v>
      </c>
      <c r="B10" s="742"/>
      <c r="C10" s="742" t="s">
        <v>85</v>
      </c>
      <c r="D10" s="743">
        <v>0</v>
      </c>
      <c r="E10" s="743"/>
      <c r="F10" s="743"/>
      <c r="G10" s="743">
        <v>0</v>
      </c>
      <c r="H10" s="743"/>
      <c r="I10" s="743"/>
      <c r="J10" s="743">
        <v>0</v>
      </c>
      <c r="K10" s="743"/>
      <c r="L10" s="743"/>
      <c r="M10" s="743">
        <v>0</v>
      </c>
      <c r="N10" s="743"/>
      <c r="O10" s="743"/>
      <c r="P10" s="743">
        <v>0</v>
      </c>
      <c r="Q10" s="743"/>
      <c r="R10" s="743"/>
      <c r="S10" s="743">
        <v>0</v>
      </c>
      <c r="T10" s="743"/>
      <c r="U10" s="743"/>
      <c r="V10" s="743">
        <v>0</v>
      </c>
      <c r="W10" s="743"/>
      <c r="X10" s="743"/>
      <c r="Y10" s="743">
        <v>37000</v>
      </c>
      <c r="Z10" s="743"/>
      <c r="AA10" s="743"/>
      <c r="AB10" s="743">
        <v>64999.999999997599</v>
      </c>
      <c r="AC10" s="743"/>
      <c r="AD10" s="743"/>
      <c r="AE10" s="743">
        <v>69999.999999999796</v>
      </c>
      <c r="AF10" s="743"/>
      <c r="AG10" s="744"/>
      <c r="AH10" s="745"/>
      <c r="AI10" s="743"/>
      <c r="AJ10" s="743"/>
      <c r="AK10" s="743"/>
      <c r="AL10" s="743"/>
      <c r="AM10" s="744"/>
      <c r="AN10" s="746"/>
      <c r="AO10" s="743"/>
      <c r="AP10" s="747"/>
      <c r="AQ10" s="747">
        <f>SUM(D10:AG10)</f>
        <v>171999.99999999738</v>
      </c>
    </row>
    <row r="11" spans="1:43" ht="13.15" hidden="1" customHeight="1">
      <c r="A11" s="742" t="s">
        <v>451</v>
      </c>
      <c r="B11" s="742"/>
      <c r="C11" s="742" t="s">
        <v>452</v>
      </c>
      <c r="D11" s="743">
        <v>0</v>
      </c>
      <c r="E11" s="743"/>
      <c r="F11" s="743"/>
      <c r="G11" s="743">
        <v>0</v>
      </c>
      <c r="H11" s="743"/>
      <c r="I11" s="743"/>
      <c r="J11" s="743">
        <v>0</v>
      </c>
      <c r="K11" s="743"/>
      <c r="L11" s="743"/>
      <c r="M11" s="743">
        <v>0</v>
      </c>
      <c r="N11" s="743"/>
      <c r="O11" s="743"/>
      <c r="P11" s="743">
        <v>0</v>
      </c>
      <c r="Q11" s="743"/>
      <c r="R11" s="743"/>
      <c r="S11" s="743">
        <v>0</v>
      </c>
      <c r="T11" s="743"/>
      <c r="U11" s="743"/>
      <c r="V11" s="743">
        <v>85000</v>
      </c>
      <c r="W11" s="743"/>
      <c r="X11" s="743"/>
      <c r="Y11" s="743">
        <v>190000</v>
      </c>
      <c r="Z11" s="743"/>
      <c r="AA11" s="743"/>
      <c r="AB11" s="743">
        <v>200000</v>
      </c>
      <c r="AC11" s="743"/>
      <c r="AD11" s="743"/>
      <c r="AE11" s="743">
        <v>200000</v>
      </c>
      <c r="AF11" s="743"/>
      <c r="AG11" s="744"/>
      <c r="AH11" s="745"/>
      <c r="AI11" s="743"/>
      <c r="AJ11" s="743"/>
      <c r="AK11" s="743"/>
      <c r="AL11" s="743"/>
      <c r="AM11" s="744"/>
      <c r="AN11" s="746"/>
      <c r="AO11" s="743"/>
      <c r="AP11" s="747"/>
      <c r="AQ11" s="747">
        <f>SUM(D11:AG11)</f>
        <v>675000</v>
      </c>
    </row>
    <row r="12" spans="1:43" ht="13.15" hidden="1" customHeight="1">
      <c r="A12" s="742" t="s">
        <v>453</v>
      </c>
      <c r="B12" s="742"/>
      <c r="C12" s="742" t="s">
        <v>85</v>
      </c>
      <c r="D12" s="743">
        <v>0</v>
      </c>
      <c r="E12" s="743"/>
      <c r="F12" s="743"/>
      <c r="G12" s="743">
        <v>0</v>
      </c>
      <c r="H12" s="743"/>
      <c r="I12" s="743"/>
      <c r="J12" s="743">
        <v>0</v>
      </c>
      <c r="K12" s="743"/>
      <c r="L12" s="743"/>
      <c r="M12" s="743">
        <v>0</v>
      </c>
      <c r="N12" s="743"/>
      <c r="O12" s="743"/>
      <c r="P12" s="743">
        <v>0</v>
      </c>
      <c r="Q12" s="743"/>
      <c r="R12" s="743"/>
      <c r="S12" s="743">
        <v>0</v>
      </c>
      <c r="T12" s="743"/>
      <c r="U12" s="743"/>
      <c r="V12" s="743">
        <v>0</v>
      </c>
      <c r="W12" s="743"/>
      <c r="X12" s="743"/>
      <c r="Y12" s="743">
        <v>0</v>
      </c>
      <c r="Z12" s="743"/>
      <c r="AA12" s="743"/>
      <c r="AB12" s="743">
        <v>75000</v>
      </c>
      <c r="AC12" s="743"/>
      <c r="AD12" s="743"/>
      <c r="AE12" s="743">
        <v>75000</v>
      </c>
      <c r="AF12" s="743"/>
      <c r="AG12" s="744"/>
      <c r="AH12" s="745"/>
      <c r="AI12" s="743"/>
      <c r="AJ12" s="743"/>
      <c r="AK12" s="743"/>
      <c r="AL12" s="743"/>
      <c r="AM12" s="744"/>
      <c r="AN12" s="746"/>
      <c r="AO12" s="743"/>
      <c r="AP12" s="747"/>
      <c r="AQ12" s="747">
        <f>SUM(D12:AG12)</f>
        <v>150000</v>
      </c>
    </row>
    <row r="13" spans="1:43" ht="13.15" hidden="1" customHeight="1">
      <c r="A13" s="742" t="s">
        <v>454</v>
      </c>
      <c r="B13" s="742"/>
      <c r="C13" s="742" t="s">
        <v>85</v>
      </c>
      <c r="D13" s="743">
        <v>0</v>
      </c>
      <c r="E13" s="743"/>
      <c r="F13" s="743"/>
      <c r="G13" s="743">
        <v>0</v>
      </c>
      <c r="H13" s="743"/>
      <c r="I13" s="743"/>
      <c r="J13" s="743">
        <v>0</v>
      </c>
      <c r="K13" s="743"/>
      <c r="L13" s="743"/>
      <c r="M13" s="743">
        <v>0</v>
      </c>
      <c r="N13" s="743"/>
      <c r="O13" s="743"/>
      <c r="P13" s="743">
        <v>0</v>
      </c>
      <c r="Q13" s="743"/>
      <c r="R13" s="743"/>
      <c r="S13" s="743">
        <v>0</v>
      </c>
      <c r="T13" s="743"/>
      <c r="U13" s="743"/>
      <c r="V13" s="743">
        <v>0</v>
      </c>
      <c r="W13" s="743"/>
      <c r="X13" s="743"/>
      <c r="Y13" s="743">
        <v>0</v>
      </c>
      <c r="Z13" s="743"/>
      <c r="AA13" s="743"/>
      <c r="AB13" s="743">
        <v>0</v>
      </c>
      <c r="AC13" s="743"/>
      <c r="AD13" s="743"/>
      <c r="AE13" s="743">
        <v>0</v>
      </c>
      <c r="AF13" s="743"/>
      <c r="AG13" s="744"/>
      <c r="AH13" s="745"/>
      <c r="AI13" s="743"/>
      <c r="AJ13" s="743"/>
      <c r="AK13" s="743"/>
      <c r="AL13" s="743"/>
      <c r="AM13" s="744"/>
      <c r="AN13" s="746"/>
      <c r="AO13" s="743"/>
      <c r="AP13" s="747"/>
      <c r="AQ13" s="747">
        <f>SUM(D13:AG13)</f>
        <v>0</v>
      </c>
    </row>
    <row r="14" spans="1:43" ht="13.15" hidden="1" customHeight="1">
      <c r="A14" s="742" t="s">
        <v>455</v>
      </c>
      <c r="B14" s="742"/>
      <c r="C14" s="742" t="s">
        <v>456</v>
      </c>
      <c r="D14" s="743">
        <f>IF(D10=0,0,D6/D10)</f>
        <v>0</v>
      </c>
      <c r="E14" s="743"/>
      <c r="F14" s="743"/>
      <c r="G14" s="743">
        <f>IF(G10=0,0,G6/G10)</f>
        <v>0</v>
      </c>
      <c r="H14" s="743"/>
      <c r="I14" s="743"/>
      <c r="J14" s="743">
        <f>IF(J10=0,0,J6/J10)</f>
        <v>0</v>
      </c>
      <c r="K14" s="743"/>
      <c r="L14" s="743"/>
      <c r="M14" s="743">
        <f>IF(M10=0,0,M6/M10)</f>
        <v>0</v>
      </c>
      <c r="N14" s="743"/>
      <c r="O14" s="743"/>
      <c r="P14" s="743">
        <f>IF(P10=0,0,P6/P10)</f>
        <v>0</v>
      </c>
      <c r="Q14" s="743"/>
      <c r="R14" s="743"/>
      <c r="S14" s="743">
        <f>IF(S10=0,0,S6/S10)</f>
        <v>0</v>
      </c>
      <c r="T14" s="743"/>
      <c r="U14" s="743"/>
      <c r="V14" s="743">
        <f>IF(V10=0,0,V6/V10)</f>
        <v>0</v>
      </c>
      <c r="W14" s="743"/>
      <c r="X14" s="743"/>
      <c r="Y14" s="743">
        <f>IF(Y10=0,0,Y6/Y10)</f>
        <v>10.675675675675675</v>
      </c>
      <c r="Z14" s="743"/>
      <c r="AA14" s="743"/>
      <c r="AB14" s="743">
        <f>IF(AB10=0,0,AB6/AB10)</f>
        <v>5.6153846153848228</v>
      </c>
      <c r="AC14" s="743"/>
      <c r="AD14" s="743"/>
      <c r="AE14" s="743">
        <f>IF(AE10=0,0,AE6/AE10)</f>
        <v>4.928571428571443</v>
      </c>
      <c r="AF14" s="743"/>
      <c r="AG14" s="744"/>
      <c r="AH14" s="745"/>
      <c r="AI14" s="743"/>
      <c r="AJ14" s="743"/>
      <c r="AK14" s="743"/>
      <c r="AL14" s="743"/>
      <c r="AM14" s="744"/>
      <c r="AN14" s="746"/>
      <c r="AO14" s="743"/>
      <c r="AP14" s="747"/>
      <c r="AQ14" s="747">
        <f>IF(AQ10=0,0,AQ6/AQ10)</f>
        <v>16.976744186046769</v>
      </c>
    </row>
    <row r="15" spans="1:43" ht="13.15" hidden="1" customHeight="1">
      <c r="A15" s="742" t="s">
        <v>457</v>
      </c>
      <c r="B15" s="742"/>
      <c r="C15" s="742" t="s">
        <v>456</v>
      </c>
      <c r="D15" s="743">
        <f>IF(D13=0,0,D6/D13)</f>
        <v>0</v>
      </c>
      <c r="E15" s="743"/>
      <c r="F15" s="743"/>
      <c r="G15" s="743">
        <f>IF(G13=0,0,G6/G13)</f>
        <v>0</v>
      </c>
      <c r="H15" s="743"/>
      <c r="I15" s="743"/>
      <c r="J15" s="743">
        <f>IF(J13=0,0,J6/J13)</f>
        <v>0</v>
      </c>
      <c r="K15" s="743"/>
      <c r="L15" s="743"/>
      <c r="M15" s="743">
        <f>IF(M13=0,0,M6/M13)</f>
        <v>0</v>
      </c>
      <c r="N15" s="743"/>
      <c r="O15" s="743"/>
      <c r="P15" s="743">
        <f>IF(P13=0,0,P6/P13)</f>
        <v>0</v>
      </c>
      <c r="Q15" s="743"/>
      <c r="R15" s="743"/>
      <c r="S15" s="743">
        <f>IF(S13=0,0,S6/S13)</f>
        <v>0</v>
      </c>
      <c r="T15" s="743"/>
      <c r="U15" s="743"/>
      <c r="V15" s="743">
        <f>IF(V13=0,0,V6/V13)</f>
        <v>0</v>
      </c>
      <c r="W15" s="743"/>
      <c r="X15" s="743"/>
      <c r="Y15" s="743">
        <f>IF(Y13=0,0,Y6/Y13)</f>
        <v>0</v>
      </c>
      <c r="Z15" s="743"/>
      <c r="AA15" s="743"/>
      <c r="AB15" s="743">
        <f>IF(AB13=0,0,AB6/AB13)</f>
        <v>0</v>
      </c>
      <c r="AC15" s="743"/>
      <c r="AD15" s="743"/>
      <c r="AE15" s="743">
        <f>IF(AE13=0,0,AE6/AE13)</f>
        <v>0</v>
      </c>
      <c r="AF15" s="743"/>
      <c r="AG15" s="744"/>
      <c r="AH15" s="745"/>
      <c r="AI15" s="743"/>
      <c r="AJ15" s="743"/>
      <c r="AK15" s="743"/>
      <c r="AL15" s="743"/>
      <c r="AM15" s="744"/>
      <c r="AN15" s="753"/>
      <c r="AO15" s="754"/>
      <c r="AP15" s="852"/>
      <c r="AQ15" s="747">
        <f>IF(AQ13=0,0,AQ6/AQ13)</f>
        <v>0</v>
      </c>
    </row>
    <row r="16" spans="1:43">
      <c r="A16" s="736" t="s">
        <v>458</v>
      </c>
      <c r="B16" s="737"/>
      <c r="C16" s="737"/>
      <c r="D16" s="738"/>
      <c r="E16" s="738"/>
      <c r="F16" s="738"/>
      <c r="G16" s="738"/>
      <c r="H16" s="738"/>
      <c r="I16" s="738"/>
      <c r="J16" s="738"/>
      <c r="K16" s="738"/>
      <c r="L16" s="738"/>
      <c r="M16" s="738"/>
      <c r="N16" s="738"/>
      <c r="O16" s="738"/>
      <c r="P16" s="738"/>
      <c r="Q16" s="738"/>
      <c r="R16" s="738"/>
      <c r="S16" s="738"/>
      <c r="T16" s="738"/>
      <c r="U16" s="738"/>
      <c r="V16" s="738"/>
      <c r="W16" s="738"/>
      <c r="X16" s="738"/>
      <c r="Y16" s="738"/>
      <c r="Z16" s="738"/>
      <c r="AA16" s="738"/>
      <c r="AB16" s="738"/>
      <c r="AC16" s="738"/>
      <c r="AD16" s="738"/>
      <c r="AE16" s="738"/>
      <c r="AF16" s="738"/>
      <c r="AG16" s="738"/>
      <c r="AH16" s="755"/>
      <c r="AI16" s="738"/>
      <c r="AJ16" s="738"/>
      <c r="AK16" s="738"/>
      <c r="AL16" s="738"/>
      <c r="AM16" s="738"/>
      <c r="AN16" s="756"/>
      <c r="AO16" s="757"/>
      <c r="AP16" s="758"/>
      <c r="AQ16" s="741"/>
    </row>
    <row r="17" spans="1:43">
      <c r="A17" s="742" t="s">
        <v>459</v>
      </c>
      <c r="B17" s="742"/>
      <c r="C17" s="759" t="s">
        <v>85</v>
      </c>
      <c r="D17" s="760"/>
      <c r="E17" s="760"/>
      <c r="F17" s="760">
        <v>7400.17333984375</v>
      </c>
      <c r="G17" s="760">
        <v>10097.466674804688</v>
      </c>
      <c r="H17" s="760"/>
      <c r="I17" s="760">
        <v>37310.478466033936</v>
      </c>
      <c r="J17" s="760">
        <v>31222.9658203125</v>
      </c>
      <c r="K17" s="760"/>
      <c r="L17" s="760">
        <v>58330.41015625</v>
      </c>
      <c r="M17" s="760">
        <v>47222.045227050781</v>
      </c>
      <c r="N17" s="760">
        <v>10317.800598144531</v>
      </c>
      <c r="O17" s="760">
        <v>60035.06640625</v>
      </c>
      <c r="P17" s="760">
        <v>108893.82713317871</v>
      </c>
      <c r="Q17" s="760">
        <v>22444.395790100098</v>
      </c>
      <c r="R17" s="760">
        <v>63945.2265625</v>
      </c>
      <c r="S17" s="760">
        <v>123351.703125</v>
      </c>
      <c r="T17" s="760">
        <v>35938.38671875</v>
      </c>
      <c r="U17" s="760">
        <v>62738.51171875</v>
      </c>
      <c r="V17" s="760">
        <v>123351.703125</v>
      </c>
      <c r="W17" s="760">
        <v>35938.38671875</v>
      </c>
      <c r="X17" s="760">
        <v>62738.51171875</v>
      </c>
      <c r="Y17" s="760">
        <v>136192.6875</v>
      </c>
      <c r="Z17" s="760">
        <v>33386.78125</v>
      </c>
      <c r="AA17" s="760">
        <v>70207.203125</v>
      </c>
      <c r="AB17" s="760">
        <v>78728.536071777344</v>
      </c>
      <c r="AC17" s="760">
        <v>21621.916015625</v>
      </c>
      <c r="AD17" s="760">
        <v>38478.8203125</v>
      </c>
      <c r="AE17" s="760">
        <v>8283.2247314453125</v>
      </c>
      <c r="AF17" s="760">
        <v>1973.657470703125</v>
      </c>
      <c r="AG17" s="761">
        <v>0</v>
      </c>
      <c r="AH17" s="762"/>
      <c r="AI17" s="760"/>
      <c r="AJ17" s="760"/>
      <c r="AK17" s="760"/>
      <c r="AL17" s="760"/>
      <c r="AM17" s="761"/>
      <c r="AN17" s="762"/>
      <c r="AO17" s="760"/>
      <c r="AP17" s="763"/>
      <c r="AQ17" s="764">
        <f>SUM(D17:AG17)</f>
        <v>1290149.8857765198</v>
      </c>
    </row>
    <row r="18" spans="1:43">
      <c r="A18" s="742" t="s">
        <v>460</v>
      </c>
      <c r="B18" s="742"/>
      <c r="C18" s="759" t="s">
        <v>461</v>
      </c>
      <c r="D18" s="760"/>
      <c r="E18" s="760"/>
      <c r="F18" s="760">
        <v>4114.96533203125</v>
      </c>
      <c r="G18" s="760">
        <v>4808.399658203125</v>
      </c>
      <c r="H18" s="760"/>
      <c r="I18" s="760">
        <v>4094.7652587890625</v>
      </c>
      <c r="J18" s="760">
        <v>4838.901611328125</v>
      </c>
      <c r="K18" s="760"/>
      <c r="L18" s="760">
        <v>4355.78125</v>
      </c>
      <c r="M18" s="760">
        <v>4854.02197265625</v>
      </c>
      <c r="N18" s="760">
        <v>4583.47412109375</v>
      </c>
      <c r="O18" s="760">
        <v>4718.19189453125</v>
      </c>
      <c r="P18" s="760">
        <v>4688.514892578125</v>
      </c>
      <c r="Q18" s="760">
        <v>4391.273681640625</v>
      </c>
      <c r="R18" s="760">
        <v>4471.451171875</v>
      </c>
      <c r="S18" s="760">
        <v>4374.95751953125</v>
      </c>
      <c r="T18" s="760">
        <v>4268.08154296875</v>
      </c>
      <c r="U18" s="760">
        <v>4156.56396484375</v>
      </c>
      <c r="V18" s="760">
        <v>4374.95751953125</v>
      </c>
      <c r="W18" s="760">
        <v>4268.08154296875</v>
      </c>
      <c r="X18" s="760">
        <v>4156.56396484375</v>
      </c>
      <c r="Y18" s="760">
        <v>4195.17529296875</v>
      </c>
      <c r="Z18" s="760">
        <v>4171.47119140625</v>
      </c>
      <c r="AA18" s="760">
        <v>4063.81640625</v>
      </c>
      <c r="AB18" s="760">
        <v>4397.145263671875</v>
      </c>
      <c r="AC18" s="760">
        <v>4015.53515625</v>
      </c>
      <c r="AD18" s="760">
        <v>4173.03076171875</v>
      </c>
      <c r="AE18" s="760">
        <v>4572.356201171875</v>
      </c>
      <c r="AF18" s="760">
        <v>3760.35986328125</v>
      </c>
      <c r="AG18" s="761">
        <v>0</v>
      </c>
      <c r="AH18" s="762"/>
      <c r="AI18" s="760"/>
      <c r="AJ18" s="760"/>
      <c r="AK18" s="760"/>
      <c r="AL18" s="760"/>
      <c r="AM18" s="761"/>
      <c r="AN18" s="765"/>
      <c r="AO18" s="760"/>
      <c r="AP18" s="764"/>
      <c r="AQ18" s="764"/>
    </row>
    <row r="19" spans="1:43">
      <c r="A19" s="742" t="s">
        <v>462</v>
      </c>
      <c r="B19" s="742"/>
      <c r="C19" s="759" t="s">
        <v>461</v>
      </c>
      <c r="D19" s="760"/>
      <c r="E19" s="760"/>
      <c r="F19" s="760">
        <v>3540.8888933015155</v>
      </c>
      <c r="G19" s="760">
        <v>4218.0453968050415</v>
      </c>
      <c r="H19" s="760"/>
      <c r="I19" s="760">
        <v>3651.4181807695495</v>
      </c>
      <c r="J19" s="760">
        <v>4181.5570181748499</v>
      </c>
      <c r="K19" s="760"/>
      <c r="L19" s="760">
        <v>3733.4101234885643</v>
      </c>
      <c r="M19" s="760">
        <v>3957.8006243331392</v>
      </c>
      <c r="N19" s="760">
        <v>3704.7475873196636</v>
      </c>
      <c r="O19" s="760">
        <v>3794.1704195293073</v>
      </c>
      <c r="P19" s="760">
        <v>3918.1817819971125</v>
      </c>
      <c r="Q19" s="760">
        <v>3698.4350040172335</v>
      </c>
      <c r="R19" s="760">
        <v>3757.967821950655</v>
      </c>
      <c r="S19" s="760">
        <v>3686.7762976598851</v>
      </c>
      <c r="T19" s="760">
        <v>3569.9328360118889</v>
      </c>
      <c r="U19" s="760">
        <v>3556.515767437163</v>
      </c>
      <c r="V19" s="760">
        <v>3686.7762976598851</v>
      </c>
      <c r="W19" s="760">
        <v>3569.9328360118889</v>
      </c>
      <c r="X19" s="760">
        <v>3556.515767437163</v>
      </c>
      <c r="Y19" s="760">
        <v>3579.4300371559207</v>
      </c>
      <c r="Z19" s="760">
        <v>3521.9934438237956</v>
      </c>
      <c r="AA19" s="760">
        <v>3488.6355505195961</v>
      </c>
      <c r="AB19" s="760">
        <v>3725.3128354049495</v>
      </c>
      <c r="AC19" s="760">
        <v>3403.6284133766085</v>
      </c>
      <c r="AD19" s="760">
        <v>3569.8615776167776</v>
      </c>
      <c r="AE19" s="760">
        <v>3924.9899646096387</v>
      </c>
      <c r="AF19" s="760">
        <v>3253.6313861864332</v>
      </c>
      <c r="AG19" s="761">
        <v>0</v>
      </c>
      <c r="AH19" s="762"/>
      <c r="AI19" s="760"/>
      <c r="AJ19" s="760"/>
      <c r="AK19" s="760"/>
      <c r="AL19" s="760"/>
      <c r="AM19" s="761"/>
      <c r="AN19" s="765"/>
      <c r="AO19" s="760"/>
      <c r="AP19" s="764"/>
      <c r="AQ19" s="764"/>
    </row>
    <row r="20" spans="1:43">
      <c r="A20" s="742" t="s">
        <v>420</v>
      </c>
      <c r="B20" s="742"/>
      <c r="C20" s="759" t="s">
        <v>463</v>
      </c>
      <c r="D20" s="760"/>
      <c r="E20" s="760"/>
      <c r="F20" s="760">
        <v>0.13078996539115906</v>
      </c>
      <c r="G20" s="760">
        <v>0.12217956036329269</v>
      </c>
      <c r="H20" s="760"/>
      <c r="I20" s="760">
        <v>0.13155660778284073</v>
      </c>
      <c r="J20" s="760">
        <v>0.11469417810440063</v>
      </c>
      <c r="K20" s="760"/>
      <c r="L20" s="760">
        <v>0.13813723623752594</v>
      </c>
      <c r="M20" s="760">
        <v>0.11233191564679146</v>
      </c>
      <c r="N20" s="760">
        <v>0.1816391721367836</v>
      </c>
      <c r="O20" s="760">
        <v>0.15936124324798584</v>
      </c>
      <c r="P20" s="760">
        <v>0.10967570170760155</v>
      </c>
      <c r="Q20" s="760">
        <v>0.20138873904943466</v>
      </c>
      <c r="R20" s="760">
        <v>0.14668330550193787</v>
      </c>
      <c r="S20" s="760">
        <v>0.11128560453653336</v>
      </c>
      <c r="T20" s="760">
        <v>0.15938307344913483</v>
      </c>
      <c r="U20" s="760">
        <v>0.13965973258018494</v>
      </c>
      <c r="V20" s="760">
        <v>0.11128560453653336</v>
      </c>
      <c r="W20" s="760">
        <v>0.15938307344913483</v>
      </c>
      <c r="X20" s="760">
        <v>0.13965973258018494</v>
      </c>
      <c r="Y20" s="760">
        <v>8.9641347527503967E-2</v>
      </c>
      <c r="Z20" s="760">
        <v>0.13987064361572266</v>
      </c>
      <c r="AA20" s="760">
        <v>0.13789807260036469</v>
      </c>
      <c r="AB20" s="760">
        <v>9.4689566642045975E-2</v>
      </c>
      <c r="AC20" s="760">
        <v>0.15394456684589386</v>
      </c>
      <c r="AD20" s="760">
        <v>0.14724825322628021</v>
      </c>
      <c r="AE20" s="760">
        <v>9.9666301161050797E-2</v>
      </c>
      <c r="AF20" s="760">
        <v>0.15171156823635101</v>
      </c>
      <c r="AG20" s="761">
        <v>0</v>
      </c>
      <c r="AH20" s="762"/>
      <c r="AI20" s="760"/>
      <c r="AJ20" s="760"/>
      <c r="AK20" s="760"/>
      <c r="AL20" s="760"/>
      <c r="AM20" s="761"/>
      <c r="AN20" s="765"/>
      <c r="AO20" s="760"/>
      <c r="AP20" s="764"/>
      <c r="AQ20" s="764"/>
    </row>
    <row r="21" spans="1:43">
      <c r="A21" s="742" t="s">
        <v>464</v>
      </c>
      <c r="B21" s="742"/>
      <c r="C21" s="759" t="s">
        <v>463</v>
      </c>
      <c r="D21" s="760"/>
      <c r="E21" s="760"/>
      <c r="F21" s="760">
        <v>11.354194641113281</v>
      </c>
      <c r="G21" s="760">
        <v>5.5025379657745361</v>
      </c>
      <c r="H21" s="760"/>
      <c r="I21" s="760">
        <v>9.0298671722412109</v>
      </c>
      <c r="J21" s="760">
        <v>4.8862359523773193</v>
      </c>
      <c r="K21" s="760"/>
      <c r="L21" s="760">
        <v>8.4974327087402344</v>
      </c>
      <c r="M21" s="760">
        <v>5.6871347427368164</v>
      </c>
      <c r="N21" s="760">
        <v>10.411909103393555</v>
      </c>
      <c r="O21" s="760">
        <v>8.7672147750854492</v>
      </c>
      <c r="P21" s="760">
        <v>6.0140137672424316</v>
      </c>
      <c r="Q21" s="760">
        <v>11.493030548095703</v>
      </c>
      <c r="R21" s="760">
        <v>8.6890792846679688</v>
      </c>
      <c r="S21" s="760">
        <v>9.026209831237793</v>
      </c>
      <c r="T21" s="760">
        <v>12.220863342285156</v>
      </c>
      <c r="U21" s="760">
        <v>11.084883689880371</v>
      </c>
      <c r="V21" s="760">
        <v>9.026209831237793</v>
      </c>
      <c r="W21" s="760">
        <v>12.220863342285156</v>
      </c>
      <c r="X21" s="760">
        <v>11.084883689880371</v>
      </c>
      <c r="Y21" s="760">
        <v>9.7111263275146484</v>
      </c>
      <c r="Z21" s="760">
        <v>12.645918846130371</v>
      </c>
      <c r="AA21" s="760">
        <v>11.468897819519043</v>
      </c>
      <c r="AB21" s="760">
        <v>8.1189944744110107</v>
      </c>
      <c r="AC21" s="760">
        <v>15.358551979064941</v>
      </c>
      <c r="AD21" s="760">
        <v>12.344010353088379</v>
      </c>
      <c r="AE21" s="760">
        <v>6.9955301284790039</v>
      </c>
      <c r="AF21" s="760">
        <v>17.846445083618164</v>
      </c>
      <c r="AG21" s="761">
        <v>0</v>
      </c>
      <c r="AH21" s="762"/>
      <c r="AI21" s="760"/>
      <c r="AJ21" s="760"/>
      <c r="AK21" s="760"/>
      <c r="AL21" s="760"/>
      <c r="AM21" s="761"/>
      <c r="AN21" s="765"/>
      <c r="AO21" s="760"/>
      <c r="AP21" s="764"/>
      <c r="AQ21" s="764"/>
    </row>
    <row r="22" spans="1:43">
      <c r="A22" s="742" t="s">
        <v>416</v>
      </c>
      <c r="B22" s="742"/>
      <c r="C22" s="760" t="s">
        <v>463</v>
      </c>
      <c r="D22" s="760"/>
      <c r="E22" s="760"/>
      <c r="F22" s="760">
        <v>37.154041290283203</v>
      </c>
      <c r="G22" s="760">
        <v>36.611757278442383</v>
      </c>
      <c r="H22" s="760"/>
      <c r="I22" s="760">
        <v>36.796741485595703</v>
      </c>
      <c r="J22" s="760">
        <v>37.64801025390625</v>
      </c>
      <c r="K22" s="760"/>
      <c r="L22" s="760">
        <v>37.513774871826172</v>
      </c>
      <c r="M22" s="760">
        <v>38.27452278137207</v>
      </c>
      <c r="N22" s="760">
        <v>37.279417037963867</v>
      </c>
      <c r="O22" s="760">
        <v>37.576129913330078</v>
      </c>
      <c r="P22" s="760">
        <v>38.462162017822266</v>
      </c>
      <c r="Q22" s="760">
        <v>36.545442581176758</v>
      </c>
      <c r="R22" s="760">
        <v>38.182102203369141</v>
      </c>
      <c r="S22" s="760">
        <v>37.718955993652344</v>
      </c>
      <c r="T22" s="760">
        <v>36.603984832763672</v>
      </c>
      <c r="U22" s="760">
        <v>38.152557373046875</v>
      </c>
      <c r="V22" s="760">
        <v>37.718955993652344</v>
      </c>
      <c r="W22" s="760">
        <v>36.603984832763672</v>
      </c>
      <c r="X22" s="760">
        <v>38.152557373046875</v>
      </c>
      <c r="Y22" s="760">
        <v>38.03997802734375</v>
      </c>
      <c r="Z22" s="760">
        <v>36.766433715820313</v>
      </c>
      <c r="AA22" s="760">
        <v>38.275253295898438</v>
      </c>
      <c r="AB22" s="760">
        <v>37.670431137084961</v>
      </c>
      <c r="AC22" s="760">
        <v>35.72802734375</v>
      </c>
      <c r="AD22" s="760">
        <v>37.059150695800781</v>
      </c>
      <c r="AE22" s="760">
        <v>36.920139312744141</v>
      </c>
      <c r="AF22" s="760">
        <v>34.751804351806641</v>
      </c>
      <c r="AG22" s="761">
        <v>0</v>
      </c>
      <c r="AH22" s="762"/>
      <c r="AI22" s="760"/>
      <c r="AJ22" s="760"/>
      <c r="AK22" s="760"/>
      <c r="AL22" s="760"/>
      <c r="AM22" s="761"/>
      <c r="AN22" s="765"/>
      <c r="AO22" s="760"/>
      <c r="AP22" s="764"/>
      <c r="AQ22" s="764">
        <f>SUMPRODUCT(D17:AG17,D22:AG22)/AQ17</f>
        <v>37.698720630419729</v>
      </c>
    </row>
    <row r="23" spans="1:43">
      <c r="A23" s="742" t="s">
        <v>465</v>
      </c>
      <c r="B23" s="742"/>
      <c r="C23" s="760" t="s">
        <v>463</v>
      </c>
      <c r="D23" s="760"/>
      <c r="E23" s="760"/>
      <c r="F23" s="760">
        <v>26.9649658203125</v>
      </c>
      <c r="G23" s="760">
        <v>27.735154151916504</v>
      </c>
      <c r="H23" s="760"/>
      <c r="I23" s="760">
        <v>29.129765510559082</v>
      </c>
      <c r="J23" s="760">
        <v>27.82494068145752</v>
      </c>
      <c r="K23" s="760"/>
      <c r="L23" s="760">
        <v>27.097126007080078</v>
      </c>
      <c r="M23" s="760">
        <v>24.302591323852539</v>
      </c>
      <c r="N23" s="760">
        <v>22.45125675201416</v>
      </c>
      <c r="O23" s="760">
        <v>22.373598098754883</v>
      </c>
      <c r="P23" s="760">
        <v>26.36302375793457</v>
      </c>
      <c r="Q23" s="760">
        <v>24.682135581970215</v>
      </c>
      <c r="R23" s="760">
        <v>26.445428848266602</v>
      </c>
      <c r="S23" s="760">
        <v>26.093448638916016</v>
      </c>
      <c r="T23" s="760">
        <v>24.206035614013672</v>
      </c>
      <c r="U23" s="760">
        <v>27.717781066894531</v>
      </c>
      <c r="V23" s="760">
        <v>26.093448638916016</v>
      </c>
      <c r="W23" s="760">
        <v>24.206035614013672</v>
      </c>
      <c r="X23" s="760">
        <v>27.717781066894531</v>
      </c>
      <c r="Y23" s="760">
        <v>27.381412506103516</v>
      </c>
      <c r="Z23" s="760">
        <v>25.105766296386719</v>
      </c>
      <c r="AA23" s="760">
        <v>28.098526000976563</v>
      </c>
      <c r="AB23" s="760">
        <v>26.433307647705078</v>
      </c>
      <c r="AC23" s="760">
        <v>24.173166275024414</v>
      </c>
      <c r="AD23" s="760">
        <v>26.424570083618164</v>
      </c>
      <c r="AE23" s="760">
        <v>26.48753547668457</v>
      </c>
      <c r="AF23" s="760">
        <v>24.58989143371582</v>
      </c>
      <c r="AG23" s="761">
        <v>0</v>
      </c>
      <c r="AH23" s="762"/>
      <c r="AI23" s="760"/>
      <c r="AJ23" s="760"/>
      <c r="AK23" s="760"/>
      <c r="AL23" s="760"/>
      <c r="AM23" s="761"/>
      <c r="AN23" s="765"/>
      <c r="AO23" s="760"/>
      <c r="AP23" s="764"/>
      <c r="AQ23" s="764"/>
    </row>
    <row r="24" spans="1:43">
      <c r="A24" s="742" t="s">
        <v>419</v>
      </c>
      <c r="B24" s="742"/>
      <c r="C24" s="760" t="s">
        <v>463</v>
      </c>
      <c r="D24" s="760"/>
      <c r="E24" s="760"/>
      <c r="F24" s="760">
        <v>35.697681427001953</v>
      </c>
      <c r="G24" s="760">
        <v>37.321403503417969</v>
      </c>
      <c r="H24" s="760"/>
      <c r="I24" s="760">
        <v>35.600173950195313</v>
      </c>
      <c r="J24" s="760">
        <v>37.369905471801758</v>
      </c>
      <c r="K24" s="760"/>
      <c r="L24" s="760">
        <v>36.797748565673828</v>
      </c>
      <c r="M24" s="760">
        <v>38.474905014038086</v>
      </c>
      <c r="N24" s="760">
        <v>36.509462356567383</v>
      </c>
      <c r="O24" s="760">
        <v>38.565925598144531</v>
      </c>
      <c r="P24" s="760">
        <v>37.716859817504883</v>
      </c>
      <c r="Q24" s="760">
        <v>36.211601257324219</v>
      </c>
      <c r="R24" s="760">
        <v>37.219440460205078</v>
      </c>
      <c r="S24" s="760">
        <v>36.554630279541016</v>
      </c>
      <c r="T24" s="760">
        <v>36.015132904052734</v>
      </c>
      <c r="U24" s="760">
        <v>36.353988647460938</v>
      </c>
      <c r="V24" s="760">
        <v>36.554630279541016</v>
      </c>
      <c r="W24" s="760">
        <v>36.015132904052734</v>
      </c>
      <c r="X24" s="760">
        <v>36.353988647460938</v>
      </c>
      <c r="Y24" s="760">
        <v>35.708717346191406</v>
      </c>
      <c r="Z24" s="760">
        <v>36.275943756103516</v>
      </c>
      <c r="AA24" s="760">
        <v>36.192131042480469</v>
      </c>
      <c r="AB24" s="760">
        <v>36.937065124511719</v>
      </c>
      <c r="AC24" s="760">
        <v>35.239398956298828</v>
      </c>
      <c r="AD24" s="760">
        <v>36.555355072021484</v>
      </c>
      <c r="AE24" s="760">
        <v>37.806095123291016</v>
      </c>
      <c r="AF24" s="760">
        <v>33.947307586669922</v>
      </c>
      <c r="AG24" s="761">
        <v>0</v>
      </c>
      <c r="AH24" s="762"/>
      <c r="AI24" s="760"/>
      <c r="AJ24" s="760"/>
      <c r="AK24" s="760"/>
      <c r="AL24" s="760"/>
      <c r="AM24" s="761"/>
      <c r="AN24" s="765"/>
      <c r="AO24" s="760"/>
      <c r="AP24" s="764"/>
      <c r="AQ24" s="764"/>
    </row>
    <row r="25" spans="1:43" ht="13.15" hidden="1" customHeight="1">
      <c r="A25" s="743" t="s">
        <v>420</v>
      </c>
      <c r="B25" s="743"/>
      <c r="C25" s="742" t="s">
        <v>463</v>
      </c>
      <c r="D25" s="743"/>
      <c r="E25" s="743"/>
      <c r="F25" s="743"/>
      <c r="G25" s="743"/>
      <c r="H25" s="743"/>
      <c r="I25" s="743"/>
      <c r="J25" s="743"/>
      <c r="K25" s="743"/>
      <c r="L25" s="743"/>
      <c r="M25" s="743"/>
      <c r="N25" s="743"/>
      <c r="O25" s="743"/>
      <c r="P25" s="743"/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3"/>
      <c r="AD25" s="743"/>
      <c r="AE25" s="743"/>
      <c r="AF25" s="743"/>
      <c r="AG25" s="744"/>
      <c r="AH25" s="766"/>
      <c r="AI25" s="767"/>
      <c r="AJ25" s="767"/>
      <c r="AK25" s="767"/>
      <c r="AL25" s="767"/>
      <c r="AM25" s="767"/>
      <c r="AN25" s="766"/>
      <c r="AO25" s="767"/>
      <c r="AP25" s="768"/>
      <c r="AQ25" s="768"/>
    </row>
    <row r="26" spans="1:43" ht="13.15" hidden="1" customHeight="1">
      <c r="A26" s="743" t="s">
        <v>464</v>
      </c>
      <c r="B26" s="743"/>
      <c r="C26" s="742" t="s">
        <v>463</v>
      </c>
      <c r="D26" s="743"/>
      <c r="E26" s="743"/>
      <c r="F26" s="743"/>
      <c r="G26" s="743"/>
      <c r="H26" s="743"/>
      <c r="I26" s="743"/>
      <c r="J26" s="743"/>
      <c r="K26" s="743"/>
      <c r="L26" s="743"/>
      <c r="M26" s="743"/>
      <c r="N26" s="743"/>
      <c r="O26" s="743"/>
      <c r="P26" s="743"/>
      <c r="Q26" s="743"/>
      <c r="R26" s="743"/>
      <c r="S26" s="743"/>
      <c r="T26" s="743"/>
      <c r="U26" s="743"/>
      <c r="V26" s="743"/>
      <c r="W26" s="743"/>
      <c r="X26" s="743"/>
      <c r="Y26" s="743"/>
      <c r="Z26" s="743"/>
      <c r="AA26" s="743"/>
      <c r="AB26" s="743"/>
      <c r="AC26" s="743"/>
      <c r="AD26" s="743"/>
      <c r="AE26" s="743"/>
      <c r="AF26" s="743"/>
      <c r="AG26" s="744"/>
      <c r="AH26" s="766"/>
      <c r="AI26" s="767"/>
      <c r="AJ26" s="767"/>
      <c r="AK26" s="767"/>
      <c r="AL26" s="767"/>
      <c r="AM26" s="767"/>
      <c r="AN26" s="766"/>
      <c r="AO26" s="767"/>
      <c r="AP26" s="768"/>
      <c r="AQ26" s="768"/>
    </row>
    <row r="27" spans="1:43" ht="13.15" hidden="1" customHeight="1">
      <c r="A27" s="743" t="s">
        <v>466</v>
      </c>
      <c r="B27" s="743"/>
      <c r="C27" s="742" t="s">
        <v>463</v>
      </c>
      <c r="D27" s="743"/>
      <c r="E27" s="743"/>
      <c r="F27" s="743"/>
      <c r="G27" s="743"/>
      <c r="H27" s="743"/>
      <c r="I27" s="743"/>
      <c r="J27" s="743"/>
      <c r="K27" s="743"/>
      <c r="L27" s="743"/>
      <c r="M27" s="743"/>
      <c r="N27" s="743"/>
      <c r="O27" s="743"/>
      <c r="P27" s="743"/>
      <c r="Q27" s="743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4"/>
      <c r="AH27" s="766"/>
      <c r="AI27" s="767"/>
      <c r="AJ27" s="767"/>
      <c r="AK27" s="767"/>
      <c r="AL27" s="767"/>
      <c r="AM27" s="767"/>
      <c r="AN27" s="766"/>
      <c r="AO27" s="767"/>
      <c r="AP27" s="768"/>
      <c r="AQ27" s="768"/>
    </row>
    <row r="28" spans="1:43" ht="13.15" hidden="1" customHeight="1">
      <c r="A28" s="743" t="s">
        <v>416</v>
      </c>
      <c r="B28" s="743"/>
      <c r="C28" s="742" t="s">
        <v>463</v>
      </c>
      <c r="D28" s="743"/>
      <c r="E28" s="743"/>
      <c r="F28" s="743"/>
      <c r="G28" s="743"/>
      <c r="H28" s="743"/>
      <c r="I28" s="743"/>
      <c r="J28" s="743"/>
      <c r="K28" s="743"/>
      <c r="L28" s="743"/>
      <c r="M28" s="743"/>
      <c r="N28" s="743"/>
      <c r="O28" s="743"/>
      <c r="P28" s="743"/>
      <c r="Q28" s="743"/>
      <c r="R28" s="743"/>
      <c r="S28" s="743"/>
      <c r="T28" s="743"/>
      <c r="U28" s="743"/>
      <c r="V28" s="743"/>
      <c r="W28" s="743"/>
      <c r="X28" s="743"/>
      <c r="Y28" s="743"/>
      <c r="Z28" s="743"/>
      <c r="AA28" s="743"/>
      <c r="AB28" s="743"/>
      <c r="AC28" s="743"/>
      <c r="AD28" s="743"/>
      <c r="AE28" s="743"/>
      <c r="AF28" s="743"/>
      <c r="AG28" s="744"/>
      <c r="AH28" s="766"/>
      <c r="AI28" s="767"/>
      <c r="AJ28" s="767"/>
      <c r="AK28" s="767"/>
      <c r="AL28" s="767"/>
      <c r="AM28" s="767"/>
      <c r="AN28" s="766"/>
      <c r="AO28" s="767"/>
      <c r="AP28" s="768"/>
      <c r="AQ28" s="768"/>
    </row>
    <row r="29" spans="1:43" ht="13.15" hidden="1" customHeight="1">
      <c r="A29" s="742" t="s">
        <v>419</v>
      </c>
      <c r="B29" s="742"/>
      <c r="C29" s="742" t="s">
        <v>463</v>
      </c>
      <c r="D29" s="743"/>
      <c r="E29" s="743"/>
      <c r="F29" s="743"/>
      <c r="G29" s="743"/>
      <c r="H29" s="743"/>
      <c r="I29" s="743"/>
      <c r="J29" s="743"/>
      <c r="K29" s="743"/>
      <c r="L29" s="743"/>
      <c r="M29" s="743"/>
      <c r="N29" s="743"/>
      <c r="O29" s="743"/>
      <c r="P29" s="743"/>
      <c r="Q29" s="743"/>
      <c r="R29" s="743"/>
      <c r="S29" s="743"/>
      <c r="T29" s="743"/>
      <c r="U29" s="743"/>
      <c r="V29" s="743"/>
      <c r="W29" s="743"/>
      <c r="X29" s="743"/>
      <c r="Y29" s="743"/>
      <c r="Z29" s="743"/>
      <c r="AA29" s="743"/>
      <c r="AB29" s="743"/>
      <c r="AC29" s="743"/>
      <c r="AD29" s="743"/>
      <c r="AE29" s="743"/>
      <c r="AF29" s="743"/>
      <c r="AG29" s="744"/>
      <c r="AH29" s="766"/>
      <c r="AI29" s="767"/>
      <c r="AJ29" s="767"/>
      <c r="AK29" s="767"/>
      <c r="AL29" s="767"/>
      <c r="AM29" s="767"/>
      <c r="AN29" s="766"/>
      <c r="AO29" s="767"/>
      <c r="AP29" s="768"/>
      <c r="AQ29" s="768"/>
    </row>
    <row r="30" spans="1:43" ht="13.15" hidden="1" customHeight="1">
      <c r="AH30" s="766"/>
      <c r="AI30" s="767"/>
      <c r="AJ30" s="767"/>
      <c r="AK30" s="767"/>
      <c r="AL30" s="767"/>
      <c r="AM30" s="767"/>
      <c r="AN30" s="766"/>
      <c r="AO30" s="767"/>
      <c r="AP30" s="768"/>
      <c r="AQ30" s="768"/>
    </row>
    <row r="31" spans="1:43" ht="13.15" hidden="1" customHeight="1">
      <c r="A31" s="760" t="s">
        <v>467</v>
      </c>
      <c r="B31" s="760"/>
      <c r="C31" s="759" t="s">
        <v>85</v>
      </c>
      <c r="D31" s="760">
        <v>0</v>
      </c>
      <c r="E31" s="760"/>
      <c r="F31" s="760"/>
      <c r="G31" s="760">
        <v>0</v>
      </c>
      <c r="H31" s="760"/>
      <c r="I31" s="760"/>
      <c r="J31" s="760">
        <v>0</v>
      </c>
      <c r="K31" s="760"/>
      <c r="L31" s="760"/>
      <c r="M31" s="760">
        <v>0</v>
      </c>
      <c r="N31" s="760"/>
      <c r="O31" s="760"/>
      <c r="P31" s="760">
        <v>0</v>
      </c>
      <c r="Q31" s="760"/>
      <c r="R31" s="760"/>
      <c r="S31" s="760">
        <v>0</v>
      </c>
      <c r="T31" s="760"/>
      <c r="U31" s="760"/>
      <c r="V31" s="760">
        <f>V13</f>
        <v>0</v>
      </c>
      <c r="W31" s="760"/>
      <c r="X31" s="760"/>
      <c r="Y31" s="760">
        <f>Y13</f>
        <v>0</v>
      </c>
      <c r="Z31" s="760"/>
      <c r="AA31" s="760"/>
      <c r="AB31" s="760">
        <f>AB12</f>
        <v>75000</v>
      </c>
      <c r="AC31" s="760"/>
      <c r="AD31" s="760"/>
      <c r="AE31" s="760">
        <f>AE12</f>
        <v>75000</v>
      </c>
      <c r="AF31" s="760"/>
      <c r="AG31" s="761"/>
      <c r="AH31" s="769"/>
      <c r="AI31" s="770"/>
      <c r="AJ31" s="770"/>
      <c r="AK31" s="770"/>
      <c r="AL31" s="770"/>
      <c r="AM31" s="770"/>
      <c r="AN31" s="769"/>
      <c r="AO31" s="770"/>
      <c r="AP31" s="771"/>
      <c r="AQ31" s="768"/>
    </row>
    <row r="32" spans="1:43" ht="13.15" hidden="1" customHeight="1">
      <c r="A32" s="743" t="s">
        <v>468</v>
      </c>
      <c r="B32" s="743"/>
      <c r="C32" s="742" t="s">
        <v>447</v>
      </c>
      <c r="D32" s="743">
        <f t="shared" ref="D32:D37" si="0">IF(D31=0,0)</f>
        <v>0</v>
      </c>
      <c r="E32" s="743"/>
      <c r="F32" s="743"/>
      <c r="G32" s="743">
        <f t="shared" ref="G32:G37" si="1">IF(G31=0,0)</f>
        <v>0</v>
      </c>
      <c r="H32" s="743"/>
      <c r="I32" s="743"/>
      <c r="J32" s="743">
        <f t="shared" ref="J32:J37" si="2">IF(J31=0,0)</f>
        <v>0</v>
      </c>
      <c r="K32" s="743"/>
      <c r="L32" s="743"/>
      <c r="M32" s="743">
        <f t="shared" ref="M32:M37" si="3">IF(M31=0,0)</f>
        <v>0</v>
      </c>
      <c r="N32" s="743"/>
      <c r="O32" s="743"/>
      <c r="P32" s="743">
        <f t="shared" ref="P32:P37" si="4">IF(P31=0,0)</f>
        <v>0</v>
      </c>
      <c r="Q32" s="743"/>
      <c r="R32" s="743"/>
      <c r="S32" s="743">
        <f t="shared" ref="S32:S37" si="5">IF(S31=0,0)</f>
        <v>0</v>
      </c>
      <c r="T32" s="743"/>
      <c r="U32" s="743"/>
      <c r="V32" s="743">
        <f>IF(V31=0,0,#REF!)</f>
        <v>0</v>
      </c>
      <c r="W32" s="743"/>
      <c r="X32" s="743"/>
      <c r="Y32" s="743">
        <f>IF(Y31=0,0,#REF!)</f>
        <v>0</v>
      </c>
      <c r="Z32" s="743"/>
      <c r="AA32" s="743"/>
      <c r="AB32" s="743" t="e">
        <f>IF(AB31=0,0,#REF!)</f>
        <v>#REF!</v>
      </c>
      <c r="AC32" s="743"/>
      <c r="AD32" s="743"/>
      <c r="AE32" s="743" t="e">
        <f>IF(AE31=0,0,#REF!)</f>
        <v>#REF!</v>
      </c>
      <c r="AF32" s="743"/>
      <c r="AG32" s="744"/>
      <c r="AH32" s="766"/>
      <c r="AI32" s="767"/>
      <c r="AJ32" s="767"/>
      <c r="AK32" s="767"/>
      <c r="AL32" s="767"/>
      <c r="AM32" s="767"/>
      <c r="AN32" s="766"/>
      <c r="AO32" s="767"/>
      <c r="AP32" s="768"/>
      <c r="AQ32" s="768"/>
    </row>
    <row r="33" spans="1:43" ht="13.15" hidden="1" customHeight="1">
      <c r="A33" s="743" t="s">
        <v>420</v>
      </c>
      <c r="B33" s="743"/>
      <c r="C33" s="742" t="s">
        <v>463</v>
      </c>
      <c r="D33" s="743">
        <f t="shared" si="0"/>
        <v>0</v>
      </c>
      <c r="E33" s="743"/>
      <c r="F33" s="743"/>
      <c r="G33" s="743">
        <f t="shared" si="1"/>
        <v>0</v>
      </c>
      <c r="H33" s="743"/>
      <c r="I33" s="743"/>
      <c r="J33" s="743">
        <f t="shared" si="2"/>
        <v>0</v>
      </c>
      <c r="K33" s="743"/>
      <c r="L33" s="743"/>
      <c r="M33" s="743">
        <f t="shared" si="3"/>
        <v>0</v>
      </c>
      <c r="N33" s="743"/>
      <c r="O33" s="743"/>
      <c r="P33" s="743">
        <f t="shared" si="4"/>
        <v>0</v>
      </c>
      <c r="Q33" s="743"/>
      <c r="R33" s="743"/>
      <c r="S33" s="743">
        <f t="shared" si="5"/>
        <v>0</v>
      </c>
      <c r="T33" s="743"/>
      <c r="U33" s="743"/>
      <c r="V33" s="743">
        <f>IF(V32=0,0,#REF!)</f>
        <v>0</v>
      </c>
      <c r="W33" s="743"/>
      <c r="X33" s="743"/>
      <c r="Y33" s="743">
        <f>IF(Y32=0,0,#REF!)</f>
        <v>0</v>
      </c>
      <c r="Z33" s="743"/>
      <c r="AA33" s="743"/>
      <c r="AB33" s="743" t="e">
        <f>IF(AB32=0,0,#REF!)</f>
        <v>#REF!</v>
      </c>
      <c r="AC33" s="743"/>
      <c r="AD33" s="743"/>
      <c r="AE33" s="743" t="e">
        <f>IF(AE32=0,0,#REF!)</f>
        <v>#REF!</v>
      </c>
      <c r="AF33" s="743"/>
      <c r="AG33" s="744"/>
      <c r="AH33" s="766"/>
      <c r="AI33" s="767"/>
      <c r="AJ33" s="767"/>
      <c r="AK33" s="767"/>
      <c r="AL33" s="767"/>
      <c r="AM33" s="767"/>
      <c r="AN33" s="766"/>
      <c r="AO33" s="767"/>
      <c r="AP33" s="768"/>
      <c r="AQ33" s="768"/>
    </row>
    <row r="34" spans="1:43" ht="13.15" hidden="1" customHeight="1">
      <c r="A34" s="743" t="s">
        <v>464</v>
      </c>
      <c r="B34" s="743"/>
      <c r="C34" s="742" t="s">
        <v>463</v>
      </c>
      <c r="D34" s="743">
        <f t="shared" si="0"/>
        <v>0</v>
      </c>
      <c r="E34" s="743"/>
      <c r="F34" s="743"/>
      <c r="G34" s="743">
        <f t="shared" si="1"/>
        <v>0</v>
      </c>
      <c r="H34" s="743"/>
      <c r="I34" s="743"/>
      <c r="J34" s="743">
        <f t="shared" si="2"/>
        <v>0</v>
      </c>
      <c r="K34" s="743"/>
      <c r="L34" s="743"/>
      <c r="M34" s="743">
        <f t="shared" si="3"/>
        <v>0</v>
      </c>
      <c r="N34" s="743"/>
      <c r="O34" s="743"/>
      <c r="P34" s="743">
        <f t="shared" si="4"/>
        <v>0</v>
      </c>
      <c r="Q34" s="743"/>
      <c r="R34" s="743"/>
      <c r="S34" s="743">
        <f t="shared" si="5"/>
        <v>0</v>
      </c>
      <c r="T34" s="743"/>
      <c r="U34" s="743"/>
      <c r="V34" s="743">
        <f>IF(V33=0,0,#REF!)</f>
        <v>0</v>
      </c>
      <c r="W34" s="743"/>
      <c r="X34" s="743"/>
      <c r="Y34" s="743">
        <f>IF(Y33=0,0,#REF!)</f>
        <v>0</v>
      </c>
      <c r="Z34" s="743"/>
      <c r="AA34" s="743"/>
      <c r="AB34" s="743" t="e">
        <f>IF(AB33=0,0,#REF!)</f>
        <v>#REF!</v>
      </c>
      <c r="AC34" s="743"/>
      <c r="AD34" s="743"/>
      <c r="AE34" s="743" t="e">
        <f>IF(AE33=0,0,#REF!)</f>
        <v>#REF!</v>
      </c>
      <c r="AF34" s="743"/>
      <c r="AG34" s="744"/>
      <c r="AH34" s="766"/>
      <c r="AI34" s="767"/>
      <c r="AJ34" s="767"/>
      <c r="AK34" s="767"/>
      <c r="AL34" s="767"/>
      <c r="AM34" s="767"/>
      <c r="AN34" s="766"/>
      <c r="AO34" s="767"/>
      <c r="AP34" s="768"/>
      <c r="AQ34" s="768"/>
    </row>
    <row r="35" spans="1:43" ht="13.15" hidden="1" customHeight="1">
      <c r="A35" s="743" t="s">
        <v>466</v>
      </c>
      <c r="B35" s="743"/>
      <c r="C35" s="742" t="s">
        <v>463</v>
      </c>
      <c r="D35" s="743">
        <f t="shared" si="0"/>
        <v>0</v>
      </c>
      <c r="E35" s="743"/>
      <c r="F35" s="743"/>
      <c r="G35" s="743">
        <f t="shared" si="1"/>
        <v>0</v>
      </c>
      <c r="H35" s="743"/>
      <c r="I35" s="743"/>
      <c r="J35" s="743">
        <f t="shared" si="2"/>
        <v>0</v>
      </c>
      <c r="K35" s="743"/>
      <c r="L35" s="743"/>
      <c r="M35" s="743">
        <f t="shared" si="3"/>
        <v>0</v>
      </c>
      <c r="N35" s="743"/>
      <c r="O35" s="743"/>
      <c r="P35" s="743">
        <f t="shared" si="4"/>
        <v>0</v>
      </c>
      <c r="Q35" s="743"/>
      <c r="R35" s="743"/>
      <c r="S35" s="743">
        <f t="shared" si="5"/>
        <v>0</v>
      </c>
      <c r="T35" s="743"/>
      <c r="U35" s="743"/>
      <c r="V35" s="743">
        <f>IF(V34=0,0,#REF!)</f>
        <v>0</v>
      </c>
      <c r="W35" s="743"/>
      <c r="X35" s="743"/>
      <c r="Y35" s="743">
        <f>IF(Y34=0,0,#REF!)</f>
        <v>0</v>
      </c>
      <c r="Z35" s="743"/>
      <c r="AA35" s="743"/>
      <c r="AB35" s="743" t="e">
        <f>IF(AB34=0,0,#REF!)</f>
        <v>#REF!</v>
      </c>
      <c r="AC35" s="743"/>
      <c r="AD35" s="743"/>
      <c r="AE35" s="743" t="e">
        <f>IF(AE34=0,0,#REF!)</f>
        <v>#REF!</v>
      </c>
      <c r="AF35" s="743"/>
      <c r="AG35" s="744"/>
      <c r="AH35" s="766"/>
      <c r="AI35" s="767"/>
      <c r="AJ35" s="767"/>
      <c r="AK35" s="767"/>
      <c r="AL35" s="767"/>
      <c r="AM35" s="767"/>
      <c r="AN35" s="766"/>
      <c r="AO35" s="767"/>
      <c r="AP35" s="768"/>
      <c r="AQ35" s="768"/>
    </row>
    <row r="36" spans="1:43" ht="13.15" hidden="1" customHeight="1">
      <c r="A36" s="743" t="s">
        <v>416</v>
      </c>
      <c r="B36" s="743"/>
      <c r="C36" s="742" t="s">
        <v>463</v>
      </c>
      <c r="D36" s="743">
        <f t="shared" si="0"/>
        <v>0</v>
      </c>
      <c r="E36" s="743"/>
      <c r="F36" s="743"/>
      <c r="G36" s="743">
        <f t="shared" si="1"/>
        <v>0</v>
      </c>
      <c r="H36" s="743"/>
      <c r="I36" s="743"/>
      <c r="J36" s="743">
        <f t="shared" si="2"/>
        <v>0</v>
      </c>
      <c r="K36" s="743"/>
      <c r="L36" s="743"/>
      <c r="M36" s="743">
        <f t="shared" si="3"/>
        <v>0</v>
      </c>
      <c r="N36" s="743"/>
      <c r="O36" s="743"/>
      <c r="P36" s="743">
        <f t="shared" si="4"/>
        <v>0</v>
      </c>
      <c r="Q36" s="743"/>
      <c r="R36" s="743"/>
      <c r="S36" s="743">
        <f t="shared" si="5"/>
        <v>0</v>
      </c>
      <c r="T36" s="743"/>
      <c r="U36" s="743"/>
      <c r="V36" s="743">
        <f>IF(V35=0,0,#REF!)</f>
        <v>0</v>
      </c>
      <c r="W36" s="743"/>
      <c r="X36" s="743"/>
      <c r="Y36" s="743">
        <f>IF(Y35=0,0,#REF!)</f>
        <v>0</v>
      </c>
      <c r="Z36" s="743"/>
      <c r="AA36" s="743"/>
      <c r="AB36" s="743" t="e">
        <f>IF(AB35=0,0,#REF!)</f>
        <v>#REF!</v>
      </c>
      <c r="AC36" s="743"/>
      <c r="AD36" s="743"/>
      <c r="AE36" s="743" t="e">
        <f>IF(AE35=0,0,#REF!)</f>
        <v>#REF!</v>
      </c>
      <c r="AF36" s="743"/>
      <c r="AG36" s="744"/>
      <c r="AH36" s="766"/>
      <c r="AI36" s="767"/>
      <c r="AJ36" s="767"/>
      <c r="AK36" s="767"/>
      <c r="AL36" s="767"/>
      <c r="AM36" s="767"/>
      <c r="AN36" s="766"/>
      <c r="AO36" s="767"/>
      <c r="AP36" s="768"/>
      <c r="AQ36" s="768"/>
    </row>
    <row r="37" spans="1:43" ht="13.15" hidden="1" customHeight="1">
      <c r="A37" s="742" t="s">
        <v>419</v>
      </c>
      <c r="B37" s="742"/>
      <c r="C37" s="742" t="s">
        <v>463</v>
      </c>
      <c r="D37" s="743">
        <f t="shared" si="0"/>
        <v>0</v>
      </c>
      <c r="E37" s="743"/>
      <c r="F37" s="743"/>
      <c r="G37" s="743">
        <f t="shared" si="1"/>
        <v>0</v>
      </c>
      <c r="H37" s="743"/>
      <c r="I37" s="743"/>
      <c r="J37" s="743">
        <f t="shared" si="2"/>
        <v>0</v>
      </c>
      <c r="K37" s="743"/>
      <c r="L37" s="743"/>
      <c r="M37" s="743">
        <f t="shared" si="3"/>
        <v>0</v>
      </c>
      <c r="N37" s="743"/>
      <c r="O37" s="743"/>
      <c r="P37" s="743">
        <f t="shared" si="4"/>
        <v>0</v>
      </c>
      <c r="Q37" s="743"/>
      <c r="R37" s="743"/>
      <c r="S37" s="743">
        <f t="shared" si="5"/>
        <v>0</v>
      </c>
      <c r="T37" s="743"/>
      <c r="U37" s="743"/>
      <c r="V37" s="743">
        <f>IF(V36=0,0,#REF!)</f>
        <v>0</v>
      </c>
      <c r="W37" s="743"/>
      <c r="X37" s="743"/>
      <c r="Y37" s="743">
        <f>IF(Y36=0,0,#REF!)</f>
        <v>0</v>
      </c>
      <c r="Z37" s="743"/>
      <c r="AA37" s="743"/>
      <c r="AB37" s="743" t="e">
        <f>IF(AB36=0,0,#REF!)</f>
        <v>#REF!</v>
      </c>
      <c r="AC37" s="743"/>
      <c r="AD37" s="743"/>
      <c r="AE37" s="743" t="e">
        <f>IF(AE36=0,0,#REF!)</f>
        <v>#REF!</v>
      </c>
      <c r="AF37" s="743"/>
      <c r="AG37" s="744"/>
      <c r="AH37" s="766"/>
      <c r="AI37" s="767"/>
      <c r="AJ37" s="767"/>
      <c r="AK37" s="767"/>
      <c r="AL37" s="767"/>
      <c r="AM37" s="767"/>
      <c r="AN37" s="766"/>
      <c r="AO37" s="767"/>
      <c r="AP37" s="768"/>
      <c r="AQ37" s="768"/>
    </row>
    <row r="38" spans="1:43">
      <c r="A38" s="772"/>
      <c r="B38" s="772"/>
      <c r="C38" s="772"/>
      <c r="D38" s="767"/>
      <c r="E38" s="767"/>
      <c r="F38" s="773"/>
      <c r="G38" s="767"/>
      <c r="H38" s="767"/>
      <c r="I38" s="767"/>
      <c r="J38" s="767"/>
      <c r="K38" s="767"/>
      <c r="L38" s="767"/>
      <c r="M38" s="767"/>
      <c r="N38" s="767"/>
      <c r="O38" s="767"/>
      <c r="P38" s="767"/>
      <c r="Q38" s="767"/>
      <c r="R38" s="767"/>
      <c r="S38" s="767"/>
      <c r="T38" s="767"/>
      <c r="U38" s="767"/>
      <c r="V38" s="767"/>
      <c r="W38" s="767"/>
      <c r="X38" s="767"/>
      <c r="Y38" s="767"/>
      <c r="Z38" s="767"/>
      <c r="AA38" s="767"/>
      <c r="AB38" s="767"/>
      <c r="AC38" s="767"/>
      <c r="AD38" s="767"/>
      <c r="AE38" s="767"/>
      <c r="AF38" s="767"/>
      <c r="AG38" s="767"/>
      <c r="AH38" s="766"/>
      <c r="AI38" s="767"/>
      <c r="AJ38" s="767"/>
      <c r="AK38" s="767"/>
      <c r="AL38" s="767"/>
      <c r="AM38" s="767"/>
      <c r="AN38" s="766"/>
      <c r="AO38" s="767"/>
      <c r="AP38" s="768"/>
      <c r="AQ38" s="768"/>
    </row>
    <row r="39" spans="1:43">
      <c r="A39" s="772"/>
      <c r="B39" s="772"/>
      <c r="C39" s="772"/>
      <c r="D39" s="767">
        <f t="shared" ref="D39:AG39" si="6">SUM(D41,D50,D59,D68,D77,D86,D95,D104,D113,D122,D131,D140)</f>
        <v>0</v>
      </c>
      <c r="E39" s="767">
        <f t="shared" si="6"/>
        <v>0</v>
      </c>
      <c r="F39" s="767">
        <f t="shared" si="6"/>
        <v>7400.17333984375</v>
      </c>
      <c r="G39" s="767">
        <f>SUM(G41,G50,G59,G68,G77,G86,G95,G104,G113,G122,G131,G140)</f>
        <v>10097.466674804688</v>
      </c>
      <c r="H39" s="767">
        <f t="shared" si="6"/>
        <v>0</v>
      </c>
      <c r="I39" s="767">
        <f>SUM(I41,I50,I59,I68,I77,I86,I95,I104,I113,I122,I131,I140)</f>
        <v>37310.478466033936</v>
      </c>
      <c r="J39" s="767">
        <f t="shared" si="6"/>
        <v>31222.9658203125</v>
      </c>
      <c r="K39" s="767">
        <f t="shared" si="6"/>
        <v>0</v>
      </c>
      <c r="L39" s="767">
        <f t="shared" si="6"/>
        <v>43227.363194122314</v>
      </c>
      <c r="M39" s="767">
        <f t="shared" si="6"/>
        <v>47222.045227050781</v>
      </c>
      <c r="N39" s="767">
        <f t="shared" si="6"/>
        <v>10317.800598144531</v>
      </c>
      <c r="O39" s="767">
        <f t="shared" si="6"/>
        <v>60035.06640625</v>
      </c>
      <c r="P39" s="767">
        <f t="shared" si="6"/>
        <v>106491.83327783205</v>
      </c>
      <c r="Q39" s="767">
        <f t="shared" si="6"/>
        <v>21368.281401855471</v>
      </c>
      <c r="R39" s="767">
        <f t="shared" si="6"/>
        <v>63945.2265625</v>
      </c>
      <c r="S39" s="767">
        <f t="shared" si="6"/>
        <v>142835.01157517298</v>
      </c>
      <c r="T39" s="767">
        <f t="shared" si="6"/>
        <v>35938.38671875</v>
      </c>
      <c r="U39" s="767">
        <f t="shared" si="6"/>
        <v>12290.580913948623</v>
      </c>
      <c r="V39" s="767">
        <f t="shared" si="6"/>
        <v>123351.703125</v>
      </c>
      <c r="W39" s="767">
        <f t="shared" si="6"/>
        <v>35938.38671875</v>
      </c>
      <c r="X39" s="767">
        <f t="shared" si="6"/>
        <v>0</v>
      </c>
      <c r="Y39" s="767">
        <f t="shared" si="6"/>
        <v>32597.310624864906</v>
      </c>
      <c r="Z39" s="767">
        <f t="shared" si="6"/>
        <v>33386.78125</v>
      </c>
      <c r="AA39" s="767">
        <f t="shared" si="6"/>
        <v>0</v>
      </c>
      <c r="AB39" s="767">
        <f t="shared" si="6"/>
        <v>0</v>
      </c>
      <c r="AC39" s="767">
        <f t="shared" si="6"/>
        <v>17629.777098083476</v>
      </c>
      <c r="AD39" s="767">
        <f t="shared" si="6"/>
        <v>0</v>
      </c>
      <c r="AE39" s="767">
        <f t="shared" si="6"/>
        <v>0</v>
      </c>
      <c r="AF39" s="767">
        <f t="shared" si="6"/>
        <v>0</v>
      </c>
      <c r="AG39" s="767">
        <f t="shared" si="6"/>
        <v>0</v>
      </c>
      <c r="AH39" s="766"/>
      <c r="AI39" s="767"/>
      <c r="AJ39" s="767"/>
      <c r="AK39" s="767"/>
      <c r="AL39" s="767"/>
      <c r="AM39" s="767"/>
      <c r="AN39" s="766"/>
      <c r="AO39" s="767"/>
      <c r="AP39" s="768"/>
      <c r="AQ39" s="768"/>
    </row>
    <row r="40" spans="1:43">
      <c r="AH40" s="766"/>
      <c r="AI40" s="767"/>
      <c r="AJ40" s="767"/>
      <c r="AK40" s="767"/>
      <c r="AL40" s="767"/>
      <c r="AM40" s="767"/>
      <c r="AN40" s="766"/>
      <c r="AO40" s="767"/>
      <c r="AP40" s="768"/>
      <c r="AQ40" s="768"/>
    </row>
    <row r="41" spans="1:43">
      <c r="A41" s="759" t="s">
        <v>469</v>
      </c>
      <c r="B41" s="759">
        <v>0</v>
      </c>
      <c r="C41" s="759" t="s">
        <v>85</v>
      </c>
      <c r="D41" s="760"/>
      <c r="E41" s="760"/>
      <c r="F41" s="760"/>
      <c r="G41" s="760"/>
      <c r="H41" s="760"/>
      <c r="I41" s="760"/>
      <c r="J41" s="760"/>
      <c r="K41" s="760"/>
      <c r="L41" s="760"/>
      <c r="M41" s="760"/>
      <c r="N41" s="760"/>
      <c r="O41" s="760"/>
      <c r="P41" s="760"/>
      <c r="Q41" s="760"/>
      <c r="R41" s="760"/>
      <c r="S41" s="760"/>
      <c r="T41" s="760"/>
      <c r="U41" s="760"/>
      <c r="V41" s="760">
        <v>0</v>
      </c>
      <c r="W41" s="760"/>
      <c r="X41" s="760"/>
      <c r="Y41" s="760">
        <v>0</v>
      </c>
      <c r="Z41" s="760"/>
      <c r="AA41" s="760"/>
      <c r="AB41" s="760">
        <v>0</v>
      </c>
      <c r="AC41" s="760"/>
      <c r="AD41" s="760"/>
      <c r="AE41" s="760">
        <v>0</v>
      </c>
      <c r="AF41" s="760"/>
      <c r="AG41" s="761"/>
      <c r="AH41" s="762"/>
      <c r="AI41" s="760"/>
      <c r="AJ41" s="760"/>
      <c r="AK41" s="760"/>
      <c r="AL41" s="760"/>
      <c r="AM41" s="761"/>
      <c r="AN41" s="765"/>
      <c r="AO41" s="760"/>
      <c r="AP41" s="764"/>
      <c r="AQ41" s="764">
        <f>SUM(D41:AG41)</f>
        <v>0</v>
      </c>
    </row>
    <row r="42" spans="1:43">
      <c r="A42" s="742" t="s">
        <v>460</v>
      </c>
      <c r="B42" s="759"/>
      <c r="C42" s="759"/>
      <c r="D42" s="743">
        <f>IF(D41=0,0,D$18)</f>
        <v>0</v>
      </c>
      <c r="E42" s="743">
        <f>IF(E41=0,0,E$18)</f>
        <v>0</v>
      </c>
      <c r="F42" s="743">
        <f>IF(F41=0,0,F$18)</f>
        <v>0</v>
      </c>
      <c r="G42" s="743">
        <f>IF(G41=0,0,G$18)</f>
        <v>0</v>
      </c>
      <c r="H42" s="743">
        <f>IF(H41=0,0,H$18)</f>
        <v>0</v>
      </c>
      <c r="I42" s="743">
        <f t="shared" ref="I42:AG42" si="7">IF(I41=0,0,I$18)</f>
        <v>0</v>
      </c>
      <c r="J42" s="743">
        <f t="shared" si="7"/>
        <v>0</v>
      </c>
      <c r="K42" s="743">
        <f t="shared" si="7"/>
        <v>0</v>
      </c>
      <c r="L42" s="743">
        <f t="shared" si="7"/>
        <v>0</v>
      </c>
      <c r="M42" s="743">
        <f t="shared" si="7"/>
        <v>0</v>
      </c>
      <c r="N42" s="743">
        <f t="shared" si="7"/>
        <v>0</v>
      </c>
      <c r="O42" s="743">
        <f t="shared" si="7"/>
        <v>0</v>
      </c>
      <c r="P42" s="743">
        <f t="shared" si="7"/>
        <v>0</v>
      </c>
      <c r="Q42" s="743">
        <f t="shared" si="7"/>
        <v>0</v>
      </c>
      <c r="R42" s="743">
        <f t="shared" si="7"/>
        <v>0</v>
      </c>
      <c r="S42" s="743">
        <f t="shared" si="7"/>
        <v>0</v>
      </c>
      <c r="T42" s="743">
        <f t="shared" si="7"/>
        <v>0</v>
      </c>
      <c r="U42" s="743">
        <f t="shared" si="7"/>
        <v>0</v>
      </c>
      <c r="V42" s="743">
        <f t="shared" si="7"/>
        <v>0</v>
      </c>
      <c r="W42" s="743">
        <f t="shared" si="7"/>
        <v>0</v>
      </c>
      <c r="X42" s="743">
        <f t="shared" si="7"/>
        <v>0</v>
      </c>
      <c r="Y42" s="743">
        <f t="shared" si="7"/>
        <v>0</v>
      </c>
      <c r="Z42" s="743">
        <f t="shared" si="7"/>
        <v>0</v>
      </c>
      <c r="AA42" s="743">
        <f t="shared" si="7"/>
        <v>0</v>
      </c>
      <c r="AB42" s="743">
        <f t="shared" si="7"/>
        <v>0</v>
      </c>
      <c r="AC42" s="743">
        <f t="shared" si="7"/>
        <v>0</v>
      </c>
      <c r="AD42" s="743">
        <f t="shared" si="7"/>
        <v>0</v>
      </c>
      <c r="AE42" s="743">
        <f t="shared" si="7"/>
        <v>0</v>
      </c>
      <c r="AF42" s="743">
        <f t="shared" si="7"/>
        <v>0</v>
      </c>
      <c r="AG42" s="744">
        <f t="shared" si="7"/>
        <v>0</v>
      </c>
      <c r="AH42" s="745"/>
      <c r="AI42" s="743"/>
      <c r="AJ42" s="743"/>
      <c r="AK42" s="743"/>
      <c r="AL42" s="743"/>
      <c r="AM42" s="744"/>
      <c r="AN42" s="746"/>
      <c r="AO42" s="743"/>
      <c r="AP42" s="747"/>
      <c r="AQ42" s="747" t="e">
        <f t="shared" ref="AQ42:AQ48" si="8">SUMPRODUCT(D$41:AG$41,D42:AG42)/AQ$41</f>
        <v>#DIV/0!</v>
      </c>
    </row>
    <row r="43" spans="1:43">
      <c r="A43" s="742" t="s">
        <v>462</v>
      </c>
      <c r="B43" s="743"/>
      <c r="C43" s="742"/>
      <c r="D43" s="743">
        <f t="shared" ref="D43:AG43" si="9">IF(D41=0,0,D$19)</f>
        <v>0</v>
      </c>
      <c r="E43" s="743">
        <f t="shared" si="9"/>
        <v>0</v>
      </c>
      <c r="F43" s="743">
        <f t="shared" si="9"/>
        <v>0</v>
      </c>
      <c r="G43" s="743">
        <f t="shared" si="9"/>
        <v>0</v>
      </c>
      <c r="H43" s="743">
        <f t="shared" si="9"/>
        <v>0</v>
      </c>
      <c r="I43" s="743">
        <f t="shared" si="9"/>
        <v>0</v>
      </c>
      <c r="J43" s="743">
        <f t="shared" si="9"/>
        <v>0</v>
      </c>
      <c r="K43" s="743">
        <f t="shared" si="9"/>
        <v>0</v>
      </c>
      <c r="L43" s="743">
        <f t="shared" si="9"/>
        <v>0</v>
      </c>
      <c r="M43" s="743">
        <f t="shared" si="9"/>
        <v>0</v>
      </c>
      <c r="N43" s="743">
        <f t="shared" si="9"/>
        <v>0</v>
      </c>
      <c r="O43" s="743">
        <f t="shared" si="9"/>
        <v>0</v>
      </c>
      <c r="P43" s="743">
        <f t="shared" si="9"/>
        <v>0</v>
      </c>
      <c r="Q43" s="743">
        <f t="shared" si="9"/>
        <v>0</v>
      </c>
      <c r="R43" s="743">
        <f t="shared" si="9"/>
        <v>0</v>
      </c>
      <c r="S43" s="743">
        <f t="shared" si="9"/>
        <v>0</v>
      </c>
      <c r="T43" s="743">
        <f t="shared" si="9"/>
        <v>0</v>
      </c>
      <c r="U43" s="743">
        <f t="shared" si="9"/>
        <v>0</v>
      </c>
      <c r="V43" s="743">
        <f t="shared" si="9"/>
        <v>0</v>
      </c>
      <c r="W43" s="743">
        <f t="shared" si="9"/>
        <v>0</v>
      </c>
      <c r="X43" s="743">
        <f t="shared" si="9"/>
        <v>0</v>
      </c>
      <c r="Y43" s="743">
        <f t="shared" si="9"/>
        <v>0</v>
      </c>
      <c r="Z43" s="743">
        <f t="shared" si="9"/>
        <v>0</v>
      </c>
      <c r="AA43" s="743">
        <f t="shared" si="9"/>
        <v>0</v>
      </c>
      <c r="AB43" s="743">
        <f t="shared" si="9"/>
        <v>0</v>
      </c>
      <c r="AC43" s="743">
        <f t="shared" si="9"/>
        <v>0</v>
      </c>
      <c r="AD43" s="743">
        <f t="shared" si="9"/>
        <v>0</v>
      </c>
      <c r="AE43" s="743">
        <f t="shared" si="9"/>
        <v>0</v>
      </c>
      <c r="AF43" s="743">
        <f t="shared" si="9"/>
        <v>0</v>
      </c>
      <c r="AG43" s="744">
        <f t="shared" si="9"/>
        <v>0</v>
      </c>
      <c r="AH43" s="745"/>
      <c r="AI43" s="743"/>
      <c r="AJ43" s="743"/>
      <c r="AK43" s="743"/>
      <c r="AL43" s="743"/>
      <c r="AM43" s="744"/>
      <c r="AN43" s="746"/>
      <c r="AO43" s="743"/>
      <c r="AP43" s="747"/>
      <c r="AQ43" s="747" t="e">
        <f t="shared" si="8"/>
        <v>#DIV/0!</v>
      </c>
    </row>
    <row r="44" spans="1:43">
      <c r="A44" s="742" t="s">
        <v>420</v>
      </c>
      <c r="B44" s="743"/>
      <c r="C44" s="742"/>
      <c r="D44" s="743">
        <f t="shared" ref="D44:AG44" si="10">IF(D41=0,0,D$20)</f>
        <v>0</v>
      </c>
      <c r="E44" s="743">
        <f t="shared" si="10"/>
        <v>0</v>
      </c>
      <c r="F44" s="743">
        <f t="shared" si="10"/>
        <v>0</v>
      </c>
      <c r="G44" s="743">
        <f t="shared" si="10"/>
        <v>0</v>
      </c>
      <c r="H44" s="743">
        <f t="shared" si="10"/>
        <v>0</v>
      </c>
      <c r="I44" s="743">
        <f t="shared" si="10"/>
        <v>0</v>
      </c>
      <c r="J44" s="743">
        <f t="shared" si="10"/>
        <v>0</v>
      </c>
      <c r="K44" s="743">
        <f t="shared" si="10"/>
        <v>0</v>
      </c>
      <c r="L44" s="743">
        <f t="shared" si="10"/>
        <v>0</v>
      </c>
      <c r="M44" s="743">
        <f t="shared" si="10"/>
        <v>0</v>
      </c>
      <c r="N44" s="743">
        <f t="shared" si="10"/>
        <v>0</v>
      </c>
      <c r="O44" s="743">
        <f t="shared" si="10"/>
        <v>0</v>
      </c>
      <c r="P44" s="743">
        <f t="shared" si="10"/>
        <v>0</v>
      </c>
      <c r="Q44" s="743">
        <f t="shared" si="10"/>
        <v>0</v>
      </c>
      <c r="R44" s="743">
        <f t="shared" si="10"/>
        <v>0</v>
      </c>
      <c r="S44" s="743">
        <f t="shared" si="10"/>
        <v>0</v>
      </c>
      <c r="T44" s="743">
        <f t="shared" si="10"/>
        <v>0</v>
      </c>
      <c r="U44" s="743">
        <f t="shared" si="10"/>
        <v>0</v>
      </c>
      <c r="V44" s="743">
        <f t="shared" si="10"/>
        <v>0</v>
      </c>
      <c r="W44" s="743">
        <f t="shared" si="10"/>
        <v>0</v>
      </c>
      <c r="X44" s="743">
        <f t="shared" si="10"/>
        <v>0</v>
      </c>
      <c r="Y44" s="743">
        <f t="shared" si="10"/>
        <v>0</v>
      </c>
      <c r="Z44" s="743">
        <f t="shared" si="10"/>
        <v>0</v>
      </c>
      <c r="AA44" s="743">
        <f t="shared" si="10"/>
        <v>0</v>
      </c>
      <c r="AB44" s="743">
        <f t="shared" si="10"/>
        <v>0</v>
      </c>
      <c r="AC44" s="743">
        <f t="shared" si="10"/>
        <v>0</v>
      </c>
      <c r="AD44" s="743">
        <f t="shared" si="10"/>
        <v>0</v>
      </c>
      <c r="AE44" s="743">
        <f t="shared" si="10"/>
        <v>0</v>
      </c>
      <c r="AF44" s="743">
        <f t="shared" si="10"/>
        <v>0</v>
      </c>
      <c r="AG44" s="744">
        <f t="shared" si="10"/>
        <v>0</v>
      </c>
      <c r="AH44" s="745"/>
      <c r="AI44" s="743"/>
      <c r="AJ44" s="743"/>
      <c r="AK44" s="743"/>
      <c r="AL44" s="743"/>
      <c r="AM44" s="744"/>
      <c r="AN44" s="746"/>
      <c r="AO44" s="743"/>
      <c r="AP44" s="747"/>
      <c r="AQ44" s="747" t="e">
        <f t="shared" si="8"/>
        <v>#DIV/0!</v>
      </c>
    </row>
    <row r="45" spans="1:43">
      <c r="A45" s="742" t="s">
        <v>464</v>
      </c>
      <c r="B45" s="743"/>
      <c r="C45" s="742"/>
      <c r="D45" s="743">
        <f t="shared" ref="D45:AG45" si="11">IF(D41=0,0,D$21)</f>
        <v>0</v>
      </c>
      <c r="E45" s="743">
        <f t="shared" si="11"/>
        <v>0</v>
      </c>
      <c r="F45" s="743">
        <f t="shared" si="11"/>
        <v>0</v>
      </c>
      <c r="G45" s="743">
        <f t="shared" si="11"/>
        <v>0</v>
      </c>
      <c r="H45" s="743">
        <f t="shared" si="11"/>
        <v>0</v>
      </c>
      <c r="I45" s="743">
        <f t="shared" si="11"/>
        <v>0</v>
      </c>
      <c r="J45" s="743">
        <f t="shared" si="11"/>
        <v>0</v>
      </c>
      <c r="K45" s="743">
        <f t="shared" si="11"/>
        <v>0</v>
      </c>
      <c r="L45" s="743">
        <f t="shared" si="11"/>
        <v>0</v>
      </c>
      <c r="M45" s="743">
        <f t="shared" si="11"/>
        <v>0</v>
      </c>
      <c r="N45" s="743">
        <f t="shared" si="11"/>
        <v>0</v>
      </c>
      <c r="O45" s="743">
        <f t="shared" si="11"/>
        <v>0</v>
      </c>
      <c r="P45" s="743">
        <f t="shared" si="11"/>
        <v>0</v>
      </c>
      <c r="Q45" s="743">
        <f t="shared" si="11"/>
        <v>0</v>
      </c>
      <c r="R45" s="743">
        <f t="shared" si="11"/>
        <v>0</v>
      </c>
      <c r="S45" s="743">
        <f t="shared" si="11"/>
        <v>0</v>
      </c>
      <c r="T45" s="743">
        <f t="shared" si="11"/>
        <v>0</v>
      </c>
      <c r="U45" s="743">
        <f t="shared" si="11"/>
        <v>0</v>
      </c>
      <c r="V45" s="743">
        <f t="shared" si="11"/>
        <v>0</v>
      </c>
      <c r="W45" s="743">
        <f t="shared" si="11"/>
        <v>0</v>
      </c>
      <c r="X45" s="743">
        <f t="shared" si="11"/>
        <v>0</v>
      </c>
      <c r="Y45" s="743">
        <f t="shared" si="11"/>
        <v>0</v>
      </c>
      <c r="Z45" s="743">
        <f t="shared" si="11"/>
        <v>0</v>
      </c>
      <c r="AA45" s="743">
        <f t="shared" si="11"/>
        <v>0</v>
      </c>
      <c r="AB45" s="743">
        <f t="shared" si="11"/>
        <v>0</v>
      </c>
      <c r="AC45" s="743">
        <f t="shared" si="11"/>
        <v>0</v>
      </c>
      <c r="AD45" s="743">
        <f t="shared" si="11"/>
        <v>0</v>
      </c>
      <c r="AE45" s="743">
        <f t="shared" si="11"/>
        <v>0</v>
      </c>
      <c r="AF45" s="743">
        <f t="shared" si="11"/>
        <v>0</v>
      </c>
      <c r="AG45" s="744">
        <f t="shared" si="11"/>
        <v>0</v>
      </c>
      <c r="AH45" s="745"/>
      <c r="AI45" s="743"/>
      <c r="AJ45" s="743"/>
      <c r="AK45" s="743"/>
      <c r="AL45" s="743"/>
      <c r="AM45" s="744"/>
      <c r="AN45" s="746"/>
      <c r="AO45" s="743"/>
      <c r="AP45" s="747"/>
      <c r="AQ45" s="747" t="e">
        <f t="shared" si="8"/>
        <v>#DIV/0!</v>
      </c>
    </row>
    <row r="46" spans="1:43">
      <c r="A46" s="742" t="s">
        <v>416</v>
      </c>
      <c r="B46" s="743"/>
      <c r="C46" s="742"/>
      <c r="D46" s="743">
        <f>IF(D41=0,0,D$22)</f>
        <v>0</v>
      </c>
      <c r="E46" s="743">
        <f>IF(E41=0,0,E$22)</f>
        <v>0</v>
      </c>
      <c r="F46" s="743">
        <f>IF(F41=0,0,F$22)</f>
        <v>0</v>
      </c>
      <c r="G46" s="743">
        <f>IF(G41=0,0,G$22)</f>
        <v>0</v>
      </c>
      <c r="H46" s="743">
        <f>IF(H41=0,0,H$22)</f>
        <v>0</v>
      </c>
      <c r="I46" s="743">
        <f t="shared" ref="I46:AG46" si="12">IF(I41=0,0,I$22)</f>
        <v>0</v>
      </c>
      <c r="J46" s="743">
        <f t="shared" si="12"/>
        <v>0</v>
      </c>
      <c r="K46" s="743">
        <f t="shared" si="12"/>
        <v>0</v>
      </c>
      <c r="L46" s="743">
        <f t="shared" si="12"/>
        <v>0</v>
      </c>
      <c r="M46" s="743">
        <f t="shared" si="12"/>
        <v>0</v>
      </c>
      <c r="N46" s="743">
        <f t="shared" si="12"/>
        <v>0</v>
      </c>
      <c r="O46" s="743">
        <f t="shared" si="12"/>
        <v>0</v>
      </c>
      <c r="P46" s="743">
        <f t="shared" si="12"/>
        <v>0</v>
      </c>
      <c r="Q46" s="743">
        <f t="shared" si="12"/>
        <v>0</v>
      </c>
      <c r="R46" s="743">
        <f t="shared" si="12"/>
        <v>0</v>
      </c>
      <c r="S46" s="743">
        <f t="shared" si="12"/>
        <v>0</v>
      </c>
      <c r="T46" s="743">
        <f t="shared" si="12"/>
        <v>0</v>
      </c>
      <c r="U46" s="743">
        <f t="shared" si="12"/>
        <v>0</v>
      </c>
      <c r="V46" s="743">
        <f t="shared" si="12"/>
        <v>0</v>
      </c>
      <c r="W46" s="743">
        <f t="shared" si="12"/>
        <v>0</v>
      </c>
      <c r="X46" s="743">
        <f t="shared" si="12"/>
        <v>0</v>
      </c>
      <c r="Y46" s="743">
        <f t="shared" si="12"/>
        <v>0</v>
      </c>
      <c r="Z46" s="743">
        <f t="shared" si="12"/>
        <v>0</v>
      </c>
      <c r="AA46" s="743">
        <f t="shared" si="12"/>
        <v>0</v>
      </c>
      <c r="AB46" s="743">
        <f t="shared" si="12"/>
        <v>0</v>
      </c>
      <c r="AC46" s="743">
        <f t="shared" si="12"/>
        <v>0</v>
      </c>
      <c r="AD46" s="743">
        <f t="shared" si="12"/>
        <v>0</v>
      </c>
      <c r="AE46" s="743">
        <f t="shared" si="12"/>
        <v>0</v>
      </c>
      <c r="AF46" s="743">
        <f t="shared" si="12"/>
        <v>0</v>
      </c>
      <c r="AG46" s="744">
        <f t="shared" si="12"/>
        <v>0</v>
      </c>
      <c r="AH46" s="745"/>
      <c r="AI46" s="743"/>
      <c r="AJ46" s="743"/>
      <c r="AK46" s="743"/>
      <c r="AL46" s="743"/>
      <c r="AM46" s="744"/>
      <c r="AN46" s="746"/>
      <c r="AO46" s="743"/>
      <c r="AP46" s="747"/>
      <c r="AQ46" s="747" t="e">
        <f t="shared" si="8"/>
        <v>#DIV/0!</v>
      </c>
    </row>
    <row r="47" spans="1:43">
      <c r="A47" s="742" t="s">
        <v>465</v>
      </c>
      <c r="B47" s="743"/>
      <c r="C47" s="742"/>
      <c r="D47" s="743">
        <f>IF(D41=0,0,D$23)</f>
        <v>0</v>
      </c>
      <c r="E47" s="743">
        <f t="shared" ref="E47:AG47" si="13">IF(E41=0,0,E$23)</f>
        <v>0</v>
      </c>
      <c r="F47" s="743">
        <f t="shared" si="13"/>
        <v>0</v>
      </c>
      <c r="G47" s="743">
        <f t="shared" si="13"/>
        <v>0</v>
      </c>
      <c r="H47" s="743">
        <f t="shared" si="13"/>
        <v>0</v>
      </c>
      <c r="I47" s="743">
        <f t="shared" si="13"/>
        <v>0</v>
      </c>
      <c r="J47" s="743">
        <f t="shared" si="13"/>
        <v>0</v>
      </c>
      <c r="K47" s="743">
        <f t="shared" si="13"/>
        <v>0</v>
      </c>
      <c r="L47" s="743">
        <f t="shared" si="13"/>
        <v>0</v>
      </c>
      <c r="M47" s="743">
        <f t="shared" si="13"/>
        <v>0</v>
      </c>
      <c r="N47" s="743">
        <f t="shared" si="13"/>
        <v>0</v>
      </c>
      <c r="O47" s="743">
        <f t="shared" si="13"/>
        <v>0</v>
      </c>
      <c r="P47" s="743">
        <f t="shared" si="13"/>
        <v>0</v>
      </c>
      <c r="Q47" s="743">
        <f t="shared" si="13"/>
        <v>0</v>
      </c>
      <c r="R47" s="743">
        <f t="shared" si="13"/>
        <v>0</v>
      </c>
      <c r="S47" s="743">
        <f t="shared" si="13"/>
        <v>0</v>
      </c>
      <c r="T47" s="743">
        <f t="shared" si="13"/>
        <v>0</v>
      </c>
      <c r="U47" s="743">
        <f t="shared" si="13"/>
        <v>0</v>
      </c>
      <c r="V47" s="743">
        <f t="shared" si="13"/>
        <v>0</v>
      </c>
      <c r="W47" s="743">
        <f t="shared" si="13"/>
        <v>0</v>
      </c>
      <c r="X47" s="743">
        <f t="shared" si="13"/>
        <v>0</v>
      </c>
      <c r="Y47" s="743">
        <f t="shared" si="13"/>
        <v>0</v>
      </c>
      <c r="Z47" s="743">
        <f t="shared" si="13"/>
        <v>0</v>
      </c>
      <c r="AA47" s="743">
        <f t="shared" si="13"/>
        <v>0</v>
      </c>
      <c r="AB47" s="743">
        <f t="shared" si="13"/>
        <v>0</v>
      </c>
      <c r="AC47" s="743">
        <f t="shared" si="13"/>
        <v>0</v>
      </c>
      <c r="AD47" s="743">
        <f t="shared" si="13"/>
        <v>0</v>
      </c>
      <c r="AE47" s="743">
        <f t="shared" si="13"/>
        <v>0</v>
      </c>
      <c r="AF47" s="743">
        <f t="shared" si="13"/>
        <v>0</v>
      </c>
      <c r="AG47" s="743">
        <f t="shared" si="13"/>
        <v>0</v>
      </c>
      <c r="AH47" s="745"/>
      <c r="AI47" s="743"/>
      <c r="AJ47" s="743"/>
      <c r="AK47" s="743"/>
      <c r="AL47" s="743"/>
      <c r="AM47" s="744"/>
      <c r="AN47" s="746"/>
      <c r="AO47" s="743"/>
      <c r="AP47" s="747"/>
      <c r="AQ47" s="747" t="e">
        <f t="shared" si="8"/>
        <v>#DIV/0!</v>
      </c>
    </row>
    <row r="48" spans="1:43">
      <c r="A48" s="742" t="s">
        <v>419</v>
      </c>
      <c r="B48" s="743"/>
      <c r="C48" s="742"/>
      <c r="D48" s="743">
        <f>IF(D41=0,0,D$24)</f>
        <v>0</v>
      </c>
      <c r="E48" s="743">
        <f t="shared" ref="E48:AG48" si="14">IF(E41=0,0,E$24)</f>
        <v>0</v>
      </c>
      <c r="F48" s="743">
        <f t="shared" si="14"/>
        <v>0</v>
      </c>
      <c r="G48" s="743">
        <f t="shared" si="14"/>
        <v>0</v>
      </c>
      <c r="H48" s="743">
        <f t="shared" si="14"/>
        <v>0</v>
      </c>
      <c r="I48" s="743">
        <f t="shared" si="14"/>
        <v>0</v>
      </c>
      <c r="J48" s="743">
        <f t="shared" si="14"/>
        <v>0</v>
      </c>
      <c r="K48" s="743">
        <f t="shared" si="14"/>
        <v>0</v>
      </c>
      <c r="L48" s="743">
        <f t="shared" si="14"/>
        <v>0</v>
      </c>
      <c r="M48" s="743">
        <f t="shared" si="14"/>
        <v>0</v>
      </c>
      <c r="N48" s="743">
        <f t="shared" si="14"/>
        <v>0</v>
      </c>
      <c r="O48" s="743">
        <f t="shared" si="14"/>
        <v>0</v>
      </c>
      <c r="P48" s="743">
        <f t="shared" si="14"/>
        <v>0</v>
      </c>
      <c r="Q48" s="743">
        <f t="shared" si="14"/>
        <v>0</v>
      </c>
      <c r="R48" s="743">
        <f t="shared" si="14"/>
        <v>0</v>
      </c>
      <c r="S48" s="743">
        <f t="shared" si="14"/>
        <v>0</v>
      </c>
      <c r="T48" s="743">
        <f t="shared" si="14"/>
        <v>0</v>
      </c>
      <c r="U48" s="743">
        <f t="shared" si="14"/>
        <v>0</v>
      </c>
      <c r="V48" s="743">
        <f t="shared" si="14"/>
        <v>0</v>
      </c>
      <c r="W48" s="743">
        <f t="shared" si="14"/>
        <v>0</v>
      </c>
      <c r="X48" s="743">
        <f t="shared" si="14"/>
        <v>0</v>
      </c>
      <c r="Y48" s="743">
        <f t="shared" si="14"/>
        <v>0</v>
      </c>
      <c r="Z48" s="743">
        <f t="shared" si="14"/>
        <v>0</v>
      </c>
      <c r="AA48" s="743">
        <f t="shared" si="14"/>
        <v>0</v>
      </c>
      <c r="AB48" s="743">
        <f t="shared" si="14"/>
        <v>0</v>
      </c>
      <c r="AC48" s="743">
        <f t="shared" si="14"/>
        <v>0</v>
      </c>
      <c r="AD48" s="743">
        <f t="shared" si="14"/>
        <v>0</v>
      </c>
      <c r="AE48" s="743">
        <f t="shared" si="14"/>
        <v>0</v>
      </c>
      <c r="AF48" s="743">
        <f t="shared" si="14"/>
        <v>0</v>
      </c>
      <c r="AG48" s="743">
        <f t="shared" si="14"/>
        <v>0</v>
      </c>
      <c r="AH48" s="745"/>
      <c r="AI48" s="743"/>
      <c r="AJ48" s="743"/>
      <c r="AK48" s="743"/>
      <c r="AL48" s="743"/>
      <c r="AM48" s="744"/>
      <c r="AN48" s="746"/>
      <c r="AO48" s="743"/>
      <c r="AP48" s="747"/>
      <c r="AQ48" s="747" t="e">
        <f t="shared" si="8"/>
        <v>#DIV/0!</v>
      </c>
    </row>
    <row r="49" spans="1:45">
      <c r="AH49" s="766"/>
      <c r="AI49" s="767"/>
      <c r="AJ49" s="767"/>
      <c r="AK49" s="767"/>
      <c r="AL49" s="767"/>
      <c r="AM49" s="767"/>
      <c r="AN49" s="766"/>
      <c r="AO49" s="767"/>
      <c r="AP49" s="768"/>
      <c r="AQ49" s="768"/>
    </row>
    <row r="50" spans="1:45">
      <c r="A50" s="760" t="s">
        <v>470</v>
      </c>
      <c r="B50" s="774">
        <v>3215.9749784000005</v>
      </c>
      <c r="C50" s="759" t="s">
        <v>85</v>
      </c>
      <c r="D50" s="760"/>
      <c r="E50" s="760"/>
      <c r="F50" s="760"/>
      <c r="G50" s="760"/>
      <c r="H50" s="760"/>
      <c r="I50" s="760"/>
      <c r="J50" s="760"/>
      <c r="K50" s="760"/>
      <c r="L50" s="760"/>
      <c r="M50" s="760"/>
      <c r="N50" s="760"/>
      <c r="O50" s="760"/>
      <c r="P50" s="760"/>
      <c r="Q50" s="760"/>
      <c r="R50" s="760"/>
      <c r="S50" s="760"/>
      <c r="T50" s="760"/>
      <c r="U50" s="760"/>
      <c r="V50" s="760"/>
      <c r="W50" s="760"/>
      <c r="X50" s="760"/>
      <c r="Y50" s="760"/>
      <c r="Z50" s="760"/>
      <c r="AA50" s="760"/>
      <c r="AB50" s="760"/>
      <c r="AC50" s="760"/>
      <c r="AD50" s="760"/>
      <c r="AE50" s="760"/>
      <c r="AF50" s="760"/>
      <c r="AG50" s="761"/>
      <c r="AH50" s="762"/>
      <c r="AI50" s="760"/>
      <c r="AJ50" s="760">
        <f>H50</f>
        <v>0</v>
      </c>
      <c r="AK50" s="760">
        <f>K50</f>
        <v>0</v>
      </c>
      <c r="AL50" s="760"/>
      <c r="AM50" s="761"/>
      <c r="AN50" s="765">
        <f>SUM(AH50:AI50)</f>
        <v>0</v>
      </c>
      <c r="AO50" s="760">
        <f>SUM(AJ50:AK50)</f>
        <v>0</v>
      </c>
      <c r="AP50" s="764">
        <f>SUM(AL50:AM50)</f>
        <v>0</v>
      </c>
      <c r="AQ50" s="764">
        <f>SUM(D50:AG50)</f>
        <v>0</v>
      </c>
      <c r="AS50" s="731">
        <f>SUM(AN50:AP50)</f>
        <v>0</v>
      </c>
    </row>
    <row r="51" spans="1:45">
      <c r="A51" s="742" t="s">
        <v>460</v>
      </c>
      <c r="B51" s="760"/>
      <c r="C51" s="759"/>
      <c r="D51" s="743">
        <f>IF(D50=0,0,D$18)</f>
        <v>0</v>
      </c>
      <c r="E51" s="743">
        <f>IF(E50=0,0,E$18)</f>
        <v>0</v>
      </c>
      <c r="F51" s="743">
        <f>IF(F50=0,0,F$18)</f>
        <v>0</v>
      </c>
      <c r="G51" s="743">
        <f>IF(G50=0,0,G$18)</f>
        <v>0</v>
      </c>
      <c r="H51" s="743">
        <f>IF(H50=0,0,H$18)</f>
        <v>0</v>
      </c>
      <c r="I51" s="743">
        <f t="shared" ref="I51:AG51" si="15">IF(I50=0,0,I$18)</f>
        <v>0</v>
      </c>
      <c r="J51" s="743">
        <f t="shared" si="15"/>
        <v>0</v>
      </c>
      <c r="K51" s="743">
        <f t="shared" si="15"/>
        <v>0</v>
      </c>
      <c r="L51" s="743">
        <f t="shared" si="15"/>
        <v>0</v>
      </c>
      <c r="M51" s="743">
        <f t="shared" si="15"/>
        <v>0</v>
      </c>
      <c r="N51" s="743">
        <f t="shared" si="15"/>
        <v>0</v>
      </c>
      <c r="O51" s="743">
        <f t="shared" si="15"/>
        <v>0</v>
      </c>
      <c r="P51" s="743">
        <f t="shared" si="15"/>
        <v>0</v>
      </c>
      <c r="Q51" s="743">
        <f t="shared" si="15"/>
        <v>0</v>
      </c>
      <c r="R51" s="743">
        <f t="shared" si="15"/>
        <v>0</v>
      </c>
      <c r="S51" s="743">
        <f t="shared" si="15"/>
        <v>0</v>
      </c>
      <c r="T51" s="743">
        <f t="shared" si="15"/>
        <v>0</v>
      </c>
      <c r="U51" s="743">
        <f t="shared" si="15"/>
        <v>0</v>
      </c>
      <c r="V51" s="743">
        <f t="shared" si="15"/>
        <v>0</v>
      </c>
      <c r="W51" s="743">
        <f t="shared" si="15"/>
        <v>0</v>
      </c>
      <c r="X51" s="743">
        <f t="shared" si="15"/>
        <v>0</v>
      </c>
      <c r="Y51" s="743">
        <f t="shared" si="15"/>
        <v>0</v>
      </c>
      <c r="Z51" s="743">
        <f t="shared" si="15"/>
        <v>0</v>
      </c>
      <c r="AA51" s="743">
        <f t="shared" si="15"/>
        <v>0</v>
      </c>
      <c r="AB51" s="743">
        <f t="shared" si="15"/>
        <v>0</v>
      </c>
      <c r="AC51" s="743">
        <f t="shared" si="15"/>
        <v>0</v>
      </c>
      <c r="AD51" s="743">
        <f t="shared" si="15"/>
        <v>0</v>
      </c>
      <c r="AE51" s="743">
        <f t="shared" si="15"/>
        <v>0</v>
      </c>
      <c r="AF51" s="743">
        <f t="shared" si="15"/>
        <v>0</v>
      </c>
      <c r="AG51" s="744">
        <f t="shared" si="15"/>
        <v>0</v>
      </c>
      <c r="AH51" s="745"/>
      <c r="AI51" s="743"/>
      <c r="AJ51" s="760">
        <f t="shared" ref="AJ51:AJ57" si="16">H51</f>
        <v>0</v>
      </c>
      <c r="AK51" s="760">
        <f t="shared" ref="AK51:AK57" si="17">K51</f>
        <v>0</v>
      </c>
      <c r="AL51" s="743"/>
      <c r="AM51" s="744"/>
      <c r="AN51" s="746">
        <f>IF(AN$50=0,0,SUMPRODUCT(AH$50:AI$50,AH51:AI51)/AN$50)</f>
        <v>0</v>
      </c>
      <c r="AO51" s="743">
        <f>IF(AO$50=0,0,SUMPRODUCT(AJ$50:AK$50,AJ51:AK51)/AO$50)</f>
        <v>0</v>
      </c>
      <c r="AP51" s="747">
        <f>IF(AP$50=0,0,SUMPRODUCT(AL$50:AM$50,AL51:AM51)/AP$50)</f>
        <v>0</v>
      </c>
      <c r="AQ51" s="747" t="e">
        <f t="shared" ref="AQ51:AQ57" si="18">SUMPRODUCT(D$50:AG$50,D51:AG51)/AQ$50</f>
        <v>#DIV/0!</v>
      </c>
      <c r="AS51" s="743">
        <f>IF(AS$50=0,0,SUMPRODUCT(AN$50:AP$50,AN51:AP51)/AS$50)</f>
        <v>0</v>
      </c>
    </row>
    <row r="52" spans="1:45">
      <c r="A52" s="742" t="s">
        <v>462</v>
      </c>
      <c r="B52" s="743"/>
      <c r="C52" s="742"/>
      <c r="D52" s="743">
        <f t="shared" ref="D52:AG52" si="19">IF(D50=0,0,D$19)</f>
        <v>0</v>
      </c>
      <c r="E52" s="743">
        <f t="shared" si="19"/>
        <v>0</v>
      </c>
      <c r="F52" s="743">
        <f t="shared" si="19"/>
        <v>0</v>
      </c>
      <c r="G52" s="743">
        <f t="shared" si="19"/>
        <v>0</v>
      </c>
      <c r="H52" s="743">
        <f t="shared" si="19"/>
        <v>0</v>
      </c>
      <c r="I52" s="743">
        <f t="shared" si="19"/>
        <v>0</v>
      </c>
      <c r="J52" s="743">
        <f t="shared" si="19"/>
        <v>0</v>
      </c>
      <c r="K52" s="743">
        <f t="shared" si="19"/>
        <v>0</v>
      </c>
      <c r="L52" s="743">
        <f t="shared" si="19"/>
        <v>0</v>
      </c>
      <c r="M52" s="743">
        <f t="shared" si="19"/>
        <v>0</v>
      </c>
      <c r="N52" s="743">
        <f t="shared" si="19"/>
        <v>0</v>
      </c>
      <c r="O52" s="743">
        <f t="shared" si="19"/>
        <v>0</v>
      </c>
      <c r="P52" s="743">
        <f t="shared" si="19"/>
        <v>0</v>
      </c>
      <c r="Q52" s="743">
        <f t="shared" si="19"/>
        <v>0</v>
      </c>
      <c r="R52" s="743">
        <f t="shared" si="19"/>
        <v>0</v>
      </c>
      <c r="S52" s="743">
        <f t="shared" si="19"/>
        <v>0</v>
      </c>
      <c r="T52" s="743">
        <f t="shared" si="19"/>
        <v>0</v>
      </c>
      <c r="U52" s="743">
        <f t="shared" si="19"/>
        <v>0</v>
      </c>
      <c r="V52" s="743">
        <f t="shared" si="19"/>
        <v>0</v>
      </c>
      <c r="W52" s="743">
        <f t="shared" si="19"/>
        <v>0</v>
      </c>
      <c r="X52" s="743">
        <f t="shared" si="19"/>
        <v>0</v>
      </c>
      <c r="Y52" s="743">
        <f t="shared" si="19"/>
        <v>0</v>
      </c>
      <c r="Z52" s="743">
        <f t="shared" si="19"/>
        <v>0</v>
      </c>
      <c r="AA52" s="743">
        <f t="shared" si="19"/>
        <v>0</v>
      </c>
      <c r="AB52" s="743">
        <f t="shared" si="19"/>
        <v>0</v>
      </c>
      <c r="AC52" s="743">
        <f t="shared" si="19"/>
        <v>0</v>
      </c>
      <c r="AD52" s="743">
        <f t="shared" si="19"/>
        <v>0</v>
      </c>
      <c r="AE52" s="743">
        <f t="shared" si="19"/>
        <v>0</v>
      </c>
      <c r="AF52" s="743">
        <f t="shared" si="19"/>
        <v>0</v>
      </c>
      <c r="AG52" s="744">
        <f t="shared" si="19"/>
        <v>0</v>
      </c>
      <c r="AH52" s="745"/>
      <c r="AI52" s="743"/>
      <c r="AJ52" s="760">
        <f t="shared" si="16"/>
        <v>0</v>
      </c>
      <c r="AK52" s="760">
        <f t="shared" si="17"/>
        <v>0</v>
      </c>
      <c r="AL52" s="743"/>
      <c r="AM52" s="744"/>
      <c r="AN52" s="746">
        <f t="shared" ref="AN52:AN57" si="20">IF(AN$50=0,0,SUMPRODUCT(AH$50:AI$50,AH52:AI52)/AN$50)</f>
        <v>0</v>
      </c>
      <c r="AO52" s="743">
        <f t="shared" ref="AO52:AO57" si="21">IF(AO$50=0,0,SUMPRODUCT(AJ$50:AK$50,AJ52:AK52)/AO$50)</f>
        <v>0</v>
      </c>
      <c r="AP52" s="747">
        <f t="shared" ref="AP52:AP57" si="22">IF(AP$50=0,0,SUMPRODUCT(AL$50:AM$50,AL52:AM52)/AP$50)</f>
        <v>0</v>
      </c>
      <c r="AQ52" s="747" t="e">
        <f t="shared" si="18"/>
        <v>#DIV/0!</v>
      </c>
      <c r="AS52" s="743">
        <f t="shared" ref="AS52:AS57" si="23">IF(AS$50=0,0,SUMPRODUCT(AN$50:AP$50,AN52:AP52)/AS$50)</f>
        <v>0</v>
      </c>
    </row>
    <row r="53" spans="1:45">
      <c r="A53" s="742" t="s">
        <v>420</v>
      </c>
      <c r="B53" s="743"/>
      <c r="C53" s="742"/>
      <c r="D53" s="743">
        <f t="shared" ref="D53:AG53" si="24">IF(D50=0,0,D$20)</f>
        <v>0</v>
      </c>
      <c r="E53" s="743">
        <f t="shared" si="24"/>
        <v>0</v>
      </c>
      <c r="F53" s="743">
        <f t="shared" si="24"/>
        <v>0</v>
      </c>
      <c r="G53" s="743">
        <f t="shared" si="24"/>
        <v>0</v>
      </c>
      <c r="H53" s="743">
        <f t="shared" si="24"/>
        <v>0</v>
      </c>
      <c r="I53" s="743">
        <f t="shared" si="24"/>
        <v>0</v>
      </c>
      <c r="J53" s="743">
        <f t="shared" si="24"/>
        <v>0</v>
      </c>
      <c r="K53" s="743">
        <f t="shared" si="24"/>
        <v>0</v>
      </c>
      <c r="L53" s="743">
        <f t="shared" si="24"/>
        <v>0</v>
      </c>
      <c r="M53" s="743">
        <f t="shared" si="24"/>
        <v>0</v>
      </c>
      <c r="N53" s="743">
        <f t="shared" si="24"/>
        <v>0</v>
      </c>
      <c r="O53" s="743">
        <f t="shared" si="24"/>
        <v>0</v>
      </c>
      <c r="P53" s="743">
        <f t="shared" si="24"/>
        <v>0</v>
      </c>
      <c r="Q53" s="743">
        <f t="shared" si="24"/>
        <v>0</v>
      </c>
      <c r="R53" s="743">
        <f t="shared" si="24"/>
        <v>0</v>
      </c>
      <c r="S53" s="743">
        <f t="shared" si="24"/>
        <v>0</v>
      </c>
      <c r="T53" s="743">
        <f t="shared" si="24"/>
        <v>0</v>
      </c>
      <c r="U53" s="743">
        <f t="shared" si="24"/>
        <v>0</v>
      </c>
      <c r="V53" s="743">
        <f t="shared" si="24"/>
        <v>0</v>
      </c>
      <c r="W53" s="743">
        <f t="shared" si="24"/>
        <v>0</v>
      </c>
      <c r="X53" s="743">
        <f t="shared" si="24"/>
        <v>0</v>
      </c>
      <c r="Y53" s="743">
        <f t="shared" si="24"/>
        <v>0</v>
      </c>
      <c r="Z53" s="743">
        <f t="shared" si="24"/>
        <v>0</v>
      </c>
      <c r="AA53" s="743">
        <f t="shared" si="24"/>
        <v>0</v>
      </c>
      <c r="AB53" s="743">
        <f t="shared" si="24"/>
        <v>0</v>
      </c>
      <c r="AC53" s="743">
        <f t="shared" si="24"/>
        <v>0</v>
      </c>
      <c r="AD53" s="743">
        <f t="shared" si="24"/>
        <v>0</v>
      </c>
      <c r="AE53" s="743">
        <f t="shared" si="24"/>
        <v>0</v>
      </c>
      <c r="AF53" s="743">
        <f t="shared" si="24"/>
        <v>0</v>
      </c>
      <c r="AG53" s="744">
        <f t="shared" si="24"/>
        <v>0</v>
      </c>
      <c r="AH53" s="745"/>
      <c r="AI53" s="743"/>
      <c r="AJ53" s="760">
        <f t="shared" si="16"/>
        <v>0</v>
      </c>
      <c r="AK53" s="760">
        <f t="shared" si="17"/>
        <v>0</v>
      </c>
      <c r="AL53" s="743"/>
      <c r="AM53" s="744"/>
      <c r="AN53" s="746">
        <f t="shared" si="20"/>
        <v>0</v>
      </c>
      <c r="AO53" s="743">
        <f t="shared" si="21"/>
        <v>0</v>
      </c>
      <c r="AP53" s="747">
        <f t="shared" si="22"/>
        <v>0</v>
      </c>
      <c r="AQ53" s="747" t="e">
        <f t="shared" si="18"/>
        <v>#DIV/0!</v>
      </c>
      <c r="AS53" s="743">
        <f t="shared" si="23"/>
        <v>0</v>
      </c>
    </row>
    <row r="54" spans="1:45">
      <c r="A54" s="742" t="s">
        <v>464</v>
      </c>
      <c r="B54" s="743"/>
      <c r="C54" s="742"/>
      <c r="D54" s="743">
        <f t="shared" ref="D54:AG54" si="25">IF(D50=0,0,D$21)</f>
        <v>0</v>
      </c>
      <c r="E54" s="743">
        <f t="shared" si="25"/>
        <v>0</v>
      </c>
      <c r="F54" s="743">
        <f t="shared" si="25"/>
        <v>0</v>
      </c>
      <c r="G54" s="743">
        <f t="shared" si="25"/>
        <v>0</v>
      </c>
      <c r="H54" s="743">
        <f t="shared" si="25"/>
        <v>0</v>
      </c>
      <c r="I54" s="743">
        <f t="shared" si="25"/>
        <v>0</v>
      </c>
      <c r="J54" s="743">
        <f t="shared" si="25"/>
        <v>0</v>
      </c>
      <c r="K54" s="743">
        <f t="shared" si="25"/>
        <v>0</v>
      </c>
      <c r="L54" s="743">
        <f t="shared" si="25"/>
        <v>0</v>
      </c>
      <c r="M54" s="743">
        <f t="shared" si="25"/>
        <v>0</v>
      </c>
      <c r="N54" s="743">
        <f t="shared" si="25"/>
        <v>0</v>
      </c>
      <c r="O54" s="743">
        <f t="shared" si="25"/>
        <v>0</v>
      </c>
      <c r="P54" s="743">
        <f t="shared" si="25"/>
        <v>0</v>
      </c>
      <c r="Q54" s="743">
        <f t="shared" si="25"/>
        <v>0</v>
      </c>
      <c r="R54" s="743">
        <f t="shared" si="25"/>
        <v>0</v>
      </c>
      <c r="S54" s="743">
        <f t="shared" si="25"/>
        <v>0</v>
      </c>
      <c r="T54" s="743">
        <f t="shared" si="25"/>
        <v>0</v>
      </c>
      <c r="U54" s="743">
        <f t="shared" si="25"/>
        <v>0</v>
      </c>
      <c r="V54" s="743">
        <f t="shared" si="25"/>
        <v>0</v>
      </c>
      <c r="W54" s="743">
        <f t="shared" si="25"/>
        <v>0</v>
      </c>
      <c r="X54" s="743">
        <f t="shared" si="25"/>
        <v>0</v>
      </c>
      <c r="Y54" s="743">
        <f t="shared" si="25"/>
        <v>0</v>
      </c>
      <c r="Z54" s="743">
        <f t="shared" si="25"/>
        <v>0</v>
      </c>
      <c r="AA54" s="743">
        <f t="shared" si="25"/>
        <v>0</v>
      </c>
      <c r="AB54" s="743">
        <f t="shared" si="25"/>
        <v>0</v>
      </c>
      <c r="AC54" s="743">
        <f t="shared" si="25"/>
        <v>0</v>
      </c>
      <c r="AD54" s="743">
        <f t="shared" si="25"/>
        <v>0</v>
      </c>
      <c r="AE54" s="743">
        <f t="shared" si="25"/>
        <v>0</v>
      </c>
      <c r="AF54" s="743">
        <f t="shared" si="25"/>
        <v>0</v>
      </c>
      <c r="AG54" s="744">
        <f t="shared" si="25"/>
        <v>0</v>
      </c>
      <c r="AH54" s="745"/>
      <c r="AI54" s="743"/>
      <c r="AJ54" s="760">
        <f t="shared" si="16"/>
        <v>0</v>
      </c>
      <c r="AK54" s="760">
        <f t="shared" si="17"/>
        <v>0</v>
      </c>
      <c r="AL54" s="743"/>
      <c r="AM54" s="744"/>
      <c r="AN54" s="746">
        <f t="shared" si="20"/>
        <v>0</v>
      </c>
      <c r="AO54" s="743">
        <f t="shared" si="21"/>
        <v>0</v>
      </c>
      <c r="AP54" s="747">
        <f t="shared" si="22"/>
        <v>0</v>
      </c>
      <c r="AQ54" s="747" t="e">
        <f t="shared" si="18"/>
        <v>#DIV/0!</v>
      </c>
      <c r="AS54" s="743">
        <f t="shared" si="23"/>
        <v>0</v>
      </c>
    </row>
    <row r="55" spans="1:45">
      <c r="A55" s="742" t="s">
        <v>416</v>
      </c>
      <c r="B55" s="743"/>
      <c r="C55" s="742"/>
      <c r="D55" s="743">
        <f>IF(D50=0,0,D$22)</f>
        <v>0</v>
      </c>
      <c r="E55" s="743">
        <f t="shared" ref="E55:AG55" si="26">IF(E50=0,0,E$22)</f>
        <v>0</v>
      </c>
      <c r="F55" s="743">
        <f t="shared" si="26"/>
        <v>0</v>
      </c>
      <c r="G55" s="743">
        <f t="shared" si="26"/>
        <v>0</v>
      </c>
      <c r="H55" s="743">
        <f>IF(H50=0,0,H$22)</f>
        <v>0</v>
      </c>
      <c r="I55" s="743">
        <f t="shared" si="26"/>
        <v>0</v>
      </c>
      <c r="J55" s="743">
        <f t="shared" si="26"/>
        <v>0</v>
      </c>
      <c r="K55" s="743">
        <f t="shared" si="26"/>
        <v>0</v>
      </c>
      <c r="L55" s="743">
        <f t="shared" si="26"/>
        <v>0</v>
      </c>
      <c r="M55" s="743">
        <f t="shared" si="26"/>
        <v>0</v>
      </c>
      <c r="N55" s="743">
        <f t="shared" si="26"/>
        <v>0</v>
      </c>
      <c r="O55" s="743">
        <f t="shared" si="26"/>
        <v>0</v>
      </c>
      <c r="P55" s="743">
        <f t="shared" si="26"/>
        <v>0</v>
      </c>
      <c r="Q55" s="743">
        <f t="shared" si="26"/>
        <v>0</v>
      </c>
      <c r="R55" s="743">
        <f t="shared" si="26"/>
        <v>0</v>
      </c>
      <c r="S55" s="743">
        <f t="shared" si="26"/>
        <v>0</v>
      </c>
      <c r="T55" s="743">
        <f t="shared" si="26"/>
        <v>0</v>
      </c>
      <c r="U55" s="743">
        <f t="shared" si="26"/>
        <v>0</v>
      </c>
      <c r="V55" s="743">
        <f t="shared" si="26"/>
        <v>0</v>
      </c>
      <c r="W55" s="743">
        <f t="shared" si="26"/>
        <v>0</v>
      </c>
      <c r="X55" s="743">
        <f t="shared" si="26"/>
        <v>0</v>
      </c>
      <c r="Y55" s="743">
        <f t="shared" si="26"/>
        <v>0</v>
      </c>
      <c r="Z55" s="743">
        <f t="shared" si="26"/>
        <v>0</v>
      </c>
      <c r="AA55" s="743">
        <f t="shared" si="26"/>
        <v>0</v>
      </c>
      <c r="AB55" s="743">
        <f t="shared" si="26"/>
        <v>0</v>
      </c>
      <c r="AC55" s="743">
        <f t="shared" si="26"/>
        <v>0</v>
      </c>
      <c r="AD55" s="743">
        <f t="shared" si="26"/>
        <v>0</v>
      </c>
      <c r="AE55" s="743">
        <f t="shared" si="26"/>
        <v>0</v>
      </c>
      <c r="AF55" s="743">
        <f t="shared" si="26"/>
        <v>0</v>
      </c>
      <c r="AG55" s="744">
        <f t="shared" si="26"/>
        <v>0</v>
      </c>
      <c r="AH55" s="745"/>
      <c r="AI55" s="743"/>
      <c r="AJ55" s="760">
        <f t="shared" si="16"/>
        <v>0</v>
      </c>
      <c r="AK55" s="760">
        <f t="shared" si="17"/>
        <v>0</v>
      </c>
      <c r="AL55" s="743"/>
      <c r="AM55" s="744"/>
      <c r="AN55" s="746">
        <f t="shared" si="20"/>
        <v>0</v>
      </c>
      <c r="AO55" s="743">
        <f t="shared" si="21"/>
        <v>0</v>
      </c>
      <c r="AP55" s="747">
        <f t="shared" si="22"/>
        <v>0</v>
      </c>
      <c r="AQ55" s="747" t="e">
        <f t="shared" si="18"/>
        <v>#DIV/0!</v>
      </c>
      <c r="AS55" s="743">
        <f t="shared" si="23"/>
        <v>0</v>
      </c>
    </row>
    <row r="56" spans="1:45">
      <c r="A56" s="742" t="s">
        <v>465</v>
      </c>
      <c r="B56" s="743"/>
      <c r="C56" s="742"/>
      <c r="D56" s="743">
        <f>IF(D50=0,0,D$23)</f>
        <v>0</v>
      </c>
      <c r="E56" s="743">
        <f t="shared" ref="E56:AG56" si="27">IF(E50=0,0,E$23)</f>
        <v>0</v>
      </c>
      <c r="F56" s="743">
        <f t="shared" si="27"/>
        <v>0</v>
      </c>
      <c r="G56" s="743">
        <f t="shared" si="27"/>
        <v>0</v>
      </c>
      <c r="H56" s="743">
        <f t="shared" si="27"/>
        <v>0</v>
      </c>
      <c r="I56" s="743">
        <f t="shared" si="27"/>
        <v>0</v>
      </c>
      <c r="J56" s="743">
        <f t="shared" si="27"/>
        <v>0</v>
      </c>
      <c r="K56" s="743">
        <f t="shared" si="27"/>
        <v>0</v>
      </c>
      <c r="L56" s="743">
        <f t="shared" si="27"/>
        <v>0</v>
      </c>
      <c r="M56" s="743">
        <f t="shared" si="27"/>
        <v>0</v>
      </c>
      <c r="N56" s="743">
        <f t="shared" si="27"/>
        <v>0</v>
      </c>
      <c r="O56" s="743">
        <f t="shared" si="27"/>
        <v>0</v>
      </c>
      <c r="P56" s="743">
        <f t="shared" si="27"/>
        <v>0</v>
      </c>
      <c r="Q56" s="743">
        <f t="shared" si="27"/>
        <v>0</v>
      </c>
      <c r="R56" s="743">
        <f t="shared" si="27"/>
        <v>0</v>
      </c>
      <c r="S56" s="743">
        <f t="shared" si="27"/>
        <v>0</v>
      </c>
      <c r="T56" s="743">
        <f t="shared" si="27"/>
        <v>0</v>
      </c>
      <c r="U56" s="743">
        <f t="shared" si="27"/>
        <v>0</v>
      </c>
      <c r="V56" s="743">
        <f t="shared" si="27"/>
        <v>0</v>
      </c>
      <c r="W56" s="743">
        <f t="shared" si="27"/>
        <v>0</v>
      </c>
      <c r="X56" s="743">
        <f t="shared" si="27"/>
        <v>0</v>
      </c>
      <c r="Y56" s="743">
        <f t="shared" si="27"/>
        <v>0</v>
      </c>
      <c r="Z56" s="743">
        <f t="shared" si="27"/>
        <v>0</v>
      </c>
      <c r="AA56" s="743">
        <f t="shared" si="27"/>
        <v>0</v>
      </c>
      <c r="AB56" s="743">
        <f t="shared" si="27"/>
        <v>0</v>
      </c>
      <c r="AC56" s="743">
        <f t="shared" si="27"/>
        <v>0</v>
      </c>
      <c r="AD56" s="743">
        <f t="shared" si="27"/>
        <v>0</v>
      </c>
      <c r="AE56" s="743">
        <f t="shared" si="27"/>
        <v>0</v>
      </c>
      <c r="AF56" s="743">
        <f t="shared" si="27"/>
        <v>0</v>
      </c>
      <c r="AG56" s="744">
        <f t="shared" si="27"/>
        <v>0</v>
      </c>
      <c r="AH56" s="745"/>
      <c r="AI56" s="743"/>
      <c r="AJ56" s="760">
        <f t="shared" si="16"/>
        <v>0</v>
      </c>
      <c r="AK56" s="760">
        <f t="shared" si="17"/>
        <v>0</v>
      </c>
      <c r="AL56" s="743"/>
      <c r="AM56" s="744"/>
      <c r="AN56" s="746">
        <f t="shared" si="20"/>
        <v>0</v>
      </c>
      <c r="AO56" s="743">
        <f t="shared" si="21"/>
        <v>0</v>
      </c>
      <c r="AP56" s="747">
        <f t="shared" si="22"/>
        <v>0</v>
      </c>
      <c r="AQ56" s="747" t="e">
        <f t="shared" si="18"/>
        <v>#DIV/0!</v>
      </c>
      <c r="AS56" s="743">
        <f t="shared" si="23"/>
        <v>0</v>
      </c>
    </row>
    <row r="57" spans="1:45">
      <c r="A57" s="742" t="s">
        <v>419</v>
      </c>
      <c r="B57" s="743"/>
      <c r="C57" s="742"/>
      <c r="D57" s="743">
        <f>IF(D50=0,0,D$24)</f>
        <v>0</v>
      </c>
      <c r="E57" s="743">
        <f t="shared" ref="E57:AG57" si="28">IF(E50=0,0,E$24)</f>
        <v>0</v>
      </c>
      <c r="F57" s="743">
        <f t="shared" si="28"/>
        <v>0</v>
      </c>
      <c r="G57" s="743">
        <f t="shared" si="28"/>
        <v>0</v>
      </c>
      <c r="H57" s="743">
        <f t="shared" si="28"/>
        <v>0</v>
      </c>
      <c r="I57" s="743">
        <f t="shared" si="28"/>
        <v>0</v>
      </c>
      <c r="J57" s="743">
        <f t="shared" si="28"/>
        <v>0</v>
      </c>
      <c r="K57" s="743">
        <f t="shared" si="28"/>
        <v>0</v>
      </c>
      <c r="L57" s="743">
        <f t="shared" si="28"/>
        <v>0</v>
      </c>
      <c r="M57" s="743">
        <f t="shared" si="28"/>
        <v>0</v>
      </c>
      <c r="N57" s="743">
        <f t="shared" si="28"/>
        <v>0</v>
      </c>
      <c r="O57" s="743">
        <f t="shared" si="28"/>
        <v>0</v>
      </c>
      <c r="P57" s="743">
        <f t="shared" si="28"/>
        <v>0</v>
      </c>
      <c r="Q57" s="743">
        <f t="shared" si="28"/>
        <v>0</v>
      </c>
      <c r="R57" s="743">
        <f t="shared" si="28"/>
        <v>0</v>
      </c>
      <c r="S57" s="743">
        <f t="shared" si="28"/>
        <v>0</v>
      </c>
      <c r="T57" s="743">
        <f t="shared" si="28"/>
        <v>0</v>
      </c>
      <c r="U57" s="743">
        <f t="shared" si="28"/>
        <v>0</v>
      </c>
      <c r="V57" s="743">
        <f t="shared" si="28"/>
        <v>0</v>
      </c>
      <c r="W57" s="743">
        <f t="shared" si="28"/>
        <v>0</v>
      </c>
      <c r="X57" s="743">
        <f t="shared" si="28"/>
        <v>0</v>
      </c>
      <c r="Y57" s="743">
        <f t="shared" si="28"/>
        <v>0</v>
      </c>
      <c r="Z57" s="743">
        <f t="shared" si="28"/>
        <v>0</v>
      </c>
      <c r="AA57" s="743">
        <f t="shared" si="28"/>
        <v>0</v>
      </c>
      <c r="AB57" s="743">
        <f t="shared" si="28"/>
        <v>0</v>
      </c>
      <c r="AC57" s="743">
        <f t="shared" si="28"/>
        <v>0</v>
      </c>
      <c r="AD57" s="743">
        <f t="shared" si="28"/>
        <v>0</v>
      </c>
      <c r="AE57" s="743">
        <f t="shared" si="28"/>
        <v>0</v>
      </c>
      <c r="AF57" s="743">
        <f t="shared" si="28"/>
        <v>0</v>
      </c>
      <c r="AG57" s="744">
        <f t="shared" si="28"/>
        <v>0</v>
      </c>
      <c r="AH57" s="745"/>
      <c r="AI57" s="743"/>
      <c r="AJ57" s="760">
        <f t="shared" si="16"/>
        <v>0</v>
      </c>
      <c r="AK57" s="760">
        <f t="shared" si="17"/>
        <v>0</v>
      </c>
      <c r="AL57" s="743"/>
      <c r="AM57" s="744"/>
      <c r="AN57" s="746">
        <f t="shared" si="20"/>
        <v>0</v>
      </c>
      <c r="AO57" s="743">
        <f t="shared" si="21"/>
        <v>0</v>
      </c>
      <c r="AP57" s="747">
        <f t="shared" si="22"/>
        <v>0</v>
      </c>
      <c r="AQ57" s="747" t="e">
        <f t="shared" si="18"/>
        <v>#DIV/0!</v>
      </c>
      <c r="AS57" s="743">
        <f t="shared" si="23"/>
        <v>0</v>
      </c>
    </row>
    <row r="58" spans="1:45">
      <c r="AH58" s="766"/>
      <c r="AI58" s="767"/>
      <c r="AJ58" s="767"/>
      <c r="AK58" s="767"/>
      <c r="AL58" s="767"/>
      <c r="AM58" s="767"/>
      <c r="AN58" s="766"/>
      <c r="AO58" s="767"/>
      <c r="AP58" s="768"/>
      <c r="AQ58" s="768"/>
    </row>
    <row r="59" spans="1:45">
      <c r="A59" s="760" t="s">
        <v>471</v>
      </c>
      <c r="B59" s="774">
        <v>22664.0285276</v>
      </c>
      <c r="C59" s="759" t="s">
        <v>85</v>
      </c>
      <c r="D59" s="760"/>
      <c r="E59" s="760"/>
      <c r="F59" s="760"/>
      <c r="G59" s="760"/>
      <c r="H59" s="760"/>
      <c r="I59" s="760"/>
      <c r="J59" s="760"/>
      <c r="K59" s="760"/>
      <c r="L59" s="760"/>
      <c r="M59" s="760"/>
      <c r="N59" s="760"/>
      <c r="O59" s="760"/>
      <c r="P59" s="760"/>
      <c r="Q59" s="760"/>
      <c r="R59" s="760"/>
      <c r="S59" s="760"/>
      <c r="T59" s="760"/>
      <c r="U59" s="760"/>
      <c r="V59" s="760"/>
      <c r="W59" s="760"/>
      <c r="X59" s="760"/>
      <c r="Y59" s="760"/>
      <c r="Z59" s="760"/>
      <c r="AA59" s="760"/>
      <c r="AB59" s="760"/>
      <c r="AC59" s="760"/>
      <c r="AD59" s="760"/>
      <c r="AE59" s="760"/>
      <c r="AF59" s="760"/>
      <c r="AG59" s="761"/>
      <c r="AH59" s="762">
        <f>G59</f>
        <v>0</v>
      </c>
      <c r="AI59" s="760"/>
      <c r="AJ59" s="760">
        <f>H59</f>
        <v>0</v>
      </c>
      <c r="AK59" s="760">
        <f>K59</f>
        <v>0</v>
      </c>
      <c r="AL59" s="760"/>
      <c r="AM59" s="761"/>
      <c r="AN59" s="765">
        <f>SUM(AH59:AI59)</f>
        <v>0</v>
      </c>
      <c r="AO59" s="760">
        <f>SUM(AJ59:AK59)</f>
        <v>0</v>
      </c>
      <c r="AP59" s="764">
        <f>SUM(AL59:AM59)</f>
        <v>0</v>
      </c>
      <c r="AQ59" s="764">
        <f>SUM(D59:AG59)</f>
        <v>0</v>
      </c>
      <c r="AS59" s="731">
        <f>SUM(AN59:AP59)</f>
        <v>0</v>
      </c>
    </row>
    <row r="60" spans="1:45">
      <c r="A60" s="742" t="s">
        <v>460</v>
      </c>
      <c r="B60" s="760"/>
      <c r="C60" s="759"/>
      <c r="D60" s="743">
        <f>IF(D59=0,0,D$18)</f>
        <v>0</v>
      </c>
      <c r="E60" s="743">
        <f>IF(E59=0,0,E$18)</f>
        <v>0</v>
      </c>
      <c r="F60" s="743">
        <f>IF(F59=0,0,F$18)</f>
        <v>0</v>
      </c>
      <c r="G60" s="743">
        <f>IF(G59=0,0,G$18)</f>
        <v>0</v>
      </c>
      <c r="H60" s="743">
        <f>IF(H59=0,0,H$18)</f>
        <v>0</v>
      </c>
      <c r="I60" s="743">
        <f t="shared" ref="I60:AG60" si="29">IF(I59=0,0,I$18)</f>
        <v>0</v>
      </c>
      <c r="J60" s="743">
        <f t="shared" si="29"/>
        <v>0</v>
      </c>
      <c r="K60" s="743">
        <f t="shared" si="29"/>
        <v>0</v>
      </c>
      <c r="L60" s="743">
        <f t="shared" si="29"/>
        <v>0</v>
      </c>
      <c r="M60" s="743">
        <f t="shared" si="29"/>
        <v>0</v>
      </c>
      <c r="N60" s="743">
        <f t="shared" si="29"/>
        <v>0</v>
      </c>
      <c r="O60" s="743">
        <f t="shared" si="29"/>
        <v>0</v>
      </c>
      <c r="P60" s="743">
        <f t="shared" si="29"/>
        <v>0</v>
      </c>
      <c r="Q60" s="743">
        <f t="shared" si="29"/>
        <v>0</v>
      </c>
      <c r="R60" s="743">
        <f t="shared" si="29"/>
        <v>0</v>
      </c>
      <c r="S60" s="743">
        <f t="shared" si="29"/>
        <v>0</v>
      </c>
      <c r="T60" s="743">
        <f t="shared" si="29"/>
        <v>0</v>
      </c>
      <c r="U60" s="743">
        <f t="shared" si="29"/>
        <v>0</v>
      </c>
      <c r="V60" s="743">
        <f t="shared" si="29"/>
        <v>0</v>
      </c>
      <c r="W60" s="743">
        <f t="shared" si="29"/>
        <v>0</v>
      </c>
      <c r="X60" s="743">
        <f t="shared" si="29"/>
        <v>0</v>
      </c>
      <c r="Y60" s="743">
        <f t="shared" si="29"/>
        <v>0</v>
      </c>
      <c r="Z60" s="743">
        <f t="shared" si="29"/>
        <v>0</v>
      </c>
      <c r="AA60" s="743">
        <f t="shared" si="29"/>
        <v>0</v>
      </c>
      <c r="AB60" s="743">
        <f t="shared" si="29"/>
        <v>0</v>
      </c>
      <c r="AC60" s="743">
        <f t="shared" si="29"/>
        <v>0</v>
      </c>
      <c r="AD60" s="743">
        <f t="shared" si="29"/>
        <v>0</v>
      </c>
      <c r="AE60" s="743">
        <f t="shared" si="29"/>
        <v>0</v>
      </c>
      <c r="AF60" s="743">
        <f t="shared" si="29"/>
        <v>0</v>
      </c>
      <c r="AG60" s="744">
        <f t="shared" si="29"/>
        <v>0</v>
      </c>
      <c r="AH60" s="762">
        <f t="shared" ref="AH60:AH66" si="30">G60</f>
        <v>0</v>
      </c>
      <c r="AI60" s="743"/>
      <c r="AJ60" s="760">
        <f t="shared" ref="AJ60:AJ66" si="31">H60</f>
        <v>0</v>
      </c>
      <c r="AK60" s="760">
        <f t="shared" ref="AK60:AK66" si="32">K60</f>
        <v>0</v>
      </c>
      <c r="AL60" s="743"/>
      <c r="AM60" s="744"/>
      <c r="AN60" s="746">
        <f>IF(AN$59=0,0,SUMPRODUCT(AH$59:AI$59,AH60:AI60)/AN$59)</f>
        <v>0</v>
      </c>
      <c r="AO60" s="743">
        <f>IF(AO$59=0,0,SUMPRODUCT(AJ$59:AK$59,AJ60:AK60)/AO$59)</f>
        <v>0</v>
      </c>
      <c r="AP60" s="747">
        <f>IF(AP$59=0,0,SUMPRODUCT(AL$59:AM$59,AL60:AM60)/AP$59)</f>
        <v>0</v>
      </c>
      <c r="AQ60" s="747" t="e">
        <f t="shared" ref="AQ60:AQ66" si="33">SUMPRODUCT(D$59:AG$59,D60:AG60)/AQ$59</f>
        <v>#DIV/0!</v>
      </c>
      <c r="AS60" s="743">
        <f>IF(AS$59=0,0,SUMPRODUCT(AN$59:AP$59,AN60:AP60)/AS$59)</f>
        <v>0</v>
      </c>
    </row>
    <row r="61" spans="1:45">
      <c r="A61" s="742" t="s">
        <v>462</v>
      </c>
      <c r="B61" s="743"/>
      <c r="C61" s="742"/>
      <c r="D61" s="743">
        <f t="shared" ref="D61:AG61" si="34">IF(D59=0,0,D$19)</f>
        <v>0</v>
      </c>
      <c r="E61" s="743">
        <f t="shared" si="34"/>
        <v>0</v>
      </c>
      <c r="F61" s="743">
        <f t="shared" si="34"/>
        <v>0</v>
      </c>
      <c r="G61" s="743">
        <f t="shared" si="34"/>
        <v>0</v>
      </c>
      <c r="H61" s="743">
        <f t="shared" si="34"/>
        <v>0</v>
      </c>
      <c r="I61" s="743">
        <f t="shared" si="34"/>
        <v>0</v>
      </c>
      <c r="J61" s="743">
        <f t="shared" si="34"/>
        <v>0</v>
      </c>
      <c r="K61" s="743">
        <f t="shared" si="34"/>
        <v>0</v>
      </c>
      <c r="L61" s="743">
        <f t="shared" si="34"/>
        <v>0</v>
      </c>
      <c r="M61" s="743">
        <f t="shared" si="34"/>
        <v>0</v>
      </c>
      <c r="N61" s="743">
        <f t="shared" si="34"/>
        <v>0</v>
      </c>
      <c r="O61" s="743">
        <f t="shared" si="34"/>
        <v>0</v>
      </c>
      <c r="P61" s="743">
        <f t="shared" si="34"/>
        <v>0</v>
      </c>
      <c r="Q61" s="743">
        <f t="shared" si="34"/>
        <v>0</v>
      </c>
      <c r="R61" s="743">
        <f t="shared" si="34"/>
        <v>0</v>
      </c>
      <c r="S61" s="743">
        <f t="shared" si="34"/>
        <v>0</v>
      </c>
      <c r="T61" s="743">
        <f t="shared" si="34"/>
        <v>0</v>
      </c>
      <c r="U61" s="743">
        <f t="shared" si="34"/>
        <v>0</v>
      </c>
      <c r="V61" s="743">
        <f t="shared" si="34"/>
        <v>0</v>
      </c>
      <c r="W61" s="743">
        <f t="shared" si="34"/>
        <v>0</v>
      </c>
      <c r="X61" s="743">
        <f t="shared" si="34"/>
        <v>0</v>
      </c>
      <c r="Y61" s="743">
        <f t="shared" si="34"/>
        <v>0</v>
      </c>
      <c r="Z61" s="743">
        <f t="shared" si="34"/>
        <v>0</v>
      </c>
      <c r="AA61" s="743">
        <f t="shared" si="34"/>
        <v>0</v>
      </c>
      <c r="AB61" s="743">
        <f t="shared" si="34"/>
        <v>0</v>
      </c>
      <c r="AC61" s="743">
        <f t="shared" si="34"/>
        <v>0</v>
      </c>
      <c r="AD61" s="743">
        <f t="shared" si="34"/>
        <v>0</v>
      </c>
      <c r="AE61" s="743">
        <f t="shared" si="34"/>
        <v>0</v>
      </c>
      <c r="AF61" s="743">
        <f t="shared" si="34"/>
        <v>0</v>
      </c>
      <c r="AG61" s="744">
        <f t="shared" si="34"/>
        <v>0</v>
      </c>
      <c r="AH61" s="762">
        <f t="shared" si="30"/>
        <v>0</v>
      </c>
      <c r="AI61" s="743"/>
      <c r="AJ61" s="760">
        <f t="shared" si="31"/>
        <v>0</v>
      </c>
      <c r="AK61" s="760">
        <f t="shared" si="32"/>
        <v>0</v>
      </c>
      <c r="AL61" s="743"/>
      <c r="AM61" s="744"/>
      <c r="AN61" s="746">
        <f t="shared" ref="AN61:AN66" si="35">IF(AN$59=0,0,SUMPRODUCT(AH$59:AI$59,AH61:AI61)/AN$59)</f>
        <v>0</v>
      </c>
      <c r="AO61" s="743">
        <f t="shared" ref="AO61:AO66" si="36">IF(AO$59=0,0,SUMPRODUCT(AJ$59:AK$59,AJ61:AK61)/AO$59)</f>
        <v>0</v>
      </c>
      <c r="AP61" s="747">
        <f t="shared" ref="AP61:AP66" si="37">IF(AP$59=0,0,SUMPRODUCT(AL$59:AM$59,AL61:AM61)/AP$59)</f>
        <v>0</v>
      </c>
      <c r="AQ61" s="747" t="e">
        <f t="shared" si="33"/>
        <v>#DIV/0!</v>
      </c>
      <c r="AS61" s="743">
        <f t="shared" ref="AS61:AS66" si="38">IF(AS$59=0,0,SUMPRODUCT(AN$59:AP$59,AN61:AP61)/AS$59)</f>
        <v>0</v>
      </c>
    </row>
    <row r="62" spans="1:45">
      <c r="A62" s="742" t="s">
        <v>420</v>
      </c>
      <c r="B62" s="743"/>
      <c r="C62" s="742"/>
      <c r="D62" s="743">
        <f t="shared" ref="D62:AG62" si="39">IF(D59=0,0,D$20)</f>
        <v>0</v>
      </c>
      <c r="E62" s="743">
        <f t="shared" si="39"/>
        <v>0</v>
      </c>
      <c r="F62" s="743">
        <f t="shared" si="39"/>
        <v>0</v>
      </c>
      <c r="G62" s="743">
        <f t="shared" si="39"/>
        <v>0</v>
      </c>
      <c r="H62" s="743">
        <f t="shared" si="39"/>
        <v>0</v>
      </c>
      <c r="I62" s="743">
        <f t="shared" si="39"/>
        <v>0</v>
      </c>
      <c r="J62" s="743">
        <f t="shared" si="39"/>
        <v>0</v>
      </c>
      <c r="K62" s="743">
        <f t="shared" si="39"/>
        <v>0</v>
      </c>
      <c r="L62" s="743">
        <f t="shared" si="39"/>
        <v>0</v>
      </c>
      <c r="M62" s="743">
        <f t="shared" si="39"/>
        <v>0</v>
      </c>
      <c r="N62" s="743">
        <f t="shared" si="39"/>
        <v>0</v>
      </c>
      <c r="O62" s="743">
        <f t="shared" si="39"/>
        <v>0</v>
      </c>
      <c r="P62" s="743">
        <f t="shared" si="39"/>
        <v>0</v>
      </c>
      <c r="Q62" s="743">
        <f t="shared" si="39"/>
        <v>0</v>
      </c>
      <c r="R62" s="743">
        <f t="shared" si="39"/>
        <v>0</v>
      </c>
      <c r="S62" s="743">
        <f t="shared" si="39"/>
        <v>0</v>
      </c>
      <c r="T62" s="743">
        <f t="shared" si="39"/>
        <v>0</v>
      </c>
      <c r="U62" s="743">
        <f t="shared" si="39"/>
        <v>0</v>
      </c>
      <c r="V62" s="743">
        <f t="shared" si="39"/>
        <v>0</v>
      </c>
      <c r="W62" s="743">
        <f t="shared" si="39"/>
        <v>0</v>
      </c>
      <c r="X62" s="743">
        <f t="shared" si="39"/>
        <v>0</v>
      </c>
      <c r="Y62" s="743">
        <f t="shared" si="39"/>
        <v>0</v>
      </c>
      <c r="Z62" s="743">
        <f t="shared" si="39"/>
        <v>0</v>
      </c>
      <c r="AA62" s="743">
        <f t="shared" si="39"/>
        <v>0</v>
      </c>
      <c r="AB62" s="743">
        <f t="shared" si="39"/>
        <v>0</v>
      </c>
      <c r="AC62" s="743">
        <f t="shared" si="39"/>
        <v>0</v>
      </c>
      <c r="AD62" s="743">
        <f t="shared" si="39"/>
        <v>0</v>
      </c>
      <c r="AE62" s="743">
        <f t="shared" si="39"/>
        <v>0</v>
      </c>
      <c r="AF62" s="743">
        <f t="shared" si="39"/>
        <v>0</v>
      </c>
      <c r="AG62" s="744">
        <f t="shared" si="39"/>
        <v>0</v>
      </c>
      <c r="AH62" s="762">
        <f t="shared" si="30"/>
        <v>0</v>
      </c>
      <c r="AI62" s="743"/>
      <c r="AJ62" s="760">
        <f t="shared" si="31"/>
        <v>0</v>
      </c>
      <c r="AK62" s="760">
        <f t="shared" si="32"/>
        <v>0</v>
      </c>
      <c r="AL62" s="743"/>
      <c r="AM62" s="744"/>
      <c r="AN62" s="746">
        <f t="shared" si="35"/>
        <v>0</v>
      </c>
      <c r="AO62" s="743">
        <f t="shared" si="36"/>
        <v>0</v>
      </c>
      <c r="AP62" s="747">
        <f t="shared" si="37"/>
        <v>0</v>
      </c>
      <c r="AQ62" s="747" t="e">
        <f t="shared" si="33"/>
        <v>#DIV/0!</v>
      </c>
      <c r="AS62" s="743">
        <f t="shared" si="38"/>
        <v>0</v>
      </c>
    </row>
    <row r="63" spans="1:45">
      <c r="A63" s="742" t="s">
        <v>464</v>
      </c>
      <c r="B63" s="743"/>
      <c r="C63" s="742"/>
      <c r="D63" s="743">
        <f t="shared" ref="D63:AG63" si="40">IF(D59=0,0,D$21)</f>
        <v>0</v>
      </c>
      <c r="E63" s="743">
        <f t="shared" si="40"/>
        <v>0</v>
      </c>
      <c r="F63" s="743">
        <f t="shared" si="40"/>
        <v>0</v>
      </c>
      <c r="G63" s="743">
        <f t="shared" si="40"/>
        <v>0</v>
      </c>
      <c r="H63" s="743">
        <f t="shared" si="40"/>
        <v>0</v>
      </c>
      <c r="I63" s="743">
        <f t="shared" si="40"/>
        <v>0</v>
      </c>
      <c r="J63" s="743">
        <f t="shared" si="40"/>
        <v>0</v>
      </c>
      <c r="K63" s="743">
        <f t="shared" si="40"/>
        <v>0</v>
      </c>
      <c r="L63" s="743">
        <f t="shared" si="40"/>
        <v>0</v>
      </c>
      <c r="M63" s="743">
        <f t="shared" si="40"/>
        <v>0</v>
      </c>
      <c r="N63" s="743">
        <f t="shared" si="40"/>
        <v>0</v>
      </c>
      <c r="O63" s="743">
        <f t="shared" si="40"/>
        <v>0</v>
      </c>
      <c r="P63" s="743">
        <f t="shared" si="40"/>
        <v>0</v>
      </c>
      <c r="Q63" s="743">
        <f t="shared" si="40"/>
        <v>0</v>
      </c>
      <c r="R63" s="743">
        <f t="shared" si="40"/>
        <v>0</v>
      </c>
      <c r="S63" s="743">
        <f t="shared" si="40"/>
        <v>0</v>
      </c>
      <c r="T63" s="743">
        <f t="shared" si="40"/>
        <v>0</v>
      </c>
      <c r="U63" s="743">
        <f t="shared" si="40"/>
        <v>0</v>
      </c>
      <c r="V63" s="743">
        <f t="shared" si="40"/>
        <v>0</v>
      </c>
      <c r="W63" s="743">
        <f t="shared" si="40"/>
        <v>0</v>
      </c>
      <c r="X63" s="743">
        <f t="shared" si="40"/>
        <v>0</v>
      </c>
      <c r="Y63" s="743">
        <f t="shared" si="40"/>
        <v>0</v>
      </c>
      <c r="Z63" s="743">
        <f t="shared" si="40"/>
        <v>0</v>
      </c>
      <c r="AA63" s="743">
        <f t="shared" si="40"/>
        <v>0</v>
      </c>
      <c r="AB63" s="743">
        <f t="shared" si="40"/>
        <v>0</v>
      </c>
      <c r="AC63" s="743">
        <f t="shared" si="40"/>
        <v>0</v>
      </c>
      <c r="AD63" s="743">
        <f t="shared" si="40"/>
        <v>0</v>
      </c>
      <c r="AE63" s="743">
        <f t="shared" si="40"/>
        <v>0</v>
      </c>
      <c r="AF63" s="743">
        <f t="shared" si="40"/>
        <v>0</v>
      </c>
      <c r="AG63" s="744">
        <f t="shared" si="40"/>
        <v>0</v>
      </c>
      <c r="AH63" s="762">
        <f t="shared" si="30"/>
        <v>0</v>
      </c>
      <c r="AI63" s="743"/>
      <c r="AJ63" s="760">
        <f t="shared" si="31"/>
        <v>0</v>
      </c>
      <c r="AK63" s="760">
        <f t="shared" si="32"/>
        <v>0</v>
      </c>
      <c r="AL63" s="743"/>
      <c r="AM63" s="744"/>
      <c r="AN63" s="746">
        <f t="shared" si="35"/>
        <v>0</v>
      </c>
      <c r="AO63" s="743">
        <f t="shared" si="36"/>
        <v>0</v>
      </c>
      <c r="AP63" s="747">
        <f t="shared" si="37"/>
        <v>0</v>
      </c>
      <c r="AQ63" s="747" t="e">
        <f t="shared" si="33"/>
        <v>#DIV/0!</v>
      </c>
      <c r="AS63" s="743">
        <f t="shared" si="38"/>
        <v>0</v>
      </c>
    </row>
    <row r="64" spans="1:45">
      <c r="A64" s="742" t="s">
        <v>416</v>
      </c>
      <c r="B64" s="743"/>
      <c r="C64" s="742"/>
      <c r="D64" s="743">
        <f>IF(D59=0,0,D$22)</f>
        <v>0</v>
      </c>
      <c r="E64" s="743">
        <f>IF(E59=0,0,E$22)</f>
        <v>0</v>
      </c>
      <c r="F64" s="743">
        <f>IF(F59=0,0,F$22)</f>
        <v>0</v>
      </c>
      <c r="G64" s="743">
        <f>IF(G59=0,0,G$22)</f>
        <v>0</v>
      </c>
      <c r="H64" s="743">
        <f>IF(H59=0,0,H$22)</f>
        <v>0</v>
      </c>
      <c r="I64" s="743">
        <f t="shared" ref="I64:AG64" si="41">IF(I59=0,0,I$22)</f>
        <v>0</v>
      </c>
      <c r="J64" s="743">
        <f t="shared" si="41"/>
        <v>0</v>
      </c>
      <c r="K64" s="743">
        <f t="shared" si="41"/>
        <v>0</v>
      </c>
      <c r="L64" s="743">
        <f t="shared" si="41"/>
        <v>0</v>
      </c>
      <c r="M64" s="743">
        <f t="shared" si="41"/>
        <v>0</v>
      </c>
      <c r="N64" s="743">
        <f t="shared" si="41"/>
        <v>0</v>
      </c>
      <c r="O64" s="743">
        <f t="shared" si="41"/>
        <v>0</v>
      </c>
      <c r="P64" s="743">
        <f t="shared" si="41"/>
        <v>0</v>
      </c>
      <c r="Q64" s="743">
        <f t="shared" si="41"/>
        <v>0</v>
      </c>
      <c r="R64" s="743">
        <f t="shared" si="41"/>
        <v>0</v>
      </c>
      <c r="S64" s="743">
        <f t="shared" si="41"/>
        <v>0</v>
      </c>
      <c r="T64" s="743">
        <f t="shared" si="41"/>
        <v>0</v>
      </c>
      <c r="U64" s="743">
        <f t="shared" si="41"/>
        <v>0</v>
      </c>
      <c r="V64" s="743">
        <f t="shared" si="41"/>
        <v>0</v>
      </c>
      <c r="W64" s="743">
        <f t="shared" si="41"/>
        <v>0</v>
      </c>
      <c r="X64" s="743">
        <f t="shared" si="41"/>
        <v>0</v>
      </c>
      <c r="Y64" s="743">
        <f t="shared" si="41"/>
        <v>0</v>
      </c>
      <c r="Z64" s="743">
        <f t="shared" si="41"/>
        <v>0</v>
      </c>
      <c r="AA64" s="743">
        <f t="shared" si="41"/>
        <v>0</v>
      </c>
      <c r="AB64" s="743">
        <f t="shared" si="41"/>
        <v>0</v>
      </c>
      <c r="AC64" s="743">
        <f t="shared" si="41"/>
        <v>0</v>
      </c>
      <c r="AD64" s="743">
        <f t="shared" si="41"/>
        <v>0</v>
      </c>
      <c r="AE64" s="743">
        <f t="shared" si="41"/>
        <v>0</v>
      </c>
      <c r="AF64" s="743">
        <f t="shared" si="41"/>
        <v>0</v>
      </c>
      <c r="AG64" s="744">
        <f t="shared" si="41"/>
        <v>0</v>
      </c>
      <c r="AH64" s="762">
        <f t="shared" si="30"/>
        <v>0</v>
      </c>
      <c r="AI64" s="743"/>
      <c r="AJ64" s="760">
        <f t="shared" si="31"/>
        <v>0</v>
      </c>
      <c r="AK64" s="760">
        <f t="shared" si="32"/>
        <v>0</v>
      </c>
      <c r="AL64" s="743"/>
      <c r="AM64" s="744"/>
      <c r="AN64" s="746">
        <f t="shared" si="35"/>
        <v>0</v>
      </c>
      <c r="AO64" s="743">
        <f t="shared" si="36"/>
        <v>0</v>
      </c>
      <c r="AP64" s="747">
        <f t="shared" si="37"/>
        <v>0</v>
      </c>
      <c r="AQ64" s="747" t="e">
        <f t="shared" si="33"/>
        <v>#DIV/0!</v>
      </c>
      <c r="AS64" s="743">
        <f t="shared" si="38"/>
        <v>0</v>
      </c>
    </row>
    <row r="65" spans="1:45">
      <c r="A65" s="742" t="s">
        <v>465</v>
      </c>
      <c r="B65" s="743"/>
      <c r="C65" s="742"/>
      <c r="D65" s="743">
        <f t="shared" ref="D65:AG65" si="42">IF(D59=0,0,D$23)</f>
        <v>0</v>
      </c>
      <c r="E65" s="743">
        <f t="shared" si="42"/>
        <v>0</v>
      </c>
      <c r="F65" s="743">
        <f t="shared" si="42"/>
        <v>0</v>
      </c>
      <c r="G65" s="743">
        <f t="shared" si="42"/>
        <v>0</v>
      </c>
      <c r="H65" s="743">
        <f t="shared" si="42"/>
        <v>0</v>
      </c>
      <c r="I65" s="743">
        <f t="shared" si="42"/>
        <v>0</v>
      </c>
      <c r="J65" s="743">
        <f t="shared" si="42"/>
        <v>0</v>
      </c>
      <c r="K65" s="743">
        <f t="shared" si="42"/>
        <v>0</v>
      </c>
      <c r="L65" s="743">
        <f t="shared" si="42"/>
        <v>0</v>
      </c>
      <c r="M65" s="743">
        <f t="shared" si="42"/>
        <v>0</v>
      </c>
      <c r="N65" s="743">
        <f t="shared" si="42"/>
        <v>0</v>
      </c>
      <c r="O65" s="743">
        <f t="shared" si="42"/>
        <v>0</v>
      </c>
      <c r="P65" s="743">
        <f t="shared" si="42"/>
        <v>0</v>
      </c>
      <c r="Q65" s="743">
        <f t="shared" si="42"/>
        <v>0</v>
      </c>
      <c r="R65" s="743">
        <f t="shared" si="42"/>
        <v>0</v>
      </c>
      <c r="S65" s="743">
        <f t="shared" si="42"/>
        <v>0</v>
      </c>
      <c r="T65" s="743">
        <f t="shared" si="42"/>
        <v>0</v>
      </c>
      <c r="U65" s="743">
        <f t="shared" si="42"/>
        <v>0</v>
      </c>
      <c r="V65" s="743">
        <f t="shared" si="42"/>
        <v>0</v>
      </c>
      <c r="W65" s="743">
        <f t="shared" si="42"/>
        <v>0</v>
      </c>
      <c r="X65" s="743">
        <f t="shared" si="42"/>
        <v>0</v>
      </c>
      <c r="Y65" s="743">
        <f t="shared" si="42"/>
        <v>0</v>
      </c>
      <c r="Z65" s="743">
        <f t="shared" si="42"/>
        <v>0</v>
      </c>
      <c r="AA65" s="743">
        <f t="shared" si="42"/>
        <v>0</v>
      </c>
      <c r="AB65" s="743">
        <f t="shared" si="42"/>
        <v>0</v>
      </c>
      <c r="AC65" s="743">
        <f t="shared" si="42"/>
        <v>0</v>
      </c>
      <c r="AD65" s="743">
        <f t="shared" si="42"/>
        <v>0</v>
      </c>
      <c r="AE65" s="743">
        <f t="shared" si="42"/>
        <v>0</v>
      </c>
      <c r="AF65" s="743">
        <f t="shared" si="42"/>
        <v>0</v>
      </c>
      <c r="AG65" s="744">
        <f t="shared" si="42"/>
        <v>0</v>
      </c>
      <c r="AH65" s="762">
        <f t="shared" si="30"/>
        <v>0</v>
      </c>
      <c r="AI65" s="743"/>
      <c r="AJ65" s="760">
        <f t="shared" si="31"/>
        <v>0</v>
      </c>
      <c r="AK65" s="760">
        <f t="shared" si="32"/>
        <v>0</v>
      </c>
      <c r="AL65" s="743"/>
      <c r="AM65" s="744"/>
      <c r="AN65" s="746">
        <f t="shared" si="35"/>
        <v>0</v>
      </c>
      <c r="AO65" s="743">
        <f t="shared" si="36"/>
        <v>0</v>
      </c>
      <c r="AP65" s="747">
        <f t="shared" si="37"/>
        <v>0</v>
      </c>
      <c r="AQ65" s="747" t="e">
        <f t="shared" si="33"/>
        <v>#DIV/0!</v>
      </c>
      <c r="AS65" s="743">
        <f t="shared" si="38"/>
        <v>0</v>
      </c>
    </row>
    <row r="66" spans="1:45">
      <c r="A66" s="742" t="s">
        <v>419</v>
      </c>
      <c r="B66" s="743"/>
      <c r="C66" s="742"/>
      <c r="D66" s="743">
        <f t="shared" ref="D66:AG66" si="43">IF(D59=0,0,D$24)</f>
        <v>0</v>
      </c>
      <c r="E66" s="743">
        <f t="shared" si="43"/>
        <v>0</v>
      </c>
      <c r="F66" s="743">
        <f t="shared" si="43"/>
        <v>0</v>
      </c>
      <c r="G66" s="743">
        <f t="shared" si="43"/>
        <v>0</v>
      </c>
      <c r="H66" s="743">
        <f t="shared" si="43"/>
        <v>0</v>
      </c>
      <c r="I66" s="743">
        <f t="shared" si="43"/>
        <v>0</v>
      </c>
      <c r="J66" s="743">
        <f t="shared" si="43"/>
        <v>0</v>
      </c>
      <c r="K66" s="743">
        <f t="shared" si="43"/>
        <v>0</v>
      </c>
      <c r="L66" s="743">
        <f t="shared" si="43"/>
        <v>0</v>
      </c>
      <c r="M66" s="743">
        <f t="shared" si="43"/>
        <v>0</v>
      </c>
      <c r="N66" s="743">
        <f t="shared" si="43"/>
        <v>0</v>
      </c>
      <c r="O66" s="743">
        <f t="shared" si="43"/>
        <v>0</v>
      </c>
      <c r="P66" s="743">
        <f t="shared" si="43"/>
        <v>0</v>
      </c>
      <c r="Q66" s="743">
        <f t="shared" si="43"/>
        <v>0</v>
      </c>
      <c r="R66" s="743">
        <f t="shared" si="43"/>
        <v>0</v>
      </c>
      <c r="S66" s="743">
        <f t="shared" si="43"/>
        <v>0</v>
      </c>
      <c r="T66" s="743">
        <f t="shared" si="43"/>
        <v>0</v>
      </c>
      <c r="U66" s="743">
        <f t="shared" si="43"/>
        <v>0</v>
      </c>
      <c r="V66" s="743">
        <f t="shared" si="43"/>
        <v>0</v>
      </c>
      <c r="W66" s="743">
        <f t="shared" si="43"/>
        <v>0</v>
      </c>
      <c r="X66" s="743">
        <f t="shared" si="43"/>
        <v>0</v>
      </c>
      <c r="Y66" s="743">
        <f t="shared" si="43"/>
        <v>0</v>
      </c>
      <c r="Z66" s="743">
        <f t="shared" si="43"/>
        <v>0</v>
      </c>
      <c r="AA66" s="743">
        <f t="shared" si="43"/>
        <v>0</v>
      </c>
      <c r="AB66" s="743">
        <f t="shared" si="43"/>
        <v>0</v>
      </c>
      <c r="AC66" s="743">
        <f t="shared" si="43"/>
        <v>0</v>
      </c>
      <c r="AD66" s="743">
        <f t="shared" si="43"/>
        <v>0</v>
      </c>
      <c r="AE66" s="743">
        <f t="shared" si="43"/>
        <v>0</v>
      </c>
      <c r="AF66" s="743">
        <f t="shared" si="43"/>
        <v>0</v>
      </c>
      <c r="AG66" s="744">
        <f t="shared" si="43"/>
        <v>0</v>
      </c>
      <c r="AH66" s="762">
        <f t="shared" si="30"/>
        <v>0</v>
      </c>
      <c r="AI66" s="743"/>
      <c r="AJ66" s="760">
        <f t="shared" si="31"/>
        <v>0</v>
      </c>
      <c r="AK66" s="760">
        <f t="shared" si="32"/>
        <v>0</v>
      </c>
      <c r="AL66" s="743"/>
      <c r="AM66" s="744"/>
      <c r="AN66" s="746">
        <f t="shared" si="35"/>
        <v>0</v>
      </c>
      <c r="AO66" s="743">
        <f t="shared" si="36"/>
        <v>0</v>
      </c>
      <c r="AP66" s="747">
        <f t="shared" si="37"/>
        <v>0</v>
      </c>
      <c r="AQ66" s="747" t="e">
        <f t="shared" si="33"/>
        <v>#DIV/0!</v>
      </c>
      <c r="AS66" s="743">
        <f t="shared" si="38"/>
        <v>0</v>
      </c>
    </row>
    <row r="67" spans="1:45">
      <c r="AH67" s="766"/>
      <c r="AI67" s="767"/>
      <c r="AJ67" s="767"/>
      <c r="AK67" s="767"/>
      <c r="AL67" s="767"/>
      <c r="AM67" s="767"/>
      <c r="AN67" s="766"/>
      <c r="AO67" s="767"/>
      <c r="AP67" s="768"/>
      <c r="AQ67" s="768"/>
    </row>
    <row r="68" spans="1:45">
      <c r="A68" s="760" t="s">
        <v>472</v>
      </c>
      <c r="B68" s="774">
        <v>47256.337493999999</v>
      </c>
      <c r="C68" s="759" t="s">
        <v>85</v>
      </c>
      <c r="D68" s="760"/>
      <c r="E68" s="760"/>
      <c r="F68" s="760"/>
      <c r="G68" s="760"/>
      <c r="H68" s="760"/>
      <c r="I68" s="760"/>
      <c r="J68" s="760"/>
      <c r="K68" s="760"/>
      <c r="L68" s="760"/>
      <c r="M68" s="760"/>
      <c r="N68" s="760"/>
      <c r="O68" s="760"/>
      <c r="P68" s="760"/>
      <c r="Q68" s="760"/>
      <c r="R68" s="760"/>
      <c r="S68" s="760"/>
      <c r="T68" s="760"/>
      <c r="U68" s="760"/>
      <c r="V68" s="760"/>
      <c r="W68" s="760"/>
      <c r="X68" s="760"/>
      <c r="Y68" s="760"/>
      <c r="Z68" s="760"/>
      <c r="AA68" s="760"/>
      <c r="AB68" s="760"/>
      <c r="AC68" s="760"/>
      <c r="AD68" s="760"/>
      <c r="AE68" s="760"/>
      <c r="AF68" s="760"/>
      <c r="AG68" s="761"/>
      <c r="AH68" s="762">
        <f>G68</f>
        <v>0</v>
      </c>
      <c r="AI68" s="760"/>
      <c r="AJ68" s="760">
        <f>K68</f>
        <v>0</v>
      </c>
      <c r="AK68" s="760"/>
      <c r="AL68" s="760">
        <f>F68</f>
        <v>0</v>
      </c>
      <c r="AM68" s="761">
        <f>I68</f>
        <v>0</v>
      </c>
      <c r="AN68" s="765">
        <f>SUM(AH68:AI68)</f>
        <v>0</v>
      </c>
      <c r="AO68" s="760">
        <f>SUM(AJ68:AK68)</f>
        <v>0</v>
      </c>
      <c r="AP68" s="764">
        <f>SUM(AL68:AM68)</f>
        <v>0</v>
      </c>
      <c r="AQ68" s="764">
        <f>SUM(D68:AG68)</f>
        <v>0</v>
      </c>
      <c r="AS68" s="731">
        <f>SUM(AN68:AP68)</f>
        <v>0</v>
      </c>
    </row>
    <row r="69" spans="1:45">
      <c r="A69" s="742" t="s">
        <v>460</v>
      </c>
      <c r="B69" s="760"/>
      <c r="C69" s="759"/>
      <c r="D69" s="743">
        <f>IF(D68=0,0,D$18)</f>
        <v>0</v>
      </c>
      <c r="E69" s="743">
        <f>IF(E68=0,0,E$18)</f>
        <v>0</v>
      </c>
      <c r="F69" s="743">
        <f>IF(F68=0,0,F$18)</f>
        <v>0</v>
      </c>
      <c r="G69" s="743">
        <f>IF(G68=0,0,G$18)</f>
        <v>0</v>
      </c>
      <c r="H69" s="743">
        <f>IF(H68=0,0,H$18)</f>
        <v>0</v>
      </c>
      <c r="I69" s="743">
        <f t="shared" ref="I69:AG69" si="44">IF(I68=0,0,I$18)</f>
        <v>0</v>
      </c>
      <c r="J69" s="743">
        <f t="shared" si="44"/>
        <v>0</v>
      </c>
      <c r="K69" s="743">
        <f t="shared" si="44"/>
        <v>0</v>
      </c>
      <c r="L69" s="743">
        <f t="shared" si="44"/>
        <v>0</v>
      </c>
      <c r="M69" s="743">
        <f t="shared" si="44"/>
        <v>0</v>
      </c>
      <c r="N69" s="743">
        <f t="shared" si="44"/>
        <v>0</v>
      </c>
      <c r="O69" s="743">
        <f t="shared" si="44"/>
        <v>0</v>
      </c>
      <c r="P69" s="743">
        <f t="shared" si="44"/>
        <v>0</v>
      </c>
      <c r="Q69" s="743">
        <f t="shared" si="44"/>
        <v>0</v>
      </c>
      <c r="R69" s="743">
        <f t="shared" si="44"/>
        <v>0</v>
      </c>
      <c r="S69" s="743">
        <f t="shared" si="44"/>
        <v>0</v>
      </c>
      <c r="T69" s="743">
        <f t="shared" si="44"/>
        <v>0</v>
      </c>
      <c r="U69" s="743">
        <f t="shared" si="44"/>
        <v>0</v>
      </c>
      <c r="V69" s="743">
        <f t="shared" si="44"/>
        <v>0</v>
      </c>
      <c r="W69" s="743">
        <f t="shared" si="44"/>
        <v>0</v>
      </c>
      <c r="X69" s="743">
        <f t="shared" si="44"/>
        <v>0</v>
      </c>
      <c r="Y69" s="743">
        <f t="shared" si="44"/>
        <v>0</v>
      </c>
      <c r="Z69" s="743">
        <f t="shared" si="44"/>
        <v>0</v>
      </c>
      <c r="AA69" s="743">
        <f t="shared" si="44"/>
        <v>0</v>
      </c>
      <c r="AB69" s="743">
        <f t="shared" si="44"/>
        <v>0</v>
      </c>
      <c r="AC69" s="743">
        <f t="shared" si="44"/>
        <v>0</v>
      </c>
      <c r="AD69" s="743">
        <f t="shared" si="44"/>
        <v>0</v>
      </c>
      <c r="AE69" s="743">
        <f t="shared" si="44"/>
        <v>0</v>
      </c>
      <c r="AF69" s="743">
        <f t="shared" si="44"/>
        <v>0</v>
      </c>
      <c r="AG69" s="744">
        <f t="shared" si="44"/>
        <v>0</v>
      </c>
      <c r="AH69" s="762">
        <f t="shared" ref="AH69:AH75" si="45">G69</f>
        <v>0</v>
      </c>
      <c r="AI69" s="743"/>
      <c r="AJ69" s="760">
        <f t="shared" ref="AJ69:AJ75" si="46">K69</f>
        <v>0</v>
      </c>
      <c r="AK69" s="743"/>
      <c r="AL69" s="760">
        <f t="shared" ref="AL69:AL75" si="47">F69</f>
        <v>0</v>
      </c>
      <c r="AM69" s="761">
        <f t="shared" ref="AM69:AM75" si="48">I69</f>
        <v>0</v>
      </c>
      <c r="AN69" s="746">
        <f>IF(AN$68=0,0,SUMPRODUCT(AH$68:AI$68,AH69:AI69)/AN$68)</f>
        <v>0</v>
      </c>
      <c r="AO69" s="743">
        <f>IF(AO$68=0,0,SUMPRODUCT(AJ$68:AK$68,AJ69:AK69)/AO$68)</f>
        <v>0</v>
      </c>
      <c r="AP69" s="747">
        <f>IF(AP$68=0,0,SUMPRODUCT(AL$68:AM$68,AL69:AM69)/AP$68)</f>
        <v>0</v>
      </c>
      <c r="AQ69" s="747" t="e">
        <f t="shared" ref="AQ69:AQ75" si="49">SUMPRODUCT(D$68:AG$68,D69:AG69)/AQ$68</f>
        <v>#DIV/0!</v>
      </c>
      <c r="AS69" s="743">
        <f>IF(AS$68=0,0,SUMPRODUCT(AN$68:AP$68,AN69:AP69)/AS$68)</f>
        <v>0</v>
      </c>
    </row>
    <row r="70" spans="1:45">
      <c r="A70" s="742" t="s">
        <v>462</v>
      </c>
      <c r="B70" s="743"/>
      <c r="C70" s="742"/>
      <c r="D70" s="743">
        <f t="shared" ref="D70:AG70" si="50">IF(D68=0,0,D$19)</f>
        <v>0</v>
      </c>
      <c r="E70" s="743">
        <f t="shared" si="50"/>
        <v>0</v>
      </c>
      <c r="F70" s="743">
        <f t="shared" si="50"/>
        <v>0</v>
      </c>
      <c r="G70" s="743">
        <f t="shared" si="50"/>
        <v>0</v>
      </c>
      <c r="H70" s="743">
        <f t="shared" si="50"/>
        <v>0</v>
      </c>
      <c r="I70" s="743">
        <f t="shared" si="50"/>
        <v>0</v>
      </c>
      <c r="J70" s="743">
        <f t="shared" si="50"/>
        <v>0</v>
      </c>
      <c r="K70" s="743">
        <f t="shared" si="50"/>
        <v>0</v>
      </c>
      <c r="L70" s="743">
        <f t="shared" si="50"/>
        <v>0</v>
      </c>
      <c r="M70" s="743">
        <f t="shared" si="50"/>
        <v>0</v>
      </c>
      <c r="N70" s="743">
        <f t="shared" si="50"/>
        <v>0</v>
      </c>
      <c r="O70" s="743">
        <f t="shared" si="50"/>
        <v>0</v>
      </c>
      <c r="P70" s="743">
        <f t="shared" si="50"/>
        <v>0</v>
      </c>
      <c r="Q70" s="743">
        <f t="shared" si="50"/>
        <v>0</v>
      </c>
      <c r="R70" s="743">
        <f t="shared" si="50"/>
        <v>0</v>
      </c>
      <c r="S70" s="743">
        <f t="shared" si="50"/>
        <v>0</v>
      </c>
      <c r="T70" s="743">
        <f t="shared" si="50"/>
        <v>0</v>
      </c>
      <c r="U70" s="743">
        <f t="shared" si="50"/>
        <v>0</v>
      </c>
      <c r="V70" s="743">
        <f t="shared" si="50"/>
        <v>0</v>
      </c>
      <c r="W70" s="743">
        <f t="shared" si="50"/>
        <v>0</v>
      </c>
      <c r="X70" s="743">
        <f t="shared" si="50"/>
        <v>0</v>
      </c>
      <c r="Y70" s="743">
        <f t="shared" si="50"/>
        <v>0</v>
      </c>
      <c r="Z70" s="743">
        <f t="shared" si="50"/>
        <v>0</v>
      </c>
      <c r="AA70" s="743">
        <f t="shared" si="50"/>
        <v>0</v>
      </c>
      <c r="AB70" s="743">
        <f t="shared" si="50"/>
        <v>0</v>
      </c>
      <c r="AC70" s="743">
        <f t="shared" si="50"/>
        <v>0</v>
      </c>
      <c r="AD70" s="743">
        <f t="shared" si="50"/>
        <v>0</v>
      </c>
      <c r="AE70" s="743">
        <f t="shared" si="50"/>
        <v>0</v>
      </c>
      <c r="AF70" s="743">
        <f t="shared" si="50"/>
        <v>0</v>
      </c>
      <c r="AG70" s="744">
        <f t="shared" si="50"/>
        <v>0</v>
      </c>
      <c r="AH70" s="762">
        <f t="shared" si="45"/>
        <v>0</v>
      </c>
      <c r="AI70" s="743"/>
      <c r="AJ70" s="760">
        <f t="shared" si="46"/>
        <v>0</v>
      </c>
      <c r="AK70" s="743"/>
      <c r="AL70" s="760">
        <f t="shared" si="47"/>
        <v>0</v>
      </c>
      <c r="AM70" s="761">
        <f t="shared" si="48"/>
        <v>0</v>
      </c>
      <c r="AN70" s="746">
        <f t="shared" ref="AN70:AN75" si="51">IF(AN$68=0,0,SUMPRODUCT(AH$68:AI$68,AH70:AI70)/AN$68)</f>
        <v>0</v>
      </c>
      <c r="AO70" s="743">
        <f t="shared" ref="AO70:AO75" si="52">IF(AO$68=0,0,SUMPRODUCT(AJ$68:AK$68,AJ70:AK70)/AO$68)</f>
        <v>0</v>
      </c>
      <c r="AP70" s="747">
        <f t="shared" ref="AP70:AP75" si="53">IF(AP$68=0,0,SUMPRODUCT(AL$68:AM$68,AL70:AM70)/AP$68)</f>
        <v>0</v>
      </c>
      <c r="AQ70" s="747" t="e">
        <f t="shared" si="49"/>
        <v>#DIV/0!</v>
      </c>
      <c r="AS70" s="743">
        <f t="shared" ref="AS70:AS75" si="54">IF(AS$68=0,0,SUMPRODUCT(AN$68:AP$68,AN70:AP70)/AS$68)</f>
        <v>0</v>
      </c>
    </row>
    <row r="71" spans="1:45">
      <c r="A71" s="742" t="s">
        <v>420</v>
      </c>
      <c r="B71" s="743"/>
      <c r="C71" s="742"/>
      <c r="D71" s="743">
        <f t="shared" ref="D71:AG71" si="55">IF(D68=0,0,D$20)</f>
        <v>0</v>
      </c>
      <c r="E71" s="743">
        <f t="shared" si="55"/>
        <v>0</v>
      </c>
      <c r="F71" s="743">
        <f t="shared" si="55"/>
        <v>0</v>
      </c>
      <c r="G71" s="743">
        <f t="shared" si="55"/>
        <v>0</v>
      </c>
      <c r="H71" s="743">
        <f t="shared" si="55"/>
        <v>0</v>
      </c>
      <c r="I71" s="743">
        <f t="shared" si="55"/>
        <v>0</v>
      </c>
      <c r="J71" s="743">
        <f t="shared" si="55"/>
        <v>0</v>
      </c>
      <c r="K71" s="743">
        <f t="shared" si="55"/>
        <v>0</v>
      </c>
      <c r="L71" s="743">
        <f t="shared" si="55"/>
        <v>0</v>
      </c>
      <c r="M71" s="743">
        <f t="shared" si="55"/>
        <v>0</v>
      </c>
      <c r="N71" s="743">
        <f t="shared" si="55"/>
        <v>0</v>
      </c>
      <c r="O71" s="743">
        <f t="shared" si="55"/>
        <v>0</v>
      </c>
      <c r="P71" s="743">
        <f t="shared" si="55"/>
        <v>0</v>
      </c>
      <c r="Q71" s="743">
        <f t="shared" si="55"/>
        <v>0</v>
      </c>
      <c r="R71" s="743">
        <f t="shared" si="55"/>
        <v>0</v>
      </c>
      <c r="S71" s="743">
        <f t="shared" si="55"/>
        <v>0</v>
      </c>
      <c r="T71" s="743">
        <f t="shared" si="55"/>
        <v>0</v>
      </c>
      <c r="U71" s="743">
        <f t="shared" si="55"/>
        <v>0</v>
      </c>
      <c r="V71" s="743">
        <f t="shared" si="55"/>
        <v>0</v>
      </c>
      <c r="W71" s="743">
        <f t="shared" si="55"/>
        <v>0</v>
      </c>
      <c r="X71" s="743">
        <f t="shared" si="55"/>
        <v>0</v>
      </c>
      <c r="Y71" s="743">
        <f t="shared" si="55"/>
        <v>0</v>
      </c>
      <c r="Z71" s="743">
        <f t="shared" si="55"/>
        <v>0</v>
      </c>
      <c r="AA71" s="743">
        <f t="shared" si="55"/>
        <v>0</v>
      </c>
      <c r="AB71" s="743">
        <f t="shared" si="55"/>
        <v>0</v>
      </c>
      <c r="AC71" s="743">
        <f t="shared" si="55"/>
        <v>0</v>
      </c>
      <c r="AD71" s="743">
        <f t="shared" si="55"/>
        <v>0</v>
      </c>
      <c r="AE71" s="743">
        <f t="shared" si="55"/>
        <v>0</v>
      </c>
      <c r="AF71" s="743">
        <f t="shared" si="55"/>
        <v>0</v>
      </c>
      <c r="AG71" s="744">
        <f t="shared" si="55"/>
        <v>0</v>
      </c>
      <c r="AH71" s="762">
        <f t="shared" si="45"/>
        <v>0</v>
      </c>
      <c r="AI71" s="743"/>
      <c r="AJ71" s="760">
        <f t="shared" si="46"/>
        <v>0</v>
      </c>
      <c r="AK71" s="743"/>
      <c r="AL71" s="760">
        <f t="shared" si="47"/>
        <v>0</v>
      </c>
      <c r="AM71" s="761">
        <f t="shared" si="48"/>
        <v>0</v>
      </c>
      <c r="AN71" s="746">
        <f t="shared" si="51"/>
        <v>0</v>
      </c>
      <c r="AO71" s="743">
        <f t="shared" si="52"/>
        <v>0</v>
      </c>
      <c r="AP71" s="747">
        <f t="shared" si="53"/>
        <v>0</v>
      </c>
      <c r="AQ71" s="747" t="e">
        <f t="shared" si="49"/>
        <v>#DIV/0!</v>
      </c>
      <c r="AS71" s="743">
        <f t="shared" si="54"/>
        <v>0</v>
      </c>
    </row>
    <row r="72" spans="1:45">
      <c r="A72" s="742" t="s">
        <v>464</v>
      </c>
      <c r="B72" s="743"/>
      <c r="C72" s="742"/>
      <c r="D72" s="743">
        <f t="shared" ref="D72:AG72" si="56">IF(D68=0,0,D$21)</f>
        <v>0</v>
      </c>
      <c r="E72" s="743">
        <f t="shared" si="56"/>
        <v>0</v>
      </c>
      <c r="F72" s="743">
        <f t="shared" si="56"/>
        <v>0</v>
      </c>
      <c r="G72" s="743">
        <f t="shared" si="56"/>
        <v>0</v>
      </c>
      <c r="H72" s="743">
        <f t="shared" si="56"/>
        <v>0</v>
      </c>
      <c r="I72" s="743">
        <f t="shared" si="56"/>
        <v>0</v>
      </c>
      <c r="J72" s="743">
        <f t="shared" si="56"/>
        <v>0</v>
      </c>
      <c r="K72" s="743">
        <f t="shared" si="56"/>
        <v>0</v>
      </c>
      <c r="L72" s="743">
        <f t="shared" si="56"/>
        <v>0</v>
      </c>
      <c r="M72" s="743">
        <f t="shared" si="56"/>
        <v>0</v>
      </c>
      <c r="N72" s="743">
        <f t="shared" si="56"/>
        <v>0</v>
      </c>
      <c r="O72" s="743">
        <f t="shared" si="56"/>
        <v>0</v>
      </c>
      <c r="P72" s="743">
        <f t="shared" si="56"/>
        <v>0</v>
      </c>
      <c r="Q72" s="743">
        <f t="shared" si="56"/>
        <v>0</v>
      </c>
      <c r="R72" s="743">
        <f t="shared" si="56"/>
        <v>0</v>
      </c>
      <c r="S72" s="743">
        <f t="shared" si="56"/>
        <v>0</v>
      </c>
      <c r="T72" s="743">
        <f t="shared" si="56"/>
        <v>0</v>
      </c>
      <c r="U72" s="743">
        <f t="shared" si="56"/>
        <v>0</v>
      </c>
      <c r="V72" s="743">
        <f t="shared" si="56"/>
        <v>0</v>
      </c>
      <c r="W72" s="743">
        <f t="shared" si="56"/>
        <v>0</v>
      </c>
      <c r="X72" s="743">
        <f t="shared" si="56"/>
        <v>0</v>
      </c>
      <c r="Y72" s="743">
        <f t="shared" si="56"/>
        <v>0</v>
      </c>
      <c r="Z72" s="743">
        <f t="shared" si="56"/>
        <v>0</v>
      </c>
      <c r="AA72" s="743">
        <f t="shared" si="56"/>
        <v>0</v>
      </c>
      <c r="AB72" s="743">
        <f t="shared" si="56"/>
        <v>0</v>
      </c>
      <c r="AC72" s="743">
        <f t="shared" si="56"/>
        <v>0</v>
      </c>
      <c r="AD72" s="743">
        <f t="shared" si="56"/>
        <v>0</v>
      </c>
      <c r="AE72" s="743">
        <f t="shared" si="56"/>
        <v>0</v>
      </c>
      <c r="AF72" s="743">
        <f t="shared" si="56"/>
        <v>0</v>
      </c>
      <c r="AG72" s="744">
        <f t="shared" si="56"/>
        <v>0</v>
      </c>
      <c r="AH72" s="762">
        <f t="shared" si="45"/>
        <v>0</v>
      </c>
      <c r="AI72" s="743"/>
      <c r="AJ72" s="760">
        <f t="shared" si="46"/>
        <v>0</v>
      </c>
      <c r="AK72" s="743"/>
      <c r="AL72" s="760">
        <f t="shared" si="47"/>
        <v>0</v>
      </c>
      <c r="AM72" s="761">
        <f t="shared" si="48"/>
        <v>0</v>
      </c>
      <c r="AN72" s="746">
        <f t="shared" si="51"/>
        <v>0</v>
      </c>
      <c r="AO72" s="743">
        <f t="shared" si="52"/>
        <v>0</v>
      </c>
      <c r="AP72" s="747">
        <f t="shared" si="53"/>
        <v>0</v>
      </c>
      <c r="AQ72" s="747" t="e">
        <f t="shared" si="49"/>
        <v>#DIV/0!</v>
      </c>
      <c r="AS72" s="743">
        <f t="shared" si="54"/>
        <v>0</v>
      </c>
    </row>
    <row r="73" spans="1:45">
      <c r="A73" s="742" t="s">
        <v>416</v>
      </c>
      <c r="B73" s="743"/>
      <c r="C73" s="742"/>
      <c r="D73" s="743">
        <f>IF(D68=0,0,D$22)</f>
        <v>0</v>
      </c>
      <c r="E73" s="743">
        <f>IF(E68=0,0,E$22)</f>
        <v>0</v>
      </c>
      <c r="F73" s="743">
        <f>IF(F68=0,0,F$22)</f>
        <v>0</v>
      </c>
      <c r="G73" s="743">
        <f>IF(G68=0,0,G$22)</f>
        <v>0</v>
      </c>
      <c r="H73" s="743">
        <f>IF(H68=0,0,H$22)</f>
        <v>0</v>
      </c>
      <c r="I73" s="743">
        <f t="shared" ref="I73:AG73" si="57">IF(I68=0,0,I$22)</f>
        <v>0</v>
      </c>
      <c r="J73" s="743">
        <f t="shared" si="57"/>
        <v>0</v>
      </c>
      <c r="K73" s="743">
        <f t="shared" si="57"/>
        <v>0</v>
      </c>
      <c r="L73" s="743">
        <f t="shared" si="57"/>
        <v>0</v>
      </c>
      <c r="M73" s="743">
        <f t="shared" si="57"/>
        <v>0</v>
      </c>
      <c r="N73" s="743">
        <f t="shared" si="57"/>
        <v>0</v>
      </c>
      <c r="O73" s="743">
        <f t="shared" si="57"/>
        <v>0</v>
      </c>
      <c r="P73" s="743">
        <f t="shared" si="57"/>
        <v>0</v>
      </c>
      <c r="Q73" s="743">
        <f t="shared" si="57"/>
        <v>0</v>
      </c>
      <c r="R73" s="743">
        <f t="shared" si="57"/>
        <v>0</v>
      </c>
      <c r="S73" s="743">
        <f t="shared" si="57"/>
        <v>0</v>
      </c>
      <c r="T73" s="743">
        <f t="shared" si="57"/>
        <v>0</v>
      </c>
      <c r="U73" s="743">
        <f t="shared" si="57"/>
        <v>0</v>
      </c>
      <c r="V73" s="743">
        <f t="shared" si="57"/>
        <v>0</v>
      </c>
      <c r="W73" s="743">
        <f t="shared" si="57"/>
        <v>0</v>
      </c>
      <c r="X73" s="743">
        <f t="shared" si="57"/>
        <v>0</v>
      </c>
      <c r="Y73" s="743">
        <f t="shared" si="57"/>
        <v>0</v>
      </c>
      <c r="Z73" s="743">
        <f t="shared" si="57"/>
        <v>0</v>
      </c>
      <c r="AA73" s="743">
        <f t="shared" si="57"/>
        <v>0</v>
      </c>
      <c r="AB73" s="743">
        <f t="shared" si="57"/>
        <v>0</v>
      </c>
      <c r="AC73" s="743">
        <f t="shared" si="57"/>
        <v>0</v>
      </c>
      <c r="AD73" s="743">
        <f t="shared" si="57"/>
        <v>0</v>
      </c>
      <c r="AE73" s="743">
        <f t="shared" si="57"/>
        <v>0</v>
      </c>
      <c r="AF73" s="743">
        <f t="shared" si="57"/>
        <v>0</v>
      </c>
      <c r="AG73" s="744">
        <f t="shared" si="57"/>
        <v>0</v>
      </c>
      <c r="AH73" s="762">
        <f t="shared" si="45"/>
        <v>0</v>
      </c>
      <c r="AI73" s="743"/>
      <c r="AJ73" s="760">
        <f t="shared" si="46"/>
        <v>0</v>
      </c>
      <c r="AK73" s="743"/>
      <c r="AL73" s="760">
        <f t="shared" si="47"/>
        <v>0</v>
      </c>
      <c r="AM73" s="761">
        <f t="shared" si="48"/>
        <v>0</v>
      </c>
      <c r="AN73" s="746">
        <f t="shared" si="51"/>
        <v>0</v>
      </c>
      <c r="AO73" s="743">
        <f t="shared" si="52"/>
        <v>0</v>
      </c>
      <c r="AP73" s="747">
        <f t="shared" si="53"/>
        <v>0</v>
      </c>
      <c r="AQ73" s="747" t="e">
        <f t="shared" si="49"/>
        <v>#DIV/0!</v>
      </c>
      <c r="AS73" s="743">
        <f t="shared" si="54"/>
        <v>0</v>
      </c>
    </row>
    <row r="74" spans="1:45">
      <c r="A74" s="742" t="s">
        <v>465</v>
      </c>
      <c r="B74" s="743"/>
      <c r="C74" s="742"/>
      <c r="D74" s="743">
        <f t="shared" ref="D74:AG74" si="58">IF(D68=0,0,D$23)</f>
        <v>0</v>
      </c>
      <c r="E74" s="743">
        <f t="shared" si="58"/>
        <v>0</v>
      </c>
      <c r="F74" s="743">
        <f t="shared" si="58"/>
        <v>0</v>
      </c>
      <c r="G74" s="743">
        <f t="shared" si="58"/>
        <v>0</v>
      </c>
      <c r="H74" s="743">
        <f t="shared" si="58"/>
        <v>0</v>
      </c>
      <c r="I74" s="743">
        <f t="shared" si="58"/>
        <v>0</v>
      </c>
      <c r="J74" s="743">
        <f t="shared" si="58"/>
        <v>0</v>
      </c>
      <c r="K74" s="743">
        <f t="shared" si="58"/>
        <v>0</v>
      </c>
      <c r="L74" s="743">
        <f t="shared" si="58"/>
        <v>0</v>
      </c>
      <c r="M74" s="743">
        <f t="shared" si="58"/>
        <v>0</v>
      </c>
      <c r="N74" s="743">
        <f t="shared" si="58"/>
        <v>0</v>
      </c>
      <c r="O74" s="743">
        <f t="shared" si="58"/>
        <v>0</v>
      </c>
      <c r="P74" s="743">
        <f t="shared" si="58"/>
        <v>0</v>
      </c>
      <c r="Q74" s="743">
        <f t="shared" si="58"/>
        <v>0</v>
      </c>
      <c r="R74" s="743">
        <f t="shared" si="58"/>
        <v>0</v>
      </c>
      <c r="S74" s="743">
        <f t="shared" si="58"/>
        <v>0</v>
      </c>
      <c r="T74" s="743">
        <f t="shared" si="58"/>
        <v>0</v>
      </c>
      <c r="U74" s="743">
        <f t="shared" si="58"/>
        <v>0</v>
      </c>
      <c r="V74" s="743">
        <f t="shared" si="58"/>
        <v>0</v>
      </c>
      <c r="W74" s="743">
        <f t="shared" si="58"/>
        <v>0</v>
      </c>
      <c r="X74" s="743">
        <f t="shared" si="58"/>
        <v>0</v>
      </c>
      <c r="Y74" s="743">
        <f t="shared" si="58"/>
        <v>0</v>
      </c>
      <c r="Z74" s="743">
        <f t="shared" si="58"/>
        <v>0</v>
      </c>
      <c r="AA74" s="743">
        <f t="shared" si="58"/>
        <v>0</v>
      </c>
      <c r="AB74" s="743">
        <f t="shared" si="58"/>
        <v>0</v>
      </c>
      <c r="AC74" s="743">
        <f t="shared" si="58"/>
        <v>0</v>
      </c>
      <c r="AD74" s="743">
        <f t="shared" si="58"/>
        <v>0</v>
      </c>
      <c r="AE74" s="743">
        <f t="shared" si="58"/>
        <v>0</v>
      </c>
      <c r="AF74" s="743">
        <f t="shared" si="58"/>
        <v>0</v>
      </c>
      <c r="AG74" s="744">
        <f t="shared" si="58"/>
        <v>0</v>
      </c>
      <c r="AH74" s="762">
        <f t="shared" si="45"/>
        <v>0</v>
      </c>
      <c r="AI74" s="743"/>
      <c r="AJ74" s="760">
        <f t="shared" si="46"/>
        <v>0</v>
      </c>
      <c r="AK74" s="743"/>
      <c r="AL74" s="760">
        <f t="shared" si="47"/>
        <v>0</v>
      </c>
      <c r="AM74" s="761">
        <f t="shared" si="48"/>
        <v>0</v>
      </c>
      <c r="AN74" s="746">
        <f t="shared" si="51"/>
        <v>0</v>
      </c>
      <c r="AO74" s="743">
        <f t="shared" si="52"/>
        <v>0</v>
      </c>
      <c r="AP74" s="747">
        <f t="shared" si="53"/>
        <v>0</v>
      </c>
      <c r="AQ74" s="747" t="e">
        <f t="shared" si="49"/>
        <v>#DIV/0!</v>
      </c>
      <c r="AS74" s="743">
        <f t="shared" si="54"/>
        <v>0</v>
      </c>
    </row>
    <row r="75" spans="1:45">
      <c r="A75" s="742" t="s">
        <v>419</v>
      </c>
      <c r="B75" s="743"/>
      <c r="C75" s="742"/>
      <c r="D75" s="743">
        <f t="shared" ref="D75:AG75" si="59">IF(D68=0,0,D$24)</f>
        <v>0</v>
      </c>
      <c r="E75" s="743">
        <f t="shared" si="59"/>
        <v>0</v>
      </c>
      <c r="F75" s="743">
        <f t="shared" si="59"/>
        <v>0</v>
      </c>
      <c r="G75" s="743">
        <f t="shared" si="59"/>
        <v>0</v>
      </c>
      <c r="H75" s="743">
        <f t="shared" si="59"/>
        <v>0</v>
      </c>
      <c r="I75" s="743">
        <f t="shared" si="59"/>
        <v>0</v>
      </c>
      <c r="J75" s="743">
        <f t="shared" si="59"/>
        <v>0</v>
      </c>
      <c r="K75" s="743">
        <f t="shared" si="59"/>
        <v>0</v>
      </c>
      <c r="L75" s="743">
        <f t="shared" si="59"/>
        <v>0</v>
      </c>
      <c r="M75" s="743">
        <f t="shared" si="59"/>
        <v>0</v>
      </c>
      <c r="N75" s="743">
        <f t="shared" si="59"/>
        <v>0</v>
      </c>
      <c r="O75" s="743">
        <f t="shared" si="59"/>
        <v>0</v>
      </c>
      <c r="P75" s="743">
        <f t="shared" si="59"/>
        <v>0</v>
      </c>
      <c r="Q75" s="743">
        <f t="shared" si="59"/>
        <v>0</v>
      </c>
      <c r="R75" s="743">
        <f t="shared" si="59"/>
        <v>0</v>
      </c>
      <c r="S75" s="743">
        <f t="shared" si="59"/>
        <v>0</v>
      </c>
      <c r="T75" s="743">
        <f t="shared" si="59"/>
        <v>0</v>
      </c>
      <c r="U75" s="743">
        <f t="shared" si="59"/>
        <v>0</v>
      </c>
      <c r="V75" s="743">
        <f t="shared" si="59"/>
        <v>0</v>
      </c>
      <c r="W75" s="743">
        <f t="shared" si="59"/>
        <v>0</v>
      </c>
      <c r="X75" s="743">
        <f t="shared" si="59"/>
        <v>0</v>
      </c>
      <c r="Y75" s="743">
        <f t="shared" si="59"/>
        <v>0</v>
      </c>
      <c r="Z75" s="743">
        <f t="shared" si="59"/>
        <v>0</v>
      </c>
      <c r="AA75" s="743">
        <f t="shared" si="59"/>
        <v>0</v>
      </c>
      <c r="AB75" s="743">
        <f t="shared" si="59"/>
        <v>0</v>
      </c>
      <c r="AC75" s="743">
        <f t="shared" si="59"/>
        <v>0</v>
      </c>
      <c r="AD75" s="743">
        <f t="shared" si="59"/>
        <v>0</v>
      </c>
      <c r="AE75" s="743">
        <f t="shared" si="59"/>
        <v>0</v>
      </c>
      <c r="AF75" s="743">
        <f t="shared" si="59"/>
        <v>0</v>
      </c>
      <c r="AG75" s="744">
        <f t="shared" si="59"/>
        <v>0</v>
      </c>
      <c r="AH75" s="762">
        <f t="shared" si="45"/>
        <v>0</v>
      </c>
      <c r="AI75" s="743"/>
      <c r="AJ75" s="760">
        <f t="shared" si="46"/>
        <v>0</v>
      </c>
      <c r="AK75" s="743"/>
      <c r="AL75" s="760">
        <f t="shared" si="47"/>
        <v>0</v>
      </c>
      <c r="AM75" s="761">
        <f t="shared" si="48"/>
        <v>0</v>
      </c>
      <c r="AN75" s="746">
        <f t="shared" si="51"/>
        <v>0</v>
      </c>
      <c r="AO75" s="743">
        <f t="shared" si="52"/>
        <v>0</v>
      </c>
      <c r="AP75" s="747">
        <f t="shared" si="53"/>
        <v>0</v>
      </c>
      <c r="AQ75" s="747" t="e">
        <f t="shared" si="49"/>
        <v>#DIV/0!</v>
      </c>
      <c r="AS75" s="743">
        <f t="shared" si="54"/>
        <v>0</v>
      </c>
    </row>
    <row r="76" spans="1:45">
      <c r="AH76" s="766"/>
      <c r="AI76" s="767"/>
      <c r="AJ76" s="767"/>
      <c r="AK76" s="767"/>
      <c r="AL76" s="767"/>
      <c r="AM76" s="767"/>
      <c r="AN76" s="766"/>
      <c r="AO76" s="767"/>
      <c r="AP76" s="768"/>
      <c r="AQ76" s="768"/>
    </row>
    <row r="77" spans="1:45">
      <c r="A77" s="760" t="s">
        <v>473</v>
      </c>
      <c r="B77" s="774">
        <v>44731.467987233998</v>
      </c>
      <c r="C77" s="759" t="s">
        <v>85</v>
      </c>
      <c r="D77" s="760"/>
      <c r="E77" s="760"/>
      <c r="F77" s="760"/>
      <c r="G77" s="760"/>
      <c r="H77" s="760"/>
      <c r="I77" s="760"/>
      <c r="J77" s="760"/>
      <c r="K77" s="760"/>
      <c r="L77" s="760"/>
      <c r="M77" s="760"/>
      <c r="N77" s="760"/>
      <c r="O77" s="760"/>
      <c r="P77" s="760"/>
      <c r="Q77" s="760"/>
      <c r="R77" s="760"/>
      <c r="S77" s="760"/>
      <c r="T77" s="760"/>
      <c r="U77" s="760"/>
      <c r="V77" s="760"/>
      <c r="W77" s="760"/>
      <c r="X77" s="760"/>
      <c r="Y77" s="760"/>
      <c r="Z77" s="760"/>
      <c r="AA77" s="760"/>
      <c r="AB77" s="760"/>
      <c r="AC77" s="760"/>
      <c r="AD77" s="760"/>
      <c r="AE77" s="760"/>
      <c r="AF77" s="760"/>
      <c r="AG77" s="761"/>
      <c r="AH77" s="762">
        <f>G77</f>
        <v>0</v>
      </c>
      <c r="AI77" s="760">
        <f>J77</f>
        <v>0</v>
      </c>
      <c r="AJ77" s="760">
        <f>N77</f>
        <v>0</v>
      </c>
      <c r="AK77" s="760"/>
      <c r="AL77" s="760">
        <f>F77</f>
        <v>0</v>
      </c>
      <c r="AM77" s="761">
        <f>I77</f>
        <v>0</v>
      </c>
      <c r="AN77" s="765">
        <f>SUM(AH77:AI77)</f>
        <v>0</v>
      </c>
      <c r="AO77" s="760">
        <f>SUM(AJ77:AK77)</f>
        <v>0</v>
      </c>
      <c r="AP77" s="764">
        <f>SUM(AL77:AM77)</f>
        <v>0</v>
      </c>
      <c r="AQ77" s="764">
        <f>SUM(D77:AG77)</f>
        <v>0</v>
      </c>
      <c r="AS77" s="731">
        <f>SUM(AN77:AP77)</f>
        <v>0</v>
      </c>
    </row>
    <row r="78" spans="1:45">
      <c r="A78" s="742" t="s">
        <v>460</v>
      </c>
      <c r="B78" s="760"/>
      <c r="C78" s="759"/>
      <c r="D78" s="743">
        <f t="shared" ref="D78:I78" si="60">IF(D77=0,0,D$18)</f>
        <v>0</v>
      </c>
      <c r="E78" s="743">
        <f t="shared" si="60"/>
        <v>0</v>
      </c>
      <c r="F78" s="743">
        <f t="shared" si="60"/>
        <v>0</v>
      </c>
      <c r="G78" s="743">
        <f t="shared" si="60"/>
        <v>0</v>
      </c>
      <c r="H78" s="743">
        <f t="shared" si="60"/>
        <v>0</v>
      </c>
      <c r="I78" s="743">
        <f t="shared" si="60"/>
        <v>0</v>
      </c>
      <c r="J78" s="743">
        <f t="shared" ref="J78:AG78" si="61">IF(J77=0,0,J$18)</f>
        <v>0</v>
      </c>
      <c r="K78" s="743">
        <f t="shared" si="61"/>
        <v>0</v>
      </c>
      <c r="L78" s="743">
        <f t="shared" si="61"/>
        <v>0</v>
      </c>
      <c r="M78" s="743">
        <f t="shared" si="61"/>
        <v>0</v>
      </c>
      <c r="N78" s="743">
        <f t="shared" si="61"/>
        <v>0</v>
      </c>
      <c r="O78" s="743">
        <f t="shared" si="61"/>
        <v>0</v>
      </c>
      <c r="P78" s="743">
        <f t="shared" si="61"/>
        <v>0</v>
      </c>
      <c r="Q78" s="743">
        <f t="shared" si="61"/>
        <v>0</v>
      </c>
      <c r="R78" s="743">
        <f t="shared" si="61"/>
        <v>0</v>
      </c>
      <c r="S78" s="743">
        <f t="shared" si="61"/>
        <v>0</v>
      </c>
      <c r="T78" s="743">
        <f t="shared" si="61"/>
        <v>0</v>
      </c>
      <c r="U78" s="743">
        <f t="shared" si="61"/>
        <v>0</v>
      </c>
      <c r="V78" s="743">
        <f t="shared" si="61"/>
        <v>0</v>
      </c>
      <c r="W78" s="743">
        <f t="shared" si="61"/>
        <v>0</v>
      </c>
      <c r="X78" s="743">
        <f t="shared" si="61"/>
        <v>0</v>
      </c>
      <c r="Y78" s="743">
        <f t="shared" si="61"/>
        <v>0</v>
      </c>
      <c r="Z78" s="743">
        <f t="shared" si="61"/>
        <v>0</v>
      </c>
      <c r="AA78" s="743">
        <f t="shared" si="61"/>
        <v>0</v>
      </c>
      <c r="AB78" s="743">
        <f t="shared" si="61"/>
        <v>0</v>
      </c>
      <c r="AC78" s="743">
        <f t="shared" si="61"/>
        <v>0</v>
      </c>
      <c r="AD78" s="743">
        <f t="shared" si="61"/>
        <v>0</v>
      </c>
      <c r="AE78" s="743">
        <f t="shared" si="61"/>
        <v>0</v>
      </c>
      <c r="AF78" s="743">
        <f t="shared" si="61"/>
        <v>0</v>
      </c>
      <c r="AG78" s="744">
        <f t="shared" si="61"/>
        <v>0</v>
      </c>
      <c r="AH78" s="762">
        <f t="shared" ref="AH78:AH84" si="62">G78</f>
        <v>0</v>
      </c>
      <c r="AI78" s="760">
        <f t="shared" ref="AI78:AI84" si="63">J78</f>
        <v>0</v>
      </c>
      <c r="AJ78" s="760">
        <f t="shared" ref="AJ78:AJ84" si="64">N78</f>
        <v>0</v>
      </c>
      <c r="AK78" s="743"/>
      <c r="AL78" s="760">
        <f t="shared" ref="AL78:AL84" si="65">F78</f>
        <v>0</v>
      </c>
      <c r="AM78" s="761">
        <f t="shared" ref="AM78:AM84" si="66">I78</f>
        <v>0</v>
      </c>
      <c r="AN78" s="746">
        <f>IF(AN$77=0,0,SUMPRODUCT(AH$77:AI$77,AH78:AI78)/AN$77)</f>
        <v>0</v>
      </c>
      <c r="AO78" s="743">
        <f>IF(AO$77=0,0,SUMPRODUCT(AJ$77:AK$77,AJ78:AK78)/AO$77)</f>
        <v>0</v>
      </c>
      <c r="AP78" s="747">
        <f>IF(AP$77=0,0,SUMPRODUCT(AL$77:AM$77,AL78:AM78)/AP$77)</f>
        <v>0</v>
      </c>
      <c r="AQ78" s="747" t="e">
        <f t="shared" ref="AQ78:AQ84" si="67">SUMPRODUCT(D$77:AG$77,D78:AG78)/AQ$77</f>
        <v>#DIV/0!</v>
      </c>
      <c r="AS78" s="743">
        <f>IF(AS$77=0,0,SUMPRODUCT(AN$77:AP$77,AN78:AP78)/AS$77)</f>
        <v>0</v>
      </c>
    </row>
    <row r="79" spans="1:45">
      <c r="A79" s="742" t="s">
        <v>462</v>
      </c>
      <c r="B79" s="743"/>
      <c r="C79" s="742"/>
      <c r="D79" s="743">
        <f t="shared" ref="D79:AG79" si="68">IF(D77=0,0,D$19)</f>
        <v>0</v>
      </c>
      <c r="E79" s="743">
        <f t="shared" si="68"/>
        <v>0</v>
      </c>
      <c r="F79" s="743">
        <f t="shared" si="68"/>
        <v>0</v>
      </c>
      <c r="G79" s="743">
        <f>IF(G77=0,0,G$19)</f>
        <v>0</v>
      </c>
      <c r="H79" s="743">
        <f t="shared" si="68"/>
        <v>0</v>
      </c>
      <c r="I79" s="743">
        <f>IF(I77=0,0,I$19)</f>
        <v>0</v>
      </c>
      <c r="J79" s="743">
        <f t="shared" si="68"/>
        <v>0</v>
      </c>
      <c r="K79" s="743">
        <f t="shared" si="68"/>
        <v>0</v>
      </c>
      <c r="L79" s="743">
        <f t="shared" si="68"/>
        <v>0</v>
      </c>
      <c r="M79" s="743">
        <f t="shared" si="68"/>
        <v>0</v>
      </c>
      <c r="N79" s="743">
        <f t="shared" si="68"/>
        <v>0</v>
      </c>
      <c r="O79" s="743">
        <f t="shared" si="68"/>
        <v>0</v>
      </c>
      <c r="P79" s="743">
        <f t="shared" si="68"/>
        <v>0</v>
      </c>
      <c r="Q79" s="743">
        <f t="shared" si="68"/>
        <v>0</v>
      </c>
      <c r="R79" s="743">
        <f t="shared" si="68"/>
        <v>0</v>
      </c>
      <c r="S79" s="743">
        <f t="shared" si="68"/>
        <v>0</v>
      </c>
      <c r="T79" s="743">
        <f t="shared" si="68"/>
        <v>0</v>
      </c>
      <c r="U79" s="743">
        <f t="shared" si="68"/>
        <v>0</v>
      </c>
      <c r="V79" s="743">
        <f t="shared" si="68"/>
        <v>0</v>
      </c>
      <c r="W79" s="743">
        <f t="shared" si="68"/>
        <v>0</v>
      </c>
      <c r="X79" s="743">
        <f t="shared" si="68"/>
        <v>0</v>
      </c>
      <c r="Y79" s="743">
        <f t="shared" si="68"/>
        <v>0</v>
      </c>
      <c r="Z79" s="743">
        <f t="shared" si="68"/>
        <v>0</v>
      </c>
      <c r="AA79" s="743">
        <f t="shared" si="68"/>
        <v>0</v>
      </c>
      <c r="AB79" s="743">
        <f t="shared" si="68"/>
        <v>0</v>
      </c>
      <c r="AC79" s="743">
        <f t="shared" si="68"/>
        <v>0</v>
      </c>
      <c r="AD79" s="743">
        <f t="shared" si="68"/>
        <v>0</v>
      </c>
      <c r="AE79" s="743">
        <f t="shared" si="68"/>
        <v>0</v>
      </c>
      <c r="AF79" s="743">
        <f t="shared" si="68"/>
        <v>0</v>
      </c>
      <c r="AG79" s="744">
        <f t="shared" si="68"/>
        <v>0</v>
      </c>
      <c r="AH79" s="762">
        <f t="shared" si="62"/>
        <v>0</v>
      </c>
      <c r="AI79" s="760">
        <f t="shared" si="63"/>
        <v>0</v>
      </c>
      <c r="AJ79" s="760">
        <f t="shared" si="64"/>
        <v>0</v>
      </c>
      <c r="AK79" s="743"/>
      <c r="AL79" s="760">
        <f t="shared" si="65"/>
        <v>0</v>
      </c>
      <c r="AM79" s="761">
        <f t="shared" si="66"/>
        <v>0</v>
      </c>
      <c r="AN79" s="746">
        <f t="shared" ref="AN79:AN84" si="69">IF(AN$77=0,0,SUMPRODUCT(AH$77:AI$77,AH79:AI79)/AN$77)</f>
        <v>0</v>
      </c>
      <c r="AO79" s="743">
        <f t="shared" ref="AO79:AO84" si="70">IF(AO$77=0,0,SUMPRODUCT(AJ$77:AK$77,AJ79:AK79)/AO$77)</f>
        <v>0</v>
      </c>
      <c r="AP79" s="747">
        <f t="shared" ref="AP79:AP84" si="71">IF(AP$77=0,0,SUMPRODUCT(AL$77:AM$77,AL79:AM79)/AP$77)</f>
        <v>0</v>
      </c>
      <c r="AQ79" s="747" t="e">
        <f t="shared" si="67"/>
        <v>#DIV/0!</v>
      </c>
      <c r="AS79" s="743">
        <f t="shared" ref="AS79:AS84" si="72">IF(AS$77=0,0,SUMPRODUCT(AN$77:AP$77,AN79:AP79)/AS$77)</f>
        <v>0</v>
      </c>
    </row>
    <row r="80" spans="1:45">
      <c r="A80" s="742" t="s">
        <v>420</v>
      </c>
      <c r="B80" s="743"/>
      <c r="C80" s="742"/>
      <c r="D80" s="743">
        <f t="shared" ref="D80:AG80" si="73">IF(D77=0,0,D$20)</f>
        <v>0</v>
      </c>
      <c r="E80" s="743">
        <f t="shared" si="73"/>
        <v>0</v>
      </c>
      <c r="F80" s="743">
        <f t="shared" si="73"/>
        <v>0</v>
      </c>
      <c r="G80" s="743">
        <f>IF(G77=0,0,G$20)</f>
        <v>0</v>
      </c>
      <c r="H80" s="743">
        <f t="shared" si="73"/>
        <v>0</v>
      </c>
      <c r="I80" s="743">
        <f>IF(I77=0,0,I$20)</f>
        <v>0</v>
      </c>
      <c r="J80" s="743">
        <f t="shared" si="73"/>
        <v>0</v>
      </c>
      <c r="K80" s="743">
        <f t="shared" si="73"/>
        <v>0</v>
      </c>
      <c r="L80" s="743">
        <f t="shared" si="73"/>
        <v>0</v>
      </c>
      <c r="M80" s="743">
        <f t="shared" si="73"/>
        <v>0</v>
      </c>
      <c r="N80" s="743">
        <f t="shared" si="73"/>
        <v>0</v>
      </c>
      <c r="O80" s="743">
        <f t="shared" si="73"/>
        <v>0</v>
      </c>
      <c r="P80" s="743">
        <f t="shared" si="73"/>
        <v>0</v>
      </c>
      <c r="Q80" s="743">
        <f t="shared" si="73"/>
        <v>0</v>
      </c>
      <c r="R80" s="743">
        <f t="shared" si="73"/>
        <v>0</v>
      </c>
      <c r="S80" s="743">
        <f t="shared" si="73"/>
        <v>0</v>
      </c>
      <c r="T80" s="743">
        <f t="shared" si="73"/>
        <v>0</v>
      </c>
      <c r="U80" s="743">
        <f t="shared" si="73"/>
        <v>0</v>
      </c>
      <c r="V80" s="743">
        <f t="shared" si="73"/>
        <v>0</v>
      </c>
      <c r="W80" s="743">
        <f t="shared" si="73"/>
        <v>0</v>
      </c>
      <c r="X80" s="743">
        <f t="shared" si="73"/>
        <v>0</v>
      </c>
      <c r="Y80" s="743">
        <f t="shared" si="73"/>
        <v>0</v>
      </c>
      <c r="Z80" s="743">
        <f t="shared" si="73"/>
        <v>0</v>
      </c>
      <c r="AA80" s="743">
        <f t="shared" si="73"/>
        <v>0</v>
      </c>
      <c r="AB80" s="743">
        <f t="shared" si="73"/>
        <v>0</v>
      </c>
      <c r="AC80" s="743">
        <f t="shared" si="73"/>
        <v>0</v>
      </c>
      <c r="AD80" s="743">
        <f t="shared" si="73"/>
        <v>0</v>
      </c>
      <c r="AE80" s="743">
        <f t="shared" si="73"/>
        <v>0</v>
      </c>
      <c r="AF80" s="743">
        <f t="shared" si="73"/>
        <v>0</v>
      </c>
      <c r="AG80" s="744">
        <f t="shared" si="73"/>
        <v>0</v>
      </c>
      <c r="AH80" s="762">
        <f t="shared" si="62"/>
        <v>0</v>
      </c>
      <c r="AI80" s="760">
        <f t="shared" si="63"/>
        <v>0</v>
      </c>
      <c r="AJ80" s="760">
        <f t="shared" si="64"/>
        <v>0</v>
      </c>
      <c r="AK80" s="743"/>
      <c r="AL80" s="760">
        <f t="shared" si="65"/>
        <v>0</v>
      </c>
      <c r="AM80" s="761">
        <f t="shared" si="66"/>
        <v>0</v>
      </c>
      <c r="AN80" s="746">
        <f t="shared" si="69"/>
        <v>0</v>
      </c>
      <c r="AO80" s="743">
        <f t="shared" si="70"/>
        <v>0</v>
      </c>
      <c r="AP80" s="747">
        <f t="shared" si="71"/>
        <v>0</v>
      </c>
      <c r="AQ80" s="747" t="e">
        <f t="shared" si="67"/>
        <v>#DIV/0!</v>
      </c>
      <c r="AS80" s="743">
        <f t="shared" si="72"/>
        <v>0</v>
      </c>
    </row>
    <row r="81" spans="1:45">
      <c r="A81" s="742" t="s">
        <v>464</v>
      </c>
      <c r="B81" s="743"/>
      <c r="C81" s="742"/>
      <c r="D81" s="743">
        <f t="shared" ref="D81:AG81" si="74">IF(D77=0,0,D$21)</f>
        <v>0</v>
      </c>
      <c r="E81" s="743">
        <f t="shared" si="74"/>
        <v>0</v>
      </c>
      <c r="F81" s="743">
        <f t="shared" si="74"/>
        <v>0</v>
      </c>
      <c r="G81" s="743">
        <f>IF(G77=0,0,G$21)</f>
        <v>0</v>
      </c>
      <c r="H81" s="743">
        <f t="shared" si="74"/>
        <v>0</v>
      </c>
      <c r="I81" s="743">
        <f>IF(I77=0,0,I$21)</f>
        <v>0</v>
      </c>
      <c r="J81" s="743">
        <f t="shared" si="74"/>
        <v>0</v>
      </c>
      <c r="K81" s="743">
        <f t="shared" si="74"/>
        <v>0</v>
      </c>
      <c r="L81" s="743">
        <f t="shared" si="74"/>
        <v>0</v>
      </c>
      <c r="M81" s="743">
        <f t="shared" si="74"/>
        <v>0</v>
      </c>
      <c r="N81" s="743">
        <f t="shared" si="74"/>
        <v>0</v>
      </c>
      <c r="O81" s="743">
        <f t="shared" si="74"/>
        <v>0</v>
      </c>
      <c r="P81" s="743">
        <f t="shared" si="74"/>
        <v>0</v>
      </c>
      <c r="Q81" s="743">
        <f t="shared" si="74"/>
        <v>0</v>
      </c>
      <c r="R81" s="743">
        <f t="shared" si="74"/>
        <v>0</v>
      </c>
      <c r="S81" s="743">
        <f t="shared" si="74"/>
        <v>0</v>
      </c>
      <c r="T81" s="743">
        <f t="shared" si="74"/>
        <v>0</v>
      </c>
      <c r="U81" s="743">
        <f t="shared" si="74"/>
        <v>0</v>
      </c>
      <c r="V81" s="743">
        <f t="shared" si="74"/>
        <v>0</v>
      </c>
      <c r="W81" s="743">
        <f t="shared" si="74"/>
        <v>0</v>
      </c>
      <c r="X81" s="743">
        <f t="shared" si="74"/>
        <v>0</v>
      </c>
      <c r="Y81" s="743">
        <f t="shared" si="74"/>
        <v>0</v>
      </c>
      <c r="Z81" s="743">
        <f t="shared" si="74"/>
        <v>0</v>
      </c>
      <c r="AA81" s="743">
        <f t="shared" si="74"/>
        <v>0</v>
      </c>
      <c r="AB81" s="743">
        <f t="shared" si="74"/>
        <v>0</v>
      </c>
      <c r="AC81" s="743">
        <f t="shared" si="74"/>
        <v>0</v>
      </c>
      <c r="AD81" s="743">
        <f t="shared" si="74"/>
        <v>0</v>
      </c>
      <c r="AE81" s="743">
        <f t="shared" si="74"/>
        <v>0</v>
      </c>
      <c r="AF81" s="743">
        <f t="shared" si="74"/>
        <v>0</v>
      </c>
      <c r="AG81" s="744">
        <f t="shared" si="74"/>
        <v>0</v>
      </c>
      <c r="AH81" s="762">
        <f t="shared" si="62"/>
        <v>0</v>
      </c>
      <c r="AI81" s="760">
        <f t="shared" si="63"/>
        <v>0</v>
      </c>
      <c r="AJ81" s="760">
        <f t="shared" si="64"/>
        <v>0</v>
      </c>
      <c r="AK81" s="743"/>
      <c r="AL81" s="760">
        <f t="shared" si="65"/>
        <v>0</v>
      </c>
      <c r="AM81" s="761">
        <f t="shared" si="66"/>
        <v>0</v>
      </c>
      <c r="AN81" s="746">
        <f t="shared" si="69"/>
        <v>0</v>
      </c>
      <c r="AO81" s="743">
        <f t="shared" si="70"/>
        <v>0</v>
      </c>
      <c r="AP81" s="747">
        <f t="shared" si="71"/>
        <v>0</v>
      </c>
      <c r="AQ81" s="747" t="e">
        <f t="shared" si="67"/>
        <v>#DIV/0!</v>
      </c>
      <c r="AS81" s="743">
        <f t="shared" si="72"/>
        <v>0</v>
      </c>
    </row>
    <row r="82" spans="1:45">
      <c r="A82" s="742" t="s">
        <v>416</v>
      </c>
      <c r="B82" s="743"/>
      <c r="C82" s="742"/>
      <c r="D82" s="743">
        <f t="shared" ref="D82:I82" si="75">IF(D77=0,0,D$22)</f>
        <v>0</v>
      </c>
      <c r="E82" s="743">
        <f t="shared" si="75"/>
        <v>0</v>
      </c>
      <c r="F82" s="743">
        <f t="shared" si="75"/>
        <v>0</v>
      </c>
      <c r="G82" s="743">
        <f t="shared" si="75"/>
        <v>0</v>
      </c>
      <c r="H82" s="743">
        <f t="shared" si="75"/>
        <v>0</v>
      </c>
      <c r="I82" s="743">
        <f t="shared" si="75"/>
        <v>0</v>
      </c>
      <c r="J82" s="743">
        <f t="shared" ref="J82:AG82" si="76">IF(J77=0,0,J$22)</f>
        <v>0</v>
      </c>
      <c r="K82" s="743">
        <f t="shared" si="76"/>
        <v>0</v>
      </c>
      <c r="L82" s="743">
        <f t="shared" si="76"/>
        <v>0</v>
      </c>
      <c r="M82" s="743">
        <f t="shared" si="76"/>
        <v>0</v>
      </c>
      <c r="N82" s="743">
        <f t="shared" si="76"/>
        <v>0</v>
      </c>
      <c r="O82" s="743">
        <f t="shared" si="76"/>
        <v>0</v>
      </c>
      <c r="P82" s="743">
        <f t="shared" si="76"/>
        <v>0</v>
      </c>
      <c r="Q82" s="743">
        <f t="shared" si="76"/>
        <v>0</v>
      </c>
      <c r="R82" s="743">
        <f t="shared" si="76"/>
        <v>0</v>
      </c>
      <c r="S82" s="743">
        <f t="shared" si="76"/>
        <v>0</v>
      </c>
      <c r="T82" s="743">
        <f t="shared" si="76"/>
        <v>0</v>
      </c>
      <c r="U82" s="743">
        <f t="shared" si="76"/>
        <v>0</v>
      </c>
      <c r="V82" s="743">
        <f t="shared" si="76"/>
        <v>0</v>
      </c>
      <c r="W82" s="743">
        <f t="shared" si="76"/>
        <v>0</v>
      </c>
      <c r="X82" s="743">
        <f t="shared" si="76"/>
        <v>0</v>
      </c>
      <c r="Y82" s="743">
        <f t="shared" si="76"/>
        <v>0</v>
      </c>
      <c r="Z82" s="743">
        <f t="shared" si="76"/>
        <v>0</v>
      </c>
      <c r="AA82" s="743">
        <f t="shared" si="76"/>
        <v>0</v>
      </c>
      <c r="AB82" s="743">
        <f t="shared" si="76"/>
        <v>0</v>
      </c>
      <c r="AC82" s="743">
        <f t="shared" si="76"/>
        <v>0</v>
      </c>
      <c r="AD82" s="743">
        <f t="shared" si="76"/>
        <v>0</v>
      </c>
      <c r="AE82" s="743">
        <f t="shared" si="76"/>
        <v>0</v>
      </c>
      <c r="AF82" s="743">
        <f t="shared" si="76"/>
        <v>0</v>
      </c>
      <c r="AG82" s="744">
        <f t="shared" si="76"/>
        <v>0</v>
      </c>
      <c r="AH82" s="762">
        <f t="shared" si="62"/>
        <v>0</v>
      </c>
      <c r="AI82" s="760">
        <f t="shared" si="63"/>
        <v>0</v>
      </c>
      <c r="AJ82" s="760">
        <f t="shared" si="64"/>
        <v>0</v>
      </c>
      <c r="AK82" s="743"/>
      <c r="AL82" s="760">
        <f t="shared" si="65"/>
        <v>0</v>
      </c>
      <c r="AM82" s="761">
        <f t="shared" si="66"/>
        <v>0</v>
      </c>
      <c r="AN82" s="746">
        <f t="shared" si="69"/>
        <v>0</v>
      </c>
      <c r="AO82" s="743">
        <f t="shared" si="70"/>
        <v>0</v>
      </c>
      <c r="AP82" s="747">
        <f t="shared" si="71"/>
        <v>0</v>
      </c>
      <c r="AQ82" s="747" t="e">
        <f t="shared" si="67"/>
        <v>#DIV/0!</v>
      </c>
      <c r="AS82" s="743">
        <f t="shared" si="72"/>
        <v>0</v>
      </c>
    </row>
    <row r="83" spans="1:45">
      <c r="A83" s="742" t="s">
        <v>465</v>
      </c>
      <c r="B83" s="743"/>
      <c r="C83" s="742"/>
      <c r="D83" s="743">
        <f t="shared" ref="D83:AG83" si="77">IF(D77=0,0,D$23)</f>
        <v>0</v>
      </c>
      <c r="E83" s="743">
        <f t="shared" si="77"/>
        <v>0</v>
      </c>
      <c r="F83" s="743">
        <f t="shared" si="77"/>
        <v>0</v>
      </c>
      <c r="G83" s="743">
        <f t="shared" si="77"/>
        <v>0</v>
      </c>
      <c r="H83" s="743">
        <f t="shared" si="77"/>
        <v>0</v>
      </c>
      <c r="I83" s="743">
        <f t="shared" si="77"/>
        <v>0</v>
      </c>
      <c r="J83" s="743">
        <f t="shared" si="77"/>
        <v>0</v>
      </c>
      <c r="K83" s="743">
        <f t="shared" si="77"/>
        <v>0</v>
      </c>
      <c r="L83" s="743">
        <f t="shared" si="77"/>
        <v>0</v>
      </c>
      <c r="M83" s="743">
        <f t="shared" si="77"/>
        <v>0</v>
      </c>
      <c r="N83" s="743">
        <f t="shared" si="77"/>
        <v>0</v>
      </c>
      <c r="O83" s="743">
        <f t="shared" si="77"/>
        <v>0</v>
      </c>
      <c r="P83" s="743">
        <f t="shared" si="77"/>
        <v>0</v>
      </c>
      <c r="Q83" s="743">
        <f t="shared" si="77"/>
        <v>0</v>
      </c>
      <c r="R83" s="743">
        <f t="shared" si="77"/>
        <v>0</v>
      </c>
      <c r="S83" s="743">
        <f t="shared" si="77"/>
        <v>0</v>
      </c>
      <c r="T83" s="743">
        <f t="shared" si="77"/>
        <v>0</v>
      </c>
      <c r="U83" s="743">
        <f t="shared" si="77"/>
        <v>0</v>
      </c>
      <c r="V83" s="743">
        <f t="shared" si="77"/>
        <v>0</v>
      </c>
      <c r="W83" s="743">
        <f t="shared" si="77"/>
        <v>0</v>
      </c>
      <c r="X83" s="743">
        <f t="shared" si="77"/>
        <v>0</v>
      </c>
      <c r="Y83" s="743">
        <f t="shared" si="77"/>
        <v>0</v>
      </c>
      <c r="Z83" s="743">
        <f t="shared" si="77"/>
        <v>0</v>
      </c>
      <c r="AA83" s="743">
        <f t="shared" si="77"/>
        <v>0</v>
      </c>
      <c r="AB83" s="743">
        <f t="shared" si="77"/>
        <v>0</v>
      </c>
      <c r="AC83" s="743">
        <f t="shared" si="77"/>
        <v>0</v>
      </c>
      <c r="AD83" s="743">
        <f t="shared" si="77"/>
        <v>0</v>
      </c>
      <c r="AE83" s="743">
        <f t="shared" si="77"/>
        <v>0</v>
      </c>
      <c r="AF83" s="743">
        <f t="shared" si="77"/>
        <v>0</v>
      </c>
      <c r="AG83" s="744">
        <f t="shared" si="77"/>
        <v>0</v>
      </c>
      <c r="AH83" s="762">
        <f t="shared" si="62"/>
        <v>0</v>
      </c>
      <c r="AI83" s="760">
        <f t="shared" si="63"/>
        <v>0</v>
      </c>
      <c r="AJ83" s="760">
        <f t="shared" si="64"/>
        <v>0</v>
      </c>
      <c r="AK83" s="743"/>
      <c r="AL83" s="760">
        <f t="shared" si="65"/>
        <v>0</v>
      </c>
      <c r="AM83" s="761">
        <f t="shared" si="66"/>
        <v>0</v>
      </c>
      <c r="AN83" s="746">
        <f t="shared" si="69"/>
        <v>0</v>
      </c>
      <c r="AO83" s="743">
        <f t="shared" si="70"/>
        <v>0</v>
      </c>
      <c r="AP83" s="747">
        <f t="shared" si="71"/>
        <v>0</v>
      </c>
      <c r="AQ83" s="747" t="e">
        <f t="shared" si="67"/>
        <v>#DIV/0!</v>
      </c>
      <c r="AS83" s="743">
        <f t="shared" si="72"/>
        <v>0</v>
      </c>
    </row>
    <row r="84" spans="1:45">
      <c r="A84" s="742" t="s">
        <v>419</v>
      </c>
      <c r="B84" s="743"/>
      <c r="C84" s="742"/>
      <c r="D84" s="743">
        <f t="shared" ref="D84:AG84" si="78">IF(D77=0,0,D$24)</f>
        <v>0</v>
      </c>
      <c r="E84" s="743">
        <f t="shared" si="78"/>
        <v>0</v>
      </c>
      <c r="F84" s="743">
        <f t="shared" si="78"/>
        <v>0</v>
      </c>
      <c r="G84" s="743">
        <f t="shared" si="78"/>
        <v>0</v>
      </c>
      <c r="H84" s="743">
        <f t="shared" si="78"/>
        <v>0</v>
      </c>
      <c r="I84" s="743">
        <f t="shared" si="78"/>
        <v>0</v>
      </c>
      <c r="J84" s="743">
        <f t="shared" si="78"/>
        <v>0</v>
      </c>
      <c r="K84" s="743">
        <f t="shared" si="78"/>
        <v>0</v>
      </c>
      <c r="L84" s="743">
        <f t="shared" si="78"/>
        <v>0</v>
      </c>
      <c r="M84" s="743">
        <f t="shared" si="78"/>
        <v>0</v>
      </c>
      <c r="N84" s="743">
        <f t="shared" si="78"/>
        <v>0</v>
      </c>
      <c r="O84" s="743">
        <f t="shared" si="78"/>
        <v>0</v>
      </c>
      <c r="P84" s="743">
        <f t="shared" si="78"/>
        <v>0</v>
      </c>
      <c r="Q84" s="743">
        <f t="shared" si="78"/>
        <v>0</v>
      </c>
      <c r="R84" s="743">
        <f t="shared" si="78"/>
        <v>0</v>
      </c>
      <c r="S84" s="743">
        <f t="shared" si="78"/>
        <v>0</v>
      </c>
      <c r="T84" s="743">
        <f t="shared" si="78"/>
        <v>0</v>
      </c>
      <c r="U84" s="743">
        <f t="shared" si="78"/>
        <v>0</v>
      </c>
      <c r="V84" s="743">
        <f t="shared" si="78"/>
        <v>0</v>
      </c>
      <c r="W84" s="743">
        <f t="shared" si="78"/>
        <v>0</v>
      </c>
      <c r="X84" s="743">
        <f t="shared" si="78"/>
        <v>0</v>
      </c>
      <c r="Y84" s="743">
        <f t="shared" si="78"/>
        <v>0</v>
      </c>
      <c r="Z84" s="743">
        <f t="shared" si="78"/>
        <v>0</v>
      </c>
      <c r="AA84" s="743">
        <f t="shared" si="78"/>
        <v>0</v>
      </c>
      <c r="AB84" s="743">
        <f t="shared" si="78"/>
        <v>0</v>
      </c>
      <c r="AC84" s="743">
        <f t="shared" si="78"/>
        <v>0</v>
      </c>
      <c r="AD84" s="743">
        <f t="shared" si="78"/>
        <v>0</v>
      </c>
      <c r="AE84" s="743">
        <f t="shared" si="78"/>
        <v>0</v>
      </c>
      <c r="AF84" s="743">
        <f t="shared" si="78"/>
        <v>0</v>
      </c>
      <c r="AG84" s="744">
        <f t="shared" si="78"/>
        <v>0</v>
      </c>
      <c r="AH84" s="762">
        <f t="shared" si="62"/>
        <v>0</v>
      </c>
      <c r="AI84" s="760">
        <f t="shared" si="63"/>
        <v>0</v>
      </c>
      <c r="AJ84" s="760">
        <f t="shared" si="64"/>
        <v>0</v>
      </c>
      <c r="AK84" s="743"/>
      <c r="AL84" s="760">
        <f t="shared" si="65"/>
        <v>0</v>
      </c>
      <c r="AM84" s="761">
        <f t="shared" si="66"/>
        <v>0</v>
      </c>
      <c r="AN84" s="746">
        <f t="shared" si="69"/>
        <v>0</v>
      </c>
      <c r="AO84" s="743">
        <f t="shared" si="70"/>
        <v>0</v>
      </c>
      <c r="AP84" s="747">
        <f t="shared" si="71"/>
        <v>0</v>
      </c>
      <c r="AQ84" s="747" t="e">
        <f t="shared" si="67"/>
        <v>#DIV/0!</v>
      </c>
      <c r="AS84" s="743">
        <f t="shared" si="72"/>
        <v>0</v>
      </c>
    </row>
    <row r="85" spans="1:45">
      <c r="AH85" s="766"/>
      <c r="AI85" s="767"/>
      <c r="AJ85" s="767"/>
      <c r="AK85" s="767"/>
      <c r="AL85" s="767"/>
      <c r="AM85" s="767"/>
      <c r="AN85" s="766"/>
      <c r="AO85" s="767"/>
      <c r="AP85" s="768"/>
      <c r="AQ85" s="768"/>
    </row>
    <row r="86" spans="1:45">
      <c r="A86" s="760" t="s">
        <v>474</v>
      </c>
      <c r="B86" s="774">
        <v>79169.025263899995</v>
      </c>
      <c r="C86" s="759" t="s">
        <v>85</v>
      </c>
      <c r="D86" s="760"/>
      <c r="E86" s="760"/>
      <c r="F86" s="760"/>
      <c r="G86" s="760"/>
      <c r="H86" s="760"/>
      <c r="I86" s="760"/>
      <c r="J86" s="760"/>
      <c r="K86" s="760"/>
      <c r="L86" s="760"/>
      <c r="M86" s="760"/>
      <c r="N86" s="760"/>
      <c r="O86" s="760"/>
      <c r="P86" s="760"/>
      <c r="Q86" s="760"/>
      <c r="R86" s="760"/>
      <c r="S86" s="760"/>
      <c r="T86" s="760"/>
      <c r="U86" s="760"/>
      <c r="V86" s="760"/>
      <c r="W86" s="760"/>
      <c r="X86" s="760"/>
      <c r="Y86" s="760"/>
      <c r="Z86" s="760"/>
      <c r="AA86" s="760"/>
      <c r="AB86" s="760"/>
      <c r="AC86" s="760"/>
      <c r="AD86" s="760"/>
      <c r="AE86" s="760"/>
      <c r="AF86" s="760"/>
      <c r="AG86" s="761"/>
      <c r="AH86" s="762">
        <f>G86</f>
        <v>0</v>
      </c>
      <c r="AI86" s="760">
        <f>J86</f>
        <v>0</v>
      </c>
      <c r="AJ86" s="760">
        <f>N86</f>
        <v>0</v>
      </c>
      <c r="AK86" s="760">
        <f>Q86</f>
        <v>0</v>
      </c>
      <c r="AL86" s="760">
        <f>I86</f>
        <v>0</v>
      </c>
      <c r="AM86" s="761">
        <f>L86</f>
        <v>0</v>
      </c>
      <c r="AN86" s="765">
        <f>SUM(AH86:AI86)</f>
        <v>0</v>
      </c>
      <c r="AO86" s="760">
        <f>SUM(AJ86:AK86)</f>
        <v>0</v>
      </c>
      <c r="AP86" s="764">
        <f>SUM(AL86:AM86)</f>
        <v>0</v>
      </c>
      <c r="AQ86" s="764">
        <f>SUM(D86:AG86)</f>
        <v>0</v>
      </c>
      <c r="AS86" s="731">
        <f>SUM(AN86:AP86)</f>
        <v>0</v>
      </c>
    </row>
    <row r="87" spans="1:45">
      <c r="A87" s="742" t="s">
        <v>460</v>
      </c>
      <c r="B87" s="760"/>
      <c r="C87" s="759"/>
      <c r="D87" s="743">
        <f>IF(D86=0,0,D$18)</f>
        <v>0</v>
      </c>
      <c r="E87" s="743">
        <f>IF(E86=0,0,E$18)</f>
        <v>0</v>
      </c>
      <c r="F87" s="743">
        <f>IF(F86=0,0,F$18)</f>
        <v>0</v>
      </c>
      <c r="G87" s="743">
        <f>IF(G86=0,0,G$18)</f>
        <v>0</v>
      </c>
      <c r="H87" s="743">
        <f>IF(H86=0,0,H$18)</f>
        <v>0</v>
      </c>
      <c r="I87" s="743">
        <f t="shared" ref="I87:AG87" si="79">IF(I86=0,0,I$18)</f>
        <v>0</v>
      </c>
      <c r="J87" s="743">
        <f t="shared" si="79"/>
        <v>0</v>
      </c>
      <c r="K87" s="743">
        <f t="shared" si="79"/>
        <v>0</v>
      </c>
      <c r="L87" s="743">
        <f t="shared" si="79"/>
        <v>0</v>
      </c>
      <c r="M87" s="743">
        <f t="shared" si="79"/>
        <v>0</v>
      </c>
      <c r="N87" s="743">
        <f t="shared" si="79"/>
        <v>0</v>
      </c>
      <c r="O87" s="743">
        <f t="shared" si="79"/>
        <v>0</v>
      </c>
      <c r="P87" s="743">
        <f t="shared" si="79"/>
        <v>0</v>
      </c>
      <c r="Q87" s="743">
        <f t="shared" si="79"/>
        <v>0</v>
      </c>
      <c r="R87" s="743">
        <f t="shared" si="79"/>
        <v>0</v>
      </c>
      <c r="S87" s="743">
        <f t="shared" si="79"/>
        <v>0</v>
      </c>
      <c r="T87" s="743">
        <f t="shared" si="79"/>
        <v>0</v>
      </c>
      <c r="U87" s="743">
        <f t="shared" si="79"/>
        <v>0</v>
      </c>
      <c r="V87" s="743">
        <f t="shared" si="79"/>
        <v>0</v>
      </c>
      <c r="W87" s="743">
        <f t="shared" si="79"/>
        <v>0</v>
      </c>
      <c r="X87" s="743">
        <f t="shared" si="79"/>
        <v>0</v>
      </c>
      <c r="Y87" s="743">
        <f t="shared" si="79"/>
        <v>0</v>
      </c>
      <c r="Z87" s="743">
        <f t="shared" si="79"/>
        <v>0</v>
      </c>
      <c r="AA87" s="743">
        <f t="shared" si="79"/>
        <v>0</v>
      </c>
      <c r="AB87" s="743">
        <f t="shared" si="79"/>
        <v>0</v>
      </c>
      <c r="AC87" s="743">
        <f t="shared" si="79"/>
        <v>0</v>
      </c>
      <c r="AD87" s="743">
        <f t="shared" si="79"/>
        <v>0</v>
      </c>
      <c r="AE87" s="743">
        <f t="shared" si="79"/>
        <v>0</v>
      </c>
      <c r="AF87" s="743">
        <f t="shared" si="79"/>
        <v>0</v>
      </c>
      <c r="AG87" s="744">
        <f t="shared" si="79"/>
        <v>0</v>
      </c>
      <c r="AH87" s="762">
        <f t="shared" ref="AH87:AH93" si="80">G87</f>
        <v>0</v>
      </c>
      <c r="AI87" s="760">
        <f t="shared" ref="AI87:AI93" si="81">J87</f>
        <v>0</v>
      </c>
      <c r="AJ87" s="760">
        <f t="shared" ref="AJ87:AJ93" si="82">N87</f>
        <v>0</v>
      </c>
      <c r="AK87" s="760">
        <f t="shared" ref="AK87:AK93" si="83">Q87</f>
        <v>0</v>
      </c>
      <c r="AL87" s="760">
        <f t="shared" ref="AL87:AL93" si="84">I87</f>
        <v>0</v>
      </c>
      <c r="AM87" s="761">
        <f t="shared" ref="AM87:AM93" si="85">L87</f>
        <v>0</v>
      </c>
      <c r="AN87" s="746">
        <f>IF(AN$86=0,0,SUMPRODUCT(AH$86:AI$86,AH87:AI87)/AN$86)</f>
        <v>0</v>
      </c>
      <c r="AO87" s="743">
        <f>IF(AO$86=0,0,SUMPRODUCT(AJ$86:AK$86,AJ87:AK87)/AO$86)</f>
        <v>0</v>
      </c>
      <c r="AP87" s="747">
        <f>IF(AP$86=0,0,SUMPRODUCT(AL$86:AM$86,AL87:AM87)/AP$86)</f>
        <v>0</v>
      </c>
      <c r="AQ87" s="747" t="e">
        <f t="shared" ref="AQ87:AQ93" si="86">SUMPRODUCT(D$86:AG$86,D87:AG87)/AQ$86</f>
        <v>#DIV/0!</v>
      </c>
      <c r="AS87" s="743">
        <f>IF(AS$86=0,0,SUMPRODUCT(AN$86:AP$86,AN87:AP87)/AS$86)</f>
        <v>0</v>
      </c>
    </row>
    <row r="88" spans="1:45">
      <c r="A88" s="742" t="s">
        <v>462</v>
      </c>
      <c r="B88" s="743"/>
      <c r="C88" s="742"/>
      <c r="D88" s="743">
        <f t="shared" ref="D88:AG88" si="87">IF(D86=0,0,D$19)</f>
        <v>0</v>
      </c>
      <c r="E88" s="743">
        <f t="shared" si="87"/>
        <v>0</v>
      </c>
      <c r="F88" s="743">
        <f t="shared" si="87"/>
        <v>0</v>
      </c>
      <c r="G88" s="743">
        <f t="shared" si="87"/>
        <v>0</v>
      </c>
      <c r="H88" s="743">
        <f t="shared" si="87"/>
        <v>0</v>
      </c>
      <c r="I88" s="743">
        <f t="shared" si="87"/>
        <v>0</v>
      </c>
      <c r="J88" s="743">
        <f t="shared" si="87"/>
        <v>0</v>
      </c>
      <c r="K88" s="743">
        <f t="shared" si="87"/>
        <v>0</v>
      </c>
      <c r="L88" s="743">
        <f t="shared" si="87"/>
        <v>0</v>
      </c>
      <c r="M88" s="743">
        <f t="shared" si="87"/>
        <v>0</v>
      </c>
      <c r="N88" s="743">
        <f t="shared" si="87"/>
        <v>0</v>
      </c>
      <c r="O88" s="743">
        <f t="shared" si="87"/>
        <v>0</v>
      </c>
      <c r="P88" s="743">
        <f t="shared" si="87"/>
        <v>0</v>
      </c>
      <c r="Q88" s="743">
        <f t="shared" si="87"/>
        <v>0</v>
      </c>
      <c r="R88" s="743">
        <f t="shared" si="87"/>
        <v>0</v>
      </c>
      <c r="S88" s="743">
        <f t="shared" si="87"/>
        <v>0</v>
      </c>
      <c r="T88" s="743">
        <f t="shared" si="87"/>
        <v>0</v>
      </c>
      <c r="U88" s="743">
        <f t="shared" si="87"/>
        <v>0</v>
      </c>
      <c r="V88" s="743">
        <f t="shared" si="87"/>
        <v>0</v>
      </c>
      <c r="W88" s="743">
        <f t="shared" si="87"/>
        <v>0</v>
      </c>
      <c r="X88" s="743">
        <f t="shared" si="87"/>
        <v>0</v>
      </c>
      <c r="Y88" s="743">
        <f t="shared" si="87"/>
        <v>0</v>
      </c>
      <c r="Z88" s="743">
        <f t="shared" si="87"/>
        <v>0</v>
      </c>
      <c r="AA88" s="743">
        <f t="shared" si="87"/>
        <v>0</v>
      </c>
      <c r="AB88" s="743">
        <f t="shared" si="87"/>
        <v>0</v>
      </c>
      <c r="AC88" s="743">
        <f t="shared" si="87"/>
        <v>0</v>
      </c>
      <c r="AD88" s="743">
        <f t="shared" si="87"/>
        <v>0</v>
      </c>
      <c r="AE88" s="743">
        <f t="shared" si="87"/>
        <v>0</v>
      </c>
      <c r="AF88" s="743">
        <f t="shared" si="87"/>
        <v>0</v>
      </c>
      <c r="AG88" s="744">
        <f t="shared" si="87"/>
        <v>0</v>
      </c>
      <c r="AH88" s="762">
        <f t="shared" si="80"/>
        <v>0</v>
      </c>
      <c r="AI88" s="760">
        <f t="shared" si="81"/>
        <v>0</v>
      </c>
      <c r="AJ88" s="760">
        <f t="shared" si="82"/>
        <v>0</v>
      </c>
      <c r="AK88" s="760">
        <f t="shared" si="83"/>
        <v>0</v>
      </c>
      <c r="AL88" s="760">
        <f t="shared" si="84"/>
        <v>0</v>
      </c>
      <c r="AM88" s="761">
        <f t="shared" si="85"/>
        <v>0</v>
      </c>
      <c r="AN88" s="746">
        <f t="shared" ref="AN88:AN93" si="88">IF(AN$86=0,0,SUMPRODUCT(AH$86:AI$86,AH88:AI88)/AN$86)</f>
        <v>0</v>
      </c>
      <c r="AO88" s="743">
        <f t="shared" ref="AO88:AO93" si="89">IF(AO$86=0,0,SUMPRODUCT(AJ$86:AK$86,AJ88:AK88)/AO$86)</f>
        <v>0</v>
      </c>
      <c r="AP88" s="747">
        <f t="shared" ref="AP88:AP93" si="90">IF(AP$86=0,0,SUMPRODUCT(AL$86:AM$86,AL88:AM88)/AP$86)</f>
        <v>0</v>
      </c>
      <c r="AQ88" s="747" t="e">
        <f t="shared" si="86"/>
        <v>#DIV/0!</v>
      </c>
      <c r="AS88" s="743">
        <f t="shared" ref="AS88:AS93" si="91">IF(AS$86=0,0,SUMPRODUCT(AN$86:AP$86,AN88:AP88)/AS$86)</f>
        <v>0</v>
      </c>
    </row>
    <row r="89" spans="1:45">
      <c r="A89" s="742" t="s">
        <v>420</v>
      </c>
      <c r="B89" s="743"/>
      <c r="C89" s="742"/>
      <c r="D89" s="743">
        <f t="shared" ref="D89:AG89" si="92">IF(D86=0,0,D$20)</f>
        <v>0</v>
      </c>
      <c r="E89" s="743">
        <f t="shared" si="92"/>
        <v>0</v>
      </c>
      <c r="F89" s="743">
        <f t="shared" si="92"/>
        <v>0</v>
      </c>
      <c r="G89" s="743">
        <f t="shared" si="92"/>
        <v>0</v>
      </c>
      <c r="H89" s="743">
        <f t="shared" si="92"/>
        <v>0</v>
      </c>
      <c r="I89" s="743">
        <f t="shared" si="92"/>
        <v>0</v>
      </c>
      <c r="J89" s="743">
        <f t="shared" si="92"/>
        <v>0</v>
      </c>
      <c r="K89" s="743">
        <f t="shared" si="92"/>
        <v>0</v>
      </c>
      <c r="L89" s="743">
        <f t="shared" si="92"/>
        <v>0</v>
      </c>
      <c r="M89" s="743">
        <f t="shared" si="92"/>
        <v>0</v>
      </c>
      <c r="N89" s="743">
        <f t="shared" si="92"/>
        <v>0</v>
      </c>
      <c r="O89" s="743">
        <f t="shared" si="92"/>
        <v>0</v>
      </c>
      <c r="P89" s="743">
        <f t="shared" si="92"/>
        <v>0</v>
      </c>
      <c r="Q89" s="743">
        <f t="shared" si="92"/>
        <v>0</v>
      </c>
      <c r="R89" s="743">
        <f t="shared" si="92"/>
        <v>0</v>
      </c>
      <c r="S89" s="743">
        <f t="shared" si="92"/>
        <v>0</v>
      </c>
      <c r="T89" s="743">
        <f t="shared" si="92"/>
        <v>0</v>
      </c>
      <c r="U89" s="743">
        <f t="shared" si="92"/>
        <v>0</v>
      </c>
      <c r="V89" s="743">
        <f t="shared" si="92"/>
        <v>0</v>
      </c>
      <c r="W89" s="743">
        <f t="shared" si="92"/>
        <v>0</v>
      </c>
      <c r="X89" s="743">
        <f t="shared" si="92"/>
        <v>0</v>
      </c>
      <c r="Y89" s="743">
        <f t="shared" si="92"/>
        <v>0</v>
      </c>
      <c r="Z89" s="743">
        <f t="shared" si="92"/>
        <v>0</v>
      </c>
      <c r="AA89" s="743">
        <f t="shared" si="92"/>
        <v>0</v>
      </c>
      <c r="AB89" s="743">
        <f t="shared" si="92"/>
        <v>0</v>
      </c>
      <c r="AC89" s="743">
        <f t="shared" si="92"/>
        <v>0</v>
      </c>
      <c r="AD89" s="743">
        <f t="shared" si="92"/>
        <v>0</v>
      </c>
      <c r="AE89" s="743">
        <f t="shared" si="92"/>
        <v>0</v>
      </c>
      <c r="AF89" s="743">
        <f t="shared" si="92"/>
        <v>0</v>
      </c>
      <c r="AG89" s="744">
        <f t="shared" si="92"/>
        <v>0</v>
      </c>
      <c r="AH89" s="762">
        <f t="shared" si="80"/>
        <v>0</v>
      </c>
      <c r="AI89" s="760">
        <f t="shared" si="81"/>
        <v>0</v>
      </c>
      <c r="AJ89" s="760">
        <f t="shared" si="82"/>
        <v>0</v>
      </c>
      <c r="AK89" s="760">
        <f t="shared" si="83"/>
        <v>0</v>
      </c>
      <c r="AL89" s="760">
        <f t="shared" si="84"/>
        <v>0</v>
      </c>
      <c r="AM89" s="761">
        <f t="shared" si="85"/>
        <v>0</v>
      </c>
      <c r="AN89" s="746">
        <f t="shared" si="88"/>
        <v>0</v>
      </c>
      <c r="AO89" s="743">
        <f t="shared" si="89"/>
        <v>0</v>
      </c>
      <c r="AP89" s="747">
        <f t="shared" si="90"/>
        <v>0</v>
      </c>
      <c r="AQ89" s="747" t="e">
        <f t="shared" si="86"/>
        <v>#DIV/0!</v>
      </c>
      <c r="AS89" s="743">
        <f t="shared" si="91"/>
        <v>0</v>
      </c>
    </row>
    <row r="90" spans="1:45">
      <c r="A90" s="742" t="s">
        <v>464</v>
      </c>
      <c r="B90" s="743"/>
      <c r="C90" s="742"/>
      <c r="D90" s="743">
        <f t="shared" ref="D90:AG90" si="93">IF(D86=0,0,D$21)</f>
        <v>0</v>
      </c>
      <c r="E90" s="743">
        <f t="shared" si="93"/>
        <v>0</v>
      </c>
      <c r="F90" s="743">
        <f t="shared" si="93"/>
        <v>0</v>
      </c>
      <c r="G90" s="743">
        <f t="shared" si="93"/>
        <v>0</v>
      </c>
      <c r="H90" s="743">
        <f t="shared" si="93"/>
        <v>0</v>
      </c>
      <c r="I90" s="743">
        <f t="shared" si="93"/>
        <v>0</v>
      </c>
      <c r="J90" s="743">
        <f t="shared" si="93"/>
        <v>0</v>
      </c>
      <c r="K90" s="743">
        <f t="shared" si="93"/>
        <v>0</v>
      </c>
      <c r="L90" s="743">
        <f t="shared" si="93"/>
        <v>0</v>
      </c>
      <c r="M90" s="743">
        <f t="shared" si="93"/>
        <v>0</v>
      </c>
      <c r="N90" s="743">
        <f t="shared" si="93"/>
        <v>0</v>
      </c>
      <c r="O90" s="743">
        <f t="shared" si="93"/>
        <v>0</v>
      </c>
      <c r="P90" s="743">
        <f t="shared" si="93"/>
        <v>0</v>
      </c>
      <c r="Q90" s="743">
        <f t="shared" si="93"/>
        <v>0</v>
      </c>
      <c r="R90" s="743">
        <f t="shared" si="93"/>
        <v>0</v>
      </c>
      <c r="S90" s="743">
        <f t="shared" si="93"/>
        <v>0</v>
      </c>
      <c r="T90" s="743">
        <f t="shared" si="93"/>
        <v>0</v>
      </c>
      <c r="U90" s="743">
        <f t="shared" si="93"/>
        <v>0</v>
      </c>
      <c r="V90" s="743">
        <f t="shared" si="93"/>
        <v>0</v>
      </c>
      <c r="W90" s="743">
        <f t="shared" si="93"/>
        <v>0</v>
      </c>
      <c r="X90" s="743">
        <f t="shared" si="93"/>
        <v>0</v>
      </c>
      <c r="Y90" s="743">
        <f t="shared" si="93"/>
        <v>0</v>
      </c>
      <c r="Z90" s="743">
        <f t="shared" si="93"/>
        <v>0</v>
      </c>
      <c r="AA90" s="743">
        <f t="shared" si="93"/>
        <v>0</v>
      </c>
      <c r="AB90" s="743">
        <f t="shared" si="93"/>
        <v>0</v>
      </c>
      <c r="AC90" s="743">
        <f t="shared" si="93"/>
        <v>0</v>
      </c>
      <c r="AD90" s="743">
        <f t="shared" si="93"/>
        <v>0</v>
      </c>
      <c r="AE90" s="743">
        <f t="shared" si="93"/>
        <v>0</v>
      </c>
      <c r="AF90" s="743">
        <f t="shared" si="93"/>
        <v>0</v>
      </c>
      <c r="AG90" s="744">
        <f t="shared" si="93"/>
        <v>0</v>
      </c>
      <c r="AH90" s="762">
        <f t="shared" si="80"/>
        <v>0</v>
      </c>
      <c r="AI90" s="760">
        <f t="shared" si="81"/>
        <v>0</v>
      </c>
      <c r="AJ90" s="760">
        <f t="shared" si="82"/>
        <v>0</v>
      </c>
      <c r="AK90" s="760">
        <f t="shared" si="83"/>
        <v>0</v>
      </c>
      <c r="AL90" s="760">
        <f t="shared" si="84"/>
        <v>0</v>
      </c>
      <c r="AM90" s="761">
        <f t="shared" si="85"/>
        <v>0</v>
      </c>
      <c r="AN90" s="746">
        <f t="shared" si="88"/>
        <v>0</v>
      </c>
      <c r="AO90" s="743">
        <f t="shared" si="89"/>
        <v>0</v>
      </c>
      <c r="AP90" s="747">
        <f t="shared" si="90"/>
        <v>0</v>
      </c>
      <c r="AQ90" s="747" t="e">
        <f t="shared" si="86"/>
        <v>#DIV/0!</v>
      </c>
      <c r="AS90" s="743">
        <f t="shared" si="91"/>
        <v>0</v>
      </c>
    </row>
    <row r="91" spans="1:45">
      <c r="A91" s="742" t="s">
        <v>416</v>
      </c>
      <c r="B91" s="743"/>
      <c r="C91" s="742"/>
      <c r="D91" s="743">
        <f>IF(D86=0,0,D$22)</f>
        <v>0</v>
      </c>
      <c r="E91" s="743">
        <f>IF(E86=0,0,E$22)</f>
        <v>0</v>
      </c>
      <c r="F91" s="743">
        <f>IF(F86=0,0,F$22)</f>
        <v>0</v>
      </c>
      <c r="G91" s="743">
        <f>IF(G86=0,0,G$22)</f>
        <v>0</v>
      </c>
      <c r="H91" s="743">
        <f>IF(H86=0,0,H$22)</f>
        <v>0</v>
      </c>
      <c r="I91" s="743">
        <f t="shared" ref="I91:AG91" si="94">IF(I86=0,0,I$22)</f>
        <v>0</v>
      </c>
      <c r="J91" s="743">
        <f t="shared" si="94"/>
        <v>0</v>
      </c>
      <c r="K91" s="743">
        <f t="shared" si="94"/>
        <v>0</v>
      </c>
      <c r="L91" s="743">
        <f t="shared" si="94"/>
        <v>0</v>
      </c>
      <c r="M91" s="743">
        <f t="shared" si="94"/>
        <v>0</v>
      </c>
      <c r="N91" s="743">
        <f t="shared" si="94"/>
        <v>0</v>
      </c>
      <c r="O91" s="743">
        <f t="shared" si="94"/>
        <v>0</v>
      </c>
      <c r="P91" s="743">
        <f t="shared" si="94"/>
        <v>0</v>
      </c>
      <c r="Q91" s="743">
        <f t="shared" si="94"/>
        <v>0</v>
      </c>
      <c r="R91" s="743">
        <f t="shared" si="94"/>
        <v>0</v>
      </c>
      <c r="S91" s="743">
        <f t="shared" si="94"/>
        <v>0</v>
      </c>
      <c r="T91" s="743">
        <f t="shared" si="94"/>
        <v>0</v>
      </c>
      <c r="U91" s="743">
        <f t="shared" si="94"/>
        <v>0</v>
      </c>
      <c r="V91" s="743">
        <f t="shared" si="94"/>
        <v>0</v>
      </c>
      <c r="W91" s="743">
        <f t="shared" si="94"/>
        <v>0</v>
      </c>
      <c r="X91" s="743">
        <f t="shared" si="94"/>
        <v>0</v>
      </c>
      <c r="Y91" s="743">
        <f t="shared" si="94"/>
        <v>0</v>
      </c>
      <c r="Z91" s="743">
        <f t="shared" si="94"/>
        <v>0</v>
      </c>
      <c r="AA91" s="743">
        <f t="shared" si="94"/>
        <v>0</v>
      </c>
      <c r="AB91" s="743">
        <f t="shared" si="94"/>
        <v>0</v>
      </c>
      <c r="AC91" s="743">
        <f t="shared" si="94"/>
        <v>0</v>
      </c>
      <c r="AD91" s="743">
        <f t="shared" si="94"/>
        <v>0</v>
      </c>
      <c r="AE91" s="743">
        <f t="shared" si="94"/>
        <v>0</v>
      </c>
      <c r="AF91" s="743">
        <f t="shared" si="94"/>
        <v>0</v>
      </c>
      <c r="AG91" s="744">
        <f t="shared" si="94"/>
        <v>0</v>
      </c>
      <c r="AH91" s="762">
        <f t="shared" si="80"/>
        <v>0</v>
      </c>
      <c r="AI91" s="760">
        <f t="shared" si="81"/>
        <v>0</v>
      </c>
      <c r="AJ91" s="760">
        <f t="shared" si="82"/>
        <v>0</v>
      </c>
      <c r="AK91" s="760">
        <f t="shared" si="83"/>
        <v>0</v>
      </c>
      <c r="AL91" s="760">
        <f t="shared" si="84"/>
        <v>0</v>
      </c>
      <c r="AM91" s="761">
        <f t="shared" si="85"/>
        <v>0</v>
      </c>
      <c r="AN91" s="746">
        <f t="shared" si="88"/>
        <v>0</v>
      </c>
      <c r="AO91" s="743">
        <f t="shared" si="89"/>
        <v>0</v>
      </c>
      <c r="AP91" s="747">
        <f t="shared" si="90"/>
        <v>0</v>
      </c>
      <c r="AQ91" s="747" t="e">
        <f t="shared" si="86"/>
        <v>#DIV/0!</v>
      </c>
      <c r="AS91" s="743">
        <f t="shared" si="91"/>
        <v>0</v>
      </c>
    </row>
    <row r="92" spans="1:45">
      <c r="A92" s="742" t="s">
        <v>465</v>
      </c>
      <c r="B92" s="743"/>
      <c r="C92" s="742"/>
      <c r="D92" s="743">
        <f t="shared" ref="D92:AG92" si="95">IF(D86=0,0,D$23)</f>
        <v>0</v>
      </c>
      <c r="E92" s="743">
        <f t="shared" si="95"/>
        <v>0</v>
      </c>
      <c r="F92" s="743">
        <f t="shared" si="95"/>
        <v>0</v>
      </c>
      <c r="G92" s="743">
        <f t="shared" si="95"/>
        <v>0</v>
      </c>
      <c r="H92" s="743">
        <f t="shared" si="95"/>
        <v>0</v>
      </c>
      <c r="I92" s="743">
        <f t="shared" si="95"/>
        <v>0</v>
      </c>
      <c r="J92" s="743">
        <f t="shared" si="95"/>
        <v>0</v>
      </c>
      <c r="K92" s="743">
        <f t="shared" si="95"/>
        <v>0</v>
      </c>
      <c r="L92" s="743">
        <f t="shared" si="95"/>
        <v>0</v>
      </c>
      <c r="M92" s="743">
        <f t="shared" si="95"/>
        <v>0</v>
      </c>
      <c r="N92" s="743">
        <f t="shared" si="95"/>
        <v>0</v>
      </c>
      <c r="O92" s="743">
        <f t="shared" si="95"/>
        <v>0</v>
      </c>
      <c r="P92" s="743">
        <f t="shared" si="95"/>
        <v>0</v>
      </c>
      <c r="Q92" s="743">
        <f t="shared" si="95"/>
        <v>0</v>
      </c>
      <c r="R92" s="743">
        <f t="shared" si="95"/>
        <v>0</v>
      </c>
      <c r="S92" s="743">
        <f t="shared" si="95"/>
        <v>0</v>
      </c>
      <c r="T92" s="743">
        <f t="shared" si="95"/>
        <v>0</v>
      </c>
      <c r="U92" s="743">
        <f t="shared" si="95"/>
        <v>0</v>
      </c>
      <c r="V92" s="743">
        <f t="shared" si="95"/>
        <v>0</v>
      </c>
      <c r="W92" s="743">
        <f t="shared" si="95"/>
        <v>0</v>
      </c>
      <c r="X92" s="743">
        <f t="shared" si="95"/>
        <v>0</v>
      </c>
      <c r="Y92" s="743">
        <f t="shared" si="95"/>
        <v>0</v>
      </c>
      <c r="Z92" s="743">
        <f t="shared" si="95"/>
        <v>0</v>
      </c>
      <c r="AA92" s="743">
        <f t="shared" si="95"/>
        <v>0</v>
      </c>
      <c r="AB92" s="743">
        <f t="shared" si="95"/>
        <v>0</v>
      </c>
      <c r="AC92" s="743">
        <f t="shared" si="95"/>
        <v>0</v>
      </c>
      <c r="AD92" s="743">
        <f t="shared" si="95"/>
        <v>0</v>
      </c>
      <c r="AE92" s="743">
        <f t="shared" si="95"/>
        <v>0</v>
      </c>
      <c r="AF92" s="743">
        <f t="shared" si="95"/>
        <v>0</v>
      </c>
      <c r="AG92" s="744">
        <f t="shared" si="95"/>
        <v>0</v>
      </c>
      <c r="AH92" s="762">
        <f t="shared" si="80"/>
        <v>0</v>
      </c>
      <c r="AI92" s="760">
        <f t="shared" si="81"/>
        <v>0</v>
      </c>
      <c r="AJ92" s="760">
        <f t="shared" si="82"/>
        <v>0</v>
      </c>
      <c r="AK92" s="760">
        <f t="shared" si="83"/>
        <v>0</v>
      </c>
      <c r="AL92" s="760">
        <f t="shared" si="84"/>
        <v>0</v>
      </c>
      <c r="AM92" s="761">
        <f t="shared" si="85"/>
        <v>0</v>
      </c>
      <c r="AN92" s="746">
        <f t="shared" si="88"/>
        <v>0</v>
      </c>
      <c r="AO92" s="743">
        <f t="shared" si="89"/>
        <v>0</v>
      </c>
      <c r="AP92" s="747">
        <f t="shared" si="90"/>
        <v>0</v>
      </c>
      <c r="AQ92" s="747" t="e">
        <f t="shared" si="86"/>
        <v>#DIV/0!</v>
      </c>
      <c r="AS92" s="743">
        <f t="shared" si="91"/>
        <v>0</v>
      </c>
    </row>
    <row r="93" spans="1:45">
      <c r="A93" s="742" t="s">
        <v>419</v>
      </c>
      <c r="B93" s="743"/>
      <c r="C93" s="742"/>
      <c r="D93" s="743">
        <f t="shared" ref="D93:AG93" si="96">IF(D86=0,0,D$24)</f>
        <v>0</v>
      </c>
      <c r="E93" s="743">
        <f t="shared" si="96"/>
        <v>0</v>
      </c>
      <c r="F93" s="743">
        <f t="shared" si="96"/>
        <v>0</v>
      </c>
      <c r="G93" s="743">
        <f t="shared" si="96"/>
        <v>0</v>
      </c>
      <c r="H93" s="743">
        <f t="shared" si="96"/>
        <v>0</v>
      </c>
      <c r="I93" s="743">
        <f t="shared" si="96"/>
        <v>0</v>
      </c>
      <c r="J93" s="743">
        <f t="shared" si="96"/>
        <v>0</v>
      </c>
      <c r="K93" s="743">
        <f t="shared" si="96"/>
        <v>0</v>
      </c>
      <c r="L93" s="743">
        <f t="shared" si="96"/>
        <v>0</v>
      </c>
      <c r="M93" s="743">
        <f t="shared" si="96"/>
        <v>0</v>
      </c>
      <c r="N93" s="743">
        <f t="shared" si="96"/>
        <v>0</v>
      </c>
      <c r="O93" s="743">
        <f t="shared" si="96"/>
        <v>0</v>
      </c>
      <c r="P93" s="743">
        <f t="shared" si="96"/>
        <v>0</v>
      </c>
      <c r="Q93" s="743">
        <f t="shared" si="96"/>
        <v>0</v>
      </c>
      <c r="R93" s="743">
        <f t="shared" si="96"/>
        <v>0</v>
      </c>
      <c r="S93" s="743">
        <f t="shared" si="96"/>
        <v>0</v>
      </c>
      <c r="T93" s="743">
        <f t="shared" si="96"/>
        <v>0</v>
      </c>
      <c r="U93" s="743">
        <f t="shared" si="96"/>
        <v>0</v>
      </c>
      <c r="V93" s="743">
        <f t="shared" si="96"/>
        <v>0</v>
      </c>
      <c r="W93" s="743">
        <f t="shared" si="96"/>
        <v>0</v>
      </c>
      <c r="X93" s="743">
        <f t="shared" si="96"/>
        <v>0</v>
      </c>
      <c r="Y93" s="743">
        <f t="shared" si="96"/>
        <v>0</v>
      </c>
      <c r="Z93" s="743">
        <f t="shared" si="96"/>
        <v>0</v>
      </c>
      <c r="AA93" s="743">
        <f t="shared" si="96"/>
        <v>0</v>
      </c>
      <c r="AB93" s="743">
        <f t="shared" si="96"/>
        <v>0</v>
      </c>
      <c r="AC93" s="743">
        <f t="shared" si="96"/>
        <v>0</v>
      </c>
      <c r="AD93" s="743">
        <f t="shared" si="96"/>
        <v>0</v>
      </c>
      <c r="AE93" s="743">
        <f t="shared" si="96"/>
        <v>0</v>
      </c>
      <c r="AF93" s="743">
        <f t="shared" si="96"/>
        <v>0</v>
      </c>
      <c r="AG93" s="744">
        <f t="shared" si="96"/>
        <v>0</v>
      </c>
      <c r="AH93" s="762">
        <f t="shared" si="80"/>
        <v>0</v>
      </c>
      <c r="AI93" s="760">
        <f t="shared" si="81"/>
        <v>0</v>
      </c>
      <c r="AJ93" s="760">
        <f t="shared" si="82"/>
        <v>0</v>
      </c>
      <c r="AK93" s="760">
        <f t="shared" si="83"/>
        <v>0</v>
      </c>
      <c r="AL93" s="760">
        <f t="shared" si="84"/>
        <v>0</v>
      </c>
      <c r="AM93" s="761">
        <f t="shared" si="85"/>
        <v>0</v>
      </c>
      <c r="AN93" s="746">
        <f t="shared" si="88"/>
        <v>0</v>
      </c>
      <c r="AO93" s="743">
        <f t="shared" si="89"/>
        <v>0</v>
      </c>
      <c r="AP93" s="747">
        <f t="shared" si="90"/>
        <v>0</v>
      </c>
      <c r="AQ93" s="747" t="e">
        <f t="shared" si="86"/>
        <v>#DIV/0!</v>
      </c>
      <c r="AS93" s="743">
        <f t="shared" si="91"/>
        <v>0</v>
      </c>
    </row>
    <row r="94" spans="1:45">
      <c r="AH94" s="766"/>
      <c r="AI94" s="767"/>
      <c r="AJ94" s="767"/>
      <c r="AK94" s="767"/>
      <c r="AL94" s="767"/>
      <c r="AM94" s="767"/>
      <c r="AN94" s="766"/>
      <c r="AO94" s="767"/>
      <c r="AP94" s="768"/>
      <c r="AQ94" s="768"/>
    </row>
    <row r="95" spans="1:45">
      <c r="A95" s="760" t="s">
        <v>475</v>
      </c>
      <c r="B95" s="774">
        <v>111258.68</v>
      </c>
      <c r="C95" s="759" t="s">
        <v>85</v>
      </c>
      <c r="D95" s="760"/>
      <c r="E95" s="760"/>
      <c r="F95" s="760"/>
      <c r="G95" s="760"/>
      <c r="H95" s="760"/>
      <c r="I95" s="760"/>
      <c r="J95" s="760"/>
      <c r="K95" s="760"/>
      <c r="L95" s="760"/>
      <c r="M95" s="760"/>
      <c r="N95" s="760"/>
      <c r="O95" s="760"/>
      <c r="P95" s="760"/>
      <c r="Q95" s="760"/>
      <c r="R95" s="760"/>
      <c r="S95" s="760"/>
      <c r="T95" s="760"/>
      <c r="U95" s="760"/>
      <c r="V95" s="760"/>
      <c r="W95" s="760"/>
      <c r="X95" s="760"/>
      <c r="Y95" s="760"/>
      <c r="Z95" s="760"/>
      <c r="AA95" s="760"/>
      <c r="AB95" s="760"/>
      <c r="AC95" s="760"/>
      <c r="AD95" s="760"/>
      <c r="AE95" s="760"/>
      <c r="AF95" s="760"/>
      <c r="AG95" s="761"/>
      <c r="AH95" s="762">
        <f>J95</f>
        <v>0</v>
      </c>
      <c r="AI95" s="760">
        <f>M95</f>
        <v>0</v>
      </c>
      <c r="AJ95" s="760">
        <f>Q95</f>
        <v>0</v>
      </c>
      <c r="AK95" s="760"/>
      <c r="AL95" s="760">
        <f>L95</f>
        <v>0</v>
      </c>
      <c r="AM95" s="761"/>
      <c r="AN95" s="765">
        <f>SUM(AH95:AI95)</f>
        <v>0</v>
      </c>
      <c r="AO95" s="760">
        <f>SUM(AJ95:AK95)</f>
        <v>0</v>
      </c>
      <c r="AP95" s="764">
        <f>SUM(AL95:AM95)</f>
        <v>0</v>
      </c>
      <c r="AQ95" s="764">
        <f>SUM(D95:AG95)</f>
        <v>0</v>
      </c>
      <c r="AS95" s="731">
        <f>SUM(AN95:AP95)</f>
        <v>0</v>
      </c>
    </row>
    <row r="96" spans="1:45">
      <c r="A96" s="742" t="s">
        <v>460</v>
      </c>
      <c r="B96" s="760"/>
      <c r="C96" s="759"/>
      <c r="D96" s="743">
        <f>IF(D95=0,0,D$18)</f>
        <v>0</v>
      </c>
      <c r="E96" s="743">
        <f>IF(E95=0,0,E$18)</f>
        <v>0</v>
      </c>
      <c r="F96" s="743">
        <f>IF(F95=0,0,F$18)</f>
        <v>0</v>
      </c>
      <c r="G96" s="743">
        <f>IF(G95=0,0,G$18)</f>
        <v>0</v>
      </c>
      <c r="H96" s="743">
        <f>IF(H95=0,0,H$18)</f>
        <v>0</v>
      </c>
      <c r="I96" s="743">
        <f t="shared" ref="I96:AG96" si="97">IF(I95=0,0,I$18)</f>
        <v>0</v>
      </c>
      <c r="J96" s="743">
        <f t="shared" si="97"/>
        <v>0</v>
      </c>
      <c r="K96" s="743">
        <f t="shared" si="97"/>
        <v>0</v>
      </c>
      <c r="L96" s="743">
        <f t="shared" si="97"/>
        <v>0</v>
      </c>
      <c r="M96" s="743">
        <f t="shared" si="97"/>
        <v>0</v>
      </c>
      <c r="N96" s="743">
        <f t="shared" si="97"/>
        <v>0</v>
      </c>
      <c r="O96" s="743">
        <f t="shared" si="97"/>
        <v>0</v>
      </c>
      <c r="P96" s="743">
        <f t="shared" si="97"/>
        <v>0</v>
      </c>
      <c r="Q96" s="743">
        <f t="shared" si="97"/>
        <v>0</v>
      </c>
      <c r="R96" s="743">
        <f t="shared" si="97"/>
        <v>0</v>
      </c>
      <c r="S96" s="743">
        <f t="shared" si="97"/>
        <v>0</v>
      </c>
      <c r="T96" s="743">
        <f t="shared" si="97"/>
        <v>0</v>
      </c>
      <c r="U96" s="743">
        <f t="shared" si="97"/>
        <v>0</v>
      </c>
      <c r="V96" s="743">
        <f t="shared" si="97"/>
        <v>0</v>
      </c>
      <c r="W96" s="743">
        <f t="shared" si="97"/>
        <v>0</v>
      </c>
      <c r="X96" s="743">
        <f t="shared" si="97"/>
        <v>0</v>
      </c>
      <c r="Y96" s="743">
        <f t="shared" si="97"/>
        <v>0</v>
      </c>
      <c r="Z96" s="743">
        <f t="shared" si="97"/>
        <v>0</v>
      </c>
      <c r="AA96" s="743">
        <f t="shared" si="97"/>
        <v>0</v>
      </c>
      <c r="AB96" s="743">
        <f t="shared" si="97"/>
        <v>0</v>
      </c>
      <c r="AC96" s="743">
        <f t="shared" si="97"/>
        <v>0</v>
      </c>
      <c r="AD96" s="743">
        <f t="shared" si="97"/>
        <v>0</v>
      </c>
      <c r="AE96" s="743">
        <f t="shared" si="97"/>
        <v>0</v>
      </c>
      <c r="AF96" s="743">
        <f t="shared" si="97"/>
        <v>0</v>
      </c>
      <c r="AG96" s="744">
        <f t="shared" si="97"/>
        <v>0</v>
      </c>
      <c r="AH96" s="762">
        <f t="shared" ref="AH96:AH102" si="98">J96</f>
        <v>0</v>
      </c>
      <c r="AI96" s="760">
        <f t="shared" ref="AI96:AI102" si="99">M96</f>
        <v>0</v>
      </c>
      <c r="AJ96" s="760">
        <f t="shared" ref="AJ96:AJ102" si="100">Q96</f>
        <v>0</v>
      </c>
      <c r="AK96" s="743"/>
      <c r="AL96" s="760">
        <f t="shared" ref="AL96:AL102" si="101">L96</f>
        <v>0</v>
      </c>
      <c r="AM96" s="744"/>
      <c r="AN96" s="746">
        <f>IF(AN$95=0,0,SUMPRODUCT(AH$95:AI$95,AH96:AI96)/AN$95)</f>
        <v>0</v>
      </c>
      <c r="AO96" s="743">
        <f>IF(AO$95=0,0,SUMPRODUCT(AJ$95:AK$95,AJ96:AK96)/AO$95)</f>
        <v>0</v>
      </c>
      <c r="AP96" s="747">
        <f>IF(AP$95=0,0,SUMPRODUCT(AL$95:AM$95,AL96:AM96)/AP$95)</f>
        <v>0</v>
      </c>
      <c r="AQ96" s="747" t="e">
        <f t="shared" ref="AQ96:AQ102" si="102">SUMPRODUCT(D$95:AG$95,D96:AG96)/AQ$95</f>
        <v>#DIV/0!</v>
      </c>
      <c r="AS96" s="743">
        <f>IF(AS$95=0,0,SUMPRODUCT(AN$95:AP$95,AN96:AP96)/AS$95)</f>
        <v>0</v>
      </c>
    </row>
    <row r="97" spans="1:46">
      <c r="A97" s="742" t="s">
        <v>462</v>
      </c>
      <c r="B97" s="743"/>
      <c r="C97" s="742"/>
      <c r="D97" s="743">
        <f t="shared" ref="D97:AG97" si="103">IF(D95=0,0,D$19)</f>
        <v>0</v>
      </c>
      <c r="E97" s="743">
        <f t="shared" si="103"/>
        <v>0</v>
      </c>
      <c r="F97" s="743">
        <f t="shared" si="103"/>
        <v>0</v>
      </c>
      <c r="G97" s="743">
        <f t="shared" si="103"/>
        <v>0</v>
      </c>
      <c r="H97" s="743">
        <f t="shared" si="103"/>
        <v>0</v>
      </c>
      <c r="I97" s="743">
        <f t="shared" si="103"/>
        <v>0</v>
      </c>
      <c r="J97" s="743">
        <f t="shared" si="103"/>
        <v>0</v>
      </c>
      <c r="K97" s="743">
        <f t="shared" si="103"/>
        <v>0</v>
      </c>
      <c r="L97" s="743">
        <f t="shared" si="103"/>
        <v>0</v>
      </c>
      <c r="M97" s="743">
        <f t="shared" si="103"/>
        <v>0</v>
      </c>
      <c r="N97" s="743">
        <f t="shared" si="103"/>
        <v>0</v>
      </c>
      <c r="O97" s="743">
        <f t="shared" si="103"/>
        <v>0</v>
      </c>
      <c r="P97" s="743">
        <f t="shared" si="103"/>
        <v>0</v>
      </c>
      <c r="Q97" s="743">
        <f t="shared" si="103"/>
        <v>0</v>
      </c>
      <c r="R97" s="743">
        <f t="shared" si="103"/>
        <v>0</v>
      </c>
      <c r="S97" s="743">
        <f t="shared" si="103"/>
        <v>0</v>
      </c>
      <c r="T97" s="743">
        <f t="shared" si="103"/>
        <v>0</v>
      </c>
      <c r="U97" s="743">
        <f t="shared" si="103"/>
        <v>0</v>
      </c>
      <c r="V97" s="743">
        <f t="shared" si="103"/>
        <v>0</v>
      </c>
      <c r="W97" s="743">
        <f t="shared" si="103"/>
        <v>0</v>
      </c>
      <c r="X97" s="743">
        <f t="shared" si="103"/>
        <v>0</v>
      </c>
      <c r="Y97" s="743">
        <f t="shared" si="103"/>
        <v>0</v>
      </c>
      <c r="Z97" s="743">
        <f t="shared" si="103"/>
        <v>0</v>
      </c>
      <c r="AA97" s="743">
        <f t="shared" si="103"/>
        <v>0</v>
      </c>
      <c r="AB97" s="743">
        <f t="shared" si="103"/>
        <v>0</v>
      </c>
      <c r="AC97" s="743">
        <f t="shared" si="103"/>
        <v>0</v>
      </c>
      <c r="AD97" s="743">
        <f t="shared" si="103"/>
        <v>0</v>
      </c>
      <c r="AE97" s="743">
        <f t="shared" si="103"/>
        <v>0</v>
      </c>
      <c r="AF97" s="743">
        <f t="shared" si="103"/>
        <v>0</v>
      </c>
      <c r="AG97" s="744">
        <f t="shared" si="103"/>
        <v>0</v>
      </c>
      <c r="AH97" s="762">
        <f t="shared" si="98"/>
        <v>0</v>
      </c>
      <c r="AI97" s="760">
        <f t="shared" si="99"/>
        <v>0</v>
      </c>
      <c r="AJ97" s="760">
        <f t="shared" si="100"/>
        <v>0</v>
      </c>
      <c r="AK97" s="743"/>
      <c r="AL97" s="760">
        <f t="shared" si="101"/>
        <v>0</v>
      </c>
      <c r="AM97" s="744"/>
      <c r="AN97" s="746">
        <f t="shared" ref="AN97:AN102" si="104">IF(AN$95=0,0,SUMPRODUCT(AH$95:AI$95,AH97:AI97)/AN$95)</f>
        <v>0</v>
      </c>
      <c r="AO97" s="743">
        <f t="shared" ref="AO97:AO102" si="105">IF(AO$95=0,0,SUMPRODUCT(AJ$95:AK$95,AJ97:AK97)/AO$95)</f>
        <v>0</v>
      </c>
      <c r="AP97" s="747">
        <f t="shared" ref="AP97:AP102" si="106">IF(AP$95=0,0,SUMPRODUCT(AL$95:AM$95,AL97:AM97)/AP$95)</f>
        <v>0</v>
      </c>
      <c r="AQ97" s="747" t="e">
        <f t="shared" si="102"/>
        <v>#DIV/0!</v>
      </c>
      <c r="AS97" s="743">
        <f t="shared" ref="AS97:AS102" si="107">IF(AS$95=0,0,SUMPRODUCT(AN$95:AP$95,AN97:AP97)/AS$95)</f>
        <v>0</v>
      </c>
    </row>
    <row r="98" spans="1:46">
      <c r="A98" s="742" t="s">
        <v>420</v>
      </c>
      <c r="B98" s="743"/>
      <c r="C98" s="742"/>
      <c r="D98" s="743">
        <f t="shared" ref="D98:AG98" si="108">IF(D95=0,0,D$20)</f>
        <v>0</v>
      </c>
      <c r="E98" s="743">
        <f t="shared" si="108"/>
        <v>0</v>
      </c>
      <c r="F98" s="743">
        <f t="shared" si="108"/>
        <v>0</v>
      </c>
      <c r="G98" s="743">
        <f t="shared" si="108"/>
        <v>0</v>
      </c>
      <c r="H98" s="743">
        <f t="shared" si="108"/>
        <v>0</v>
      </c>
      <c r="I98" s="743">
        <f t="shared" si="108"/>
        <v>0</v>
      </c>
      <c r="J98" s="743">
        <f t="shared" si="108"/>
        <v>0</v>
      </c>
      <c r="K98" s="743">
        <f t="shared" si="108"/>
        <v>0</v>
      </c>
      <c r="L98" s="743">
        <f t="shared" si="108"/>
        <v>0</v>
      </c>
      <c r="M98" s="743">
        <f t="shared" si="108"/>
        <v>0</v>
      </c>
      <c r="N98" s="743">
        <f t="shared" si="108"/>
        <v>0</v>
      </c>
      <c r="O98" s="743">
        <f t="shared" si="108"/>
        <v>0</v>
      </c>
      <c r="P98" s="743">
        <f t="shared" si="108"/>
        <v>0</v>
      </c>
      <c r="Q98" s="743">
        <f t="shared" si="108"/>
        <v>0</v>
      </c>
      <c r="R98" s="743">
        <f t="shared" si="108"/>
        <v>0</v>
      </c>
      <c r="S98" s="743">
        <f t="shared" si="108"/>
        <v>0</v>
      </c>
      <c r="T98" s="743">
        <f t="shared" si="108"/>
        <v>0</v>
      </c>
      <c r="U98" s="743">
        <f t="shared" si="108"/>
        <v>0</v>
      </c>
      <c r="V98" s="743">
        <f t="shared" si="108"/>
        <v>0</v>
      </c>
      <c r="W98" s="743">
        <f t="shared" si="108"/>
        <v>0</v>
      </c>
      <c r="X98" s="743">
        <f t="shared" si="108"/>
        <v>0</v>
      </c>
      <c r="Y98" s="743">
        <f t="shared" si="108"/>
        <v>0</v>
      </c>
      <c r="Z98" s="743">
        <f t="shared" si="108"/>
        <v>0</v>
      </c>
      <c r="AA98" s="743">
        <f t="shared" si="108"/>
        <v>0</v>
      </c>
      <c r="AB98" s="743">
        <f t="shared" si="108"/>
        <v>0</v>
      </c>
      <c r="AC98" s="743">
        <f t="shared" si="108"/>
        <v>0</v>
      </c>
      <c r="AD98" s="743">
        <f t="shared" si="108"/>
        <v>0</v>
      </c>
      <c r="AE98" s="743">
        <f t="shared" si="108"/>
        <v>0</v>
      </c>
      <c r="AF98" s="743">
        <f t="shared" si="108"/>
        <v>0</v>
      </c>
      <c r="AG98" s="744">
        <f t="shared" si="108"/>
        <v>0</v>
      </c>
      <c r="AH98" s="762">
        <f t="shared" si="98"/>
        <v>0</v>
      </c>
      <c r="AI98" s="760">
        <f t="shared" si="99"/>
        <v>0</v>
      </c>
      <c r="AJ98" s="760">
        <f t="shared" si="100"/>
        <v>0</v>
      </c>
      <c r="AK98" s="743"/>
      <c r="AL98" s="760">
        <f t="shared" si="101"/>
        <v>0</v>
      </c>
      <c r="AM98" s="744"/>
      <c r="AN98" s="746">
        <f t="shared" si="104"/>
        <v>0</v>
      </c>
      <c r="AO98" s="743">
        <f t="shared" si="105"/>
        <v>0</v>
      </c>
      <c r="AP98" s="747">
        <f t="shared" si="106"/>
        <v>0</v>
      </c>
      <c r="AQ98" s="747" t="e">
        <f t="shared" si="102"/>
        <v>#DIV/0!</v>
      </c>
      <c r="AS98" s="743">
        <f t="shared" si="107"/>
        <v>0</v>
      </c>
    </row>
    <row r="99" spans="1:46">
      <c r="A99" s="742" t="s">
        <v>464</v>
      </c>
      <c r="B99" s="743"/>
      <c r="C99" s="742"/>
      <c r="D99" s="743">
        <f t="shared" ref="D99:AG99" si="109">IF(D95=0,0,D$21)</f>
        <v>0</v>
      </c>
      <c r="E99" s="743">
        <f t="shared" si="109"/>
        <v>0</v>
      </c>
      <c r="F99" s="743">
        <f t="shared" si="109"/>
        <v>0</v>
      </c>
      <c r="G99" s="743">
        <f t="shared" si="109"/>
        <v>0</v>
      </c>
      <c r="H99" s="743">
        <f t="shared" si="109"/>
        <v>0</v>
      </c>
      <c r="I99" s="743">
        <f t="shared" si="109"/>
        <v>0</v>
      </c>
      <c r="J99" s="743">
        <f t="shared" si="109"/>
        <v>0</v>
      </c>
      <c r="K99" s="743">
        <f t="shared" si="109"/>
        <v>0</v>
      </c>
      <c r="L99" s="743">
        <f t="shared" si="109"/>
        <v>0</v>
      </c>
      <c r="M99" s="743">
        <f t="shared" si="109"/>
        <v>0</v>
      </c>
      <c r="N99" s="743">
        <f t="shared" si="109"/>
        <v>0</v>
      </c>
      <c r="O99" s="743">
        <f t="shared" si="109"/>
        <v>0</v>
      </c>
      <c r="P99" s="743">
        <f t="shared" si="109"/>
        <v>0</v>
      </c>
      <c r="Q99" s="743">
        <f t="shared" si="109"/>
        <v>0</v>
      </c>
      <c r="R99" s="743">
        <f t="shared" si="109"/>
        <v>0</v>
      </c>
      <c r="S99" s="743">
        <f t="shared" si="109"/>
        <v>0</v>
      </c>
      <c r="T99" s="743">
        <f t="shared" si="109"/>
        <v>0</v>
      </c>
      <c r="U99" s="743">
        <f t="shared" si="109"/>
        <v>0</v>
      </c>
      <c r="V99" s="743">
        <f t="shared" si="109"/>
        <v>0</v>
      </c>
      <c r="W99" s="743">
        <f t="shared" si="109"/>
        <v>0</v>
      </c>
      <c r="X99" s="743">
        <f t="shared" si="109"/>
        <v>0</v>
      </c>
      <c r="Y99" s="743">
        <f t="shared" si="109"/>
        <v>0</v>
      </c>
      <c r="Z99" s="743">
        <f t="shared" si="109"/>
        <v>0</v>
      </c>
      <c r="AA99" s="743">
        <f t="shared" si="109"/>
        <v>0</v>
      </c>
      <c r="AB99" s="743">
        <f t="shared" si="109"/>
        <v>0</v>
      </c>
      <c r="AC99" s="743">
        <f t="shared" si="109"/>
        <v>0</v>
      </c>
      <c r="AD99" s="743">
        <f t="shared" si="109"/>
        <v>0</v>
      </c>
      <c r="AE99" s="743">
        <f t="shared" si="109"/>
        <v>0</v>
      </c>
      <c r="AF99" s="743">
        <f t="shared" si="109"/>
        <v>0</v>
      </c>
      <c r="AG99" s="744">
        <f t="shared" si="109"/>
        <v>0</v>
      </c>
      <c r="AH99" s="762">
        <f t="shared" si="98"/>
        <v>0</v>
      </c>
      <c r="AI99" s="760">
        <f t="shared" si="99"/>
        <v>0</v>
      </c>
      <c r="AJ99" s="760">
        <f t="shared" si="100"/>
        <v>0</v>
      </c>
      <c r="AK99" s="743"/>
      <c r="AL99" s="760">
        <f t="shared" si="101"/>
        <v>0</v>
      </c>
      <c r="AM99" s="744"/>
      <c r="AN99" s="746">
        <f t="shared" si="104"/>
        <v>0</v>
      </c>
      <c r="AO99" s="743">
        <f t="shared" si="105"/>
        <v>0</v>
      </c>
      <c r="AP99" s="747">
        <f t="shared" si="106"/>
        <v>0</v>
      </c>
      <c r="AQ99" s="747" t="e">
        <f t="shared" si="102"/>
        <v>#DIV/0!</v>
      </c>
      <c r="AS99" s="743">
        <f t="shared" si="107"/>
        <v>0</v>
      </c>
    </row>
    <row r="100" spans="1:46">
      <c r="A100" s="742" t="s">
        <v>416</v>
      </c>
      <c r="B100" s="743"/>
      <c r="C100" s="742"/>
      <c r="D100" s="743">
        <f>IF(D95=0,0,D$22)</f>
        <v>0</v>
      </c>
      <c r="E100" s="743">
        <f>IF(E95=0,0,E$22)</f>
        <v>0</v>
      </c>
      <c r="F100" s="743">
        <f>IF(F95=0,0,F$22)</f>
        <v>0</v>
      </c>
      <c r="G100" s="743">
        <f>IF(G95=0,0,G$22)</f>
        <v>0</v>
      </c>
      <c r="H100" s="743">
        <f>IF(H95=0,0,H$22)</f>
        <v>0</v>
      </c>
      <c r="I100" s="743">
        <f t="shared" ref="I100:AG100" si="110">IF(I95=0,0,I$22)</f>
        <v>0</v>
      </c>
      <c r="J100" s="743">
        <f t="shared" si="110"/>
        <v>0</v>
      </c>
      <c r="K100" s="743">
        <f t="shared" si="110"/>
        <v>0</v>
      </c>
      <c r="L100" s="743">
        <f t="shared" si="110"/>
        <v>0</v>
      </c>
      <c r="M100" s="743">
        <f t="shared" si="110"/>
        <v>0</v>
      </c>
      <c r="N100" s="743">
        <f t="shared" si="110"/>
        <v>0</v>
      </c>
      <c r="O100" s="743">
        <f t="shared" si="110"/>
        <v>0</v>
      </c>
      <c r="P100" s="743">
        <f t="shared" si="110"/>
        <v>0</v>
      </c>
      <c r="Q100" s="743">
        <f t="shared" si="110"/>
        <v>0</v>
      </c>
      <c r="R100" s="743">
        <f t="shared" si="110"/>
        <v>0</v>
      </c>
      <c r="S100" s="743">
        <f t="shared" si="110"/>
        <v>0</v>
      </c>
      <c r="T100" s="743">
        <f t="shared" si="110"/>
        <v>0</v>
      </c>
      <c r="U100" s="743">
        <f t="shared" si="110"/>
        <v>0</v>
      </c>
      <c r="V100" s="743">
        <f t="shared" si="110"/>
        <v>0</v>
      </c>
      <c r="W100" s="743">
        <f t="shared" si="110"/>
        <v>0</v>
      </c>
      <c r="X100" s="743">
        <f t="shared" si="110"/>
        <v>0</v>
      </c>
      <c r="Y100" s="743">
        <f t="shared" si="110"/>
        <v>0</v>
      </c>
      <c r="Z100" s="743">
        <f t="shared" si="110"/>
        <v>0</v>
      </c>
      <c r="AA100" s="743">
        <f t="shared" si="110"/>
        <v>0</v>
      </c>
      <c r="AB100" s="743">
        <f t="shared" si="110"/>
        <v>0</v>
      </c>
      <c r="AC100" s="743">
        <f t="shared" si="110"/>
        <v>0</v>
      </c>
      <c r="AD100" s="743">
        <f t="shared" si="110"/>
        <v>0</v>
      </c>
      <c r="AE100" s="743">
        <f t="shared" si="110"/>
        <v>0</v>
      </c>
      <c r="AF100" s="743">
        <f t="shared" si="110"/>
        <v>0</v>
      </c>
      <c r="AG100" s="744">
        <f t="shared" si="110"/>
        <v>0</v>
      </c>
      <c r="AH100" s="762">
        <f t="shared" si="98"/>
        <v>0</v>
      </c>
      <c r="AI100" s="760">
        <f t="shared" si="99"/>
        <v>0</v>
      </c>
      <c r="AJ100" s="760">
        <f t="shared" si="100"/>
        <v>0</v>
      </c>
      <c r="AK100" s="743"/>
      <c r="AL100" s="760">
        <f t="shared" si="101"/>
        <v>0</v>
      </c>
      <c r="AM100" s="744"/>
      <c r="AN100" s="746">
        <f t="shared" si="104"/>
        <v>0</v>
      </c>
      <c r="AO100" s="743">
        <f t="shared" si="105"/>
        <v>0</v>
      </c>
      <c r="AP100" s="747">
        <f t="shared" si="106"/>
        <v>0</v>
      </c>
      <c r="AQ100" s="747" t="e">
        <f t="shared" si="102"/>
        <v>#DIV/0!</v>
      </c>
      <c r="AS100" s="743">
        <f t="shared" si="107"/>
        <v>0</v>
      </c>
    </row>
    <row r="101" spans="1:46">
      <c r="A101" s="742" t="s">
        <v>465</v>
      </c>
      <c r="B101" s="743"/>
      <c r="C101" s="742"/>
      <c r="D101" s="743">
        <f t="shared" ref="D101:AG101" si="111">IF(D95=0,0,D$23)</f>
        <v>0</v>
      </c>
      <c r="E101" s="743">
        <f t="shared" si="111"/>
        <v>0</v>
      </c>
      <c r="F101" s="743">
        <f t="shared" si="111"/>
        <v>0</v>
      </c>
      <c r="G101" s="743">
        <f t="shared" si="111"/>
        <v>0</v>
      </c>
      <c r="H101" s="743">
        <f t="shared" si="111"/>
        <v>0</v>
      </c>
      <c r="I101" s="743">
        <f t="shared" si="111"/>
        <v>0</v>
      </c>
      <c r="J101" s="743">
        <f t="shared" si="111"/>
        <v>0</v>
      </c>
      <c r="K101" s="743">
        <f t="shared" si="111"/>
        <v>0</v>
      </c>
      <c r="L101" s="743">
        <f t="shared" si="111"/>
        <v>0</v>
      </c>
      <c r="M101" s="743">
        <f t="shared" si="111"/>
        <v>0</v>
      </c>
      <c r="N101" s="743">
        <f t="shared" si="111"/>
        <v>0</v>
      </c>
      <c r="O101" s="743">
        <f t="shared" si="111"/>
        <v>0</v>
      </c>
      <c r="P101" s="743">
        <f t="shared" si="111"/>
        <v>0</v>
      </c>
      <c r="Q101" s="743">
        <f t="shared" si="111"/>
        <v>0</v>
      </c>
      <c r="R101" s="743">
        <f t="shared" si="111"/>
        <v>0</v>
      </c>
      <c r="S101" s="743">
        <f t="shared" si="111"/>
        <v>0</v>
      </c>
      <c r="T101" s="743">
        <f t="shared" si="111"/>
        <v>0</v>
      </c>
      <c r="U101" s="743">
        <f t="shared" si="111"/>
        <v>0</v>
      </c>
      <c r="V101" s="743">
        <f t="shared" si="111"/>
        <v>0</v>
      </c>
      <c r="W101" s="743">
        <f t="shared" si="111"/>
        <v>0</v>
      </c>
      <c r="X101" s="743">
        <f t="shared" si="111"/>
        <v>0</v>
      </c>
      <c r="Y101" s="743">
        <f t="shared" si="111"/>
        <v>0</v>
      </c>
      <c r="Z101" s="743">
        <f t="shared" si="111"/>
        <v>0</v>
      </c>
      <c r="AA101" s="743">
        <f t="shared" si="111"/>
        <v>0</v>
      </c>
      <c r="AB101" s="743">
        <f t="shared" si="111"/>
        <v>0</v>
      </c>
      <c r="AC101" s="743">
        <f t="shared" si="111"/>
        <v>0</v>
      </c>
      <c r="AD101" s="743">
        <f t="shared" si="111"/>
        <v>0</v>
      </c>
      <c r="AE101" s="743">
        <f t="shared" si="111"/>
        <v>0</v>
      </c>
      <c r="AF101" s="743">
        <f t="shared" si="111"/>
        <v>0</v>
      </c>
      <c r="AG101" s="744">
        <f t="shared" si="111"/>
        <v>0</v>
      </c>
      <c r="AH101" s="762">
        <f t="shared" si="98"/>
        <v>0</v>
      </c>
      <c r="AI101" s="760">
        <f t="shared" si="99"/>
        <v>0</v>
      </c>
      <c r="AJ101" s="760">
        <f t="shared" si="100"/>
        <v>0</v>
      </c>
      <c r="AK101" s="743"/>
      <c r="AL101" s="760">
        <f t="shared" si="101"/>
        <v>0</v>
      </c>
      <c r="AM101" s="744"/>
      <c r="AN101" s="746">
        <f t="shared" si="104"/>
        <v>0</v>
      </c>
      <c r="AO101" s="743">
        <f t="shared" si="105"/>
        <v>0</v>
      </c>
      <c r="AP101" s="747">
        <f t="shared" si="106"/>
        <v>0</v>
      </c>
      <c r="AQ101" s="747" t="e">
        <f t="shared" si="102"/>
        <v>#DIV/0!</v>
      </c>
      <c r="AS101" s="743">
        <f t="shared" si="107"/>
        <v>0</v>
      </c>
    </row>
    <row r="102" spans="1:46">
      <c r="A102" s="742" t="s">
        <v>419</v>
      </c>
      <c r="B102" s="743"/>
      <c r="C102" s="742"/>
      <c r="D102" s="743">
        <f t="shared" ref="D102:AG102" si="112">IF(D95=0,0,D$24)</f>
        <v>0</v>
      </c>
      <c r="E102" s="743">
        <f t="shared" si="112"/>
        <v>0</v>
      </c>
      <c r="F102" s="743">
        <f t="shared" si="112"/>
        <v>0</v>
      </c>
      <c r="G102" s="743">
        <f t="shared" si="112"/>
        <v>0</v>
      </c>
      <c r="H102" s="743">
        <f t="shared" si="112"/>
        <v>0</v>
      </c>
      <c r="I102" s="743">
        <f t="shared" si="112"/>
        <v>0</v>
      </c>
      <c r="J102" s="743">
        <f t="shared" si="112"/>
        <v>0</v>
      </c>
      <c r="K102" s="743">
        <f t="shared" si="112"/>
        <v>0</v>
      </c>
      <c r="L102" s="743">
        <f t="shared" si="112"/>
        <v>0</v>
      </c>
      <c r="M102" s="743">
        <f t="shared" si="112"/>
        <v>0</v>
      </c>
      <c r="N102" s="743">
        <f t="shared" si="112"/>
        <v>0</v>
      </c>
      <c r="O102" s="743">
        <f t="shared" si="112"/>
        <v>0</v>
      </c>
      <c r="P102" s="743">
        <f t="shared" si="112"/>
        <v>0</v>
      </c>
      <c r="Q102" s="743">
        <f t="shared" si="112"/>
        <v>0</v>
      </c>
      <c r="R102" s="743">
        <f t="shared" si="112"/>
        <v>0</v>
      </c>
      <c r="S102" s="743">
        <f t="shared" si="112"/>
        <v>0</v>
      </c>
      <c r="T102" s="743">
        <f t="shared" si="112"/>
        <v>0</v>
      </c>
      <c r="U102" s="743">
        <f t="shared" si="112"/>
        <v>0</v>
      </c>
      <c r="V102" s="743">
        <f t="shared" si="112"/>
        <v>0</v>
      </c>
      <c r="W102" s="743">
        <f t="shared" si="112"/>
        <v>0</v>
      </c>
      <c r="X102" s="743">
        <f t="shared" si="112"/>
        <v>0</v>
      </c>
      <c r="Y102" s="743">
        <f t="shared" si="112"/>
        <v>0</v>
      </c>
      <c r="Z102" s="743">
        <f t="shared" si="112"/>
        <v>0</v>
      </c>
      <c r="AA102" s="743">
        <f t="shared" si="112"/>
        <v>0</v>
      </c>
      <c r="AB102" s="743">
        <f t="shared" si="112"/>
        <v>0</v>
      </c>
      <c r="AC102" s="743">
        <f t="shared" si="112"/>
        <v>0</v>
      </c>
      <c r="AD102" s="743">
        <f t="shared" si="112"/>
        <v>0</v>
      </c>
      <c r="AE102" s="743">
        <f t="shared" si="112"/>
        <v>0</v>
      </c>
      <c r="AF102" s="743">
        <f t="shared" si="112"/>
        <v>0</v>
      </c>
      <c r="AG102" s="744">
        <f t="shared" si="112"/>
        <v>0</v>
      </c>
      <c r="AH102" s="762">
        <f t="shared" si="98"/>
        <v>0</v>
      </c>
      <c r="AI102" s="760">
        <f t="shared" si="99"/>
        <v>0</v>
      </c>
      <c r="AJ102" s="760">
        <f t="shared" si="100"/>
        <v>0</v>
      </c>
      <c r="AK102" s="743"/>
      <c r="AL102" s="760">
        <f t="shared" si="101"/>
        <v>0</v>
      </c>
      <c r="AM102" s="744"/>
      <c r="AN102" s="746">
        <f t="shared" si="104"/>
        <v>0</v>
      </c>
      <c r="AO102" s="743">
        <f t="shared" si="105"/>
        <v>0</v>
      </c>
      <c r="AP102" s="747">
        <f t="shared" si="106"/>
        <v>0</v>
      </c>
      <c r="AQ102" s="747" t="e">
        <f t="shared" si="102"/>
        <v>#DIV/0!</v>
      </c>
      <c r="AS102" s="743">
        <f t="shared" si="107"/>
        <v>0</v>
      </c>
    </row>
    <row r="103" spans="1:46">
      <c r="AH103" s="766"/>
      <c r="AI103" s="767"/>
      <c r="AJ103" s="767"/>
      <c r="AK103" s="767"/>
      <c r="AL103" s="767"/>
      <c r="AM103" s="767"/>
      <c r="AN103" s="766"/>
      <c r="AO103" s="767"/>
      <c r="AP103" s="768"/>
      <c r="AQ103" s="768"/>
    </row>
    <row r="104" spans="1:46">
      <c r="A104" s="760" t="s">
        <v>476</v>
      </c>
      <c r="B104" s="774">
        <v>172284.90900000001</v>
      </c>
      <c r="C104" s="759" t="s">
        <v>85</v>
      </c>
      <c r="D104" s="760"/>
      <c r="E104" s="760"/>
      <c r="F104" s="760">
        <v>7400.17333984375</v>
      </c>
      <c r="G104" s="760">
        <v>10097.466674804688</v>
      </c>
      <c r="H104" s="760"/>
      <c r="I104" s="760">
        <v>37310.478466033936</v>
      </c>
      <c r="J104" s="760">
        <v>31222.9658203125</v>
      </c>
      <c r="K104" s="760"/>
      <c r="L104" s="760">
        <v>23106.319194122319</v>
      </c>
      <c r="M104" s="760">
        <v>47222.045227050781</v>
      </c>
      <c r="N104" s="760">
        <v>10317.800598144531</v>
      </c>
      <c r="O104" s="760"/>
      <c r="P104" s="760">
        <v>2612.300277832037</v>
      </c>
      <c r="Q104" s="760">
        <v>2995.3594018554686</v>
      </c>
      <c r="R104" s="760"/>
      <c r="S104" s="760"/>
      <c r="T104" s="760"/>
      <c r="U104" s="760"/>
      <c r="V104" s="760">
        <v>0</v>
      </c>
      <c r="W104" s="760"/>
      <c r="X104" s="760"/>
      <c r="Y104" s="760">
        <v>0</v>
      </c>
      <c r="Z104" s="760"/>
      <c r="AA104" s="760"/>
      <c r="AB104" s="760">
        <v>0</v>
      </c>
      <c r="AC104" s="760"/>
      <c r="AD104" s="760"/>
      <c r="AE104" s="760">
        <v>0</v>
      </c>
      <c r="AF104" s="760"/>
      <c r="AG104" s="761"/>
      <c r="AH104" s="762">
        <f>J104+G104</f>
        <v>41320.432495117188</v>
      </c>
      <c r="AI104" s="760">
        <f>M104+P104</f>
        <v>49834.345504882818</v>
      </c>
      <c r="AJ104" s="760">
        <f>N104</f>
        <v>10317.800598144531</v>
      </c>
      <c r="AK104" s="760">
        <f>Q104</f>
        <v>2995.3594018554686</v>
      </c>
      <c r="AL104" s="760">
        <f>I104+F104</f>
        <v>44710.651805877686</v>
      </c>
      <c r="AM104" s="761">
        <f>L104</f>
        <v>23106.319194122319</v>
      </c>
      <c r="AN104" s="765">
        <f>SUM(AH104:AI104)</f>
        <v>91154.778000000006</v>
      </c>
      <c r="AO104" s="760">
        <f>SUM(AJ104:AK104)</f>
        <v>13313.16</v>
      </c>
      <c r="AP104" s="764">
        <f>SUM(AL104:AM104)</f>
        <v>67816.971000000005</v>
      </c>
      <c r="AQ104" s="764">
        <f>SUM(D104:AG104)</f>
        <v>172284.90900000001</v>
      </c>
      <c r="AS104" s="731">
        <f>SUM(AN104:AP104)</f>
        <v>172284.90900000001</v>
      </c>
    </row>
    <row r="105" spans="1:46">
      <c r="A105" s="742" t="s">
        <v>460</v>
      </c>
      <c r="B105" s="760"/>
      <c r="C105" s="759"/>
      <c r="D105" s="743">
        <f>IF(D104=0,0,D$18)</f>
        <v>0</v>
      </c>
      <c r="E105" s="743">
        <f>IF(E104=0,0,E$18)</f>
        <v>0</v>
      </c>
      <c r="F105" s="743">
        <f>IF(F104=0,0,F$18)</f>
        <v>4114.96533203125</v>
      </c>
      <c r="G105" s="743">
        <f>IF(G104=0,0,G$18)</f>
        <v>4808.399658203125</v>
      </c>
      <c r="H105" s="743">
        <f>IF(H104=0,0,H$18)</f>
        <v>0</v>
      </c>
      <c r="I105" s="743">
        <f t="shared" ref="I105:AG105" si="113">IF(I104=0,0,I$18)</f>
        <v>4094.7652587890625</v>
      </c>
      <c r="J105" s="743">
        <f t="shared" si="113"/>
        <v>4838.901611328125</v>
      </c>
      <c r="K105" s="743">
        <f t="shared" si="113"/>
        <v>0</v>
      </c>
      <c r="L105" s="743">
        <f t="shared" si="113"/>
        <v>4355.78125</v>
      </c>
      <c r="M105" s="743">
        <f t="shared" si="113"/>
        <v>4854.02197265625</v>
      </c>
      <c r="N105" s="743">
        <f t="shared" si="113"/>
        <v>4583.47412109375</v>
      </c>
      <c r="O105" s="743">
        <f t="shared" si="113"/>
        <v>0</v>
      </c>
      <c r="P105" s="743">
        <f t="shared" si="113"/>
        <v>4688.514892578125</v>
      </c>
      <c r="Q105" s="743">
        <f t="shared" si="113"/>
        <v>4391.273681640625</v>
      </c>
      <c r="R105" s="743">
        <f t="shared" si="113"/>
        <v>0</v>
      </c>
      <c r="S105" s="743">
        <f t="shared" si="113"/>
        <v>0</v>
      </c>
      <c r="T105" s="743">
        <f t="shared" si="113"/>
        <v>0</v>
      </c>
      <c r="U105" s="743">
        <f t="shared" si="113"/>
        <v>0</v>
      </c>
      <c r="V105" s="743">
        <f t="shared" si="113"/>
        <v>0</v>
      </c>
      <c r="W105" s="743">
        <f t="shared" si="113"/>
        <v>0</v>
      </c>
      <c r="X105" s="743">
        <f t="shared" si="113"/>
        <v>0</v>
      </c>
      <c r="Y105" s="743">
        <f t="shared" si="113"/>
        <v>0</v>
      </c>
      <c r="Z105" s="743">
        <f t="shared" si="113"/>
        <v>0</v>
      </c>
      <c r="AA105" s="743">
        <f t="shared" si="113"/>
        <v>0</v>
      </c>
      <c r="AB105" s="743">
        <f t="shared" si="113"/>
        <v>0</v>
      </c>
      <c r="AC105" s="743">
        <f t="shared" si="113"/>
        <v>0</v>
      </c>
      <c r="AD105" s="743">
        <f t="shared" si="113"/>
        <v>0</v>
      </c>
      <c r="AE105" s="743">
        <f t="shared" si="113"/>
        <v>0</v>
      </c>
      <c r="AF105" s="743">
        <f t="shared" si="113"/>
        <v>0</v>
      </c>
      <c r="AG105" s="744">
        <f t="shared" si="113"/>
        <v>0</v>
      </c>
      <c r="AH105" s="762">
        <f>+($J$104*J105+$G$104*G105)/$AH$104</f>
        <v>4831.4478545158618</v>
      </c>
      <c r="AI105" s="760">
        <f>+($M$104*M105+$P$104*P105)/$AI$104</f>
        <v>4845.3461450339346</v>
      </c>
      <c r="AJ105" s="760">
        <f t="shared" ref="AJ105:AJ111" si="114">N105</f>
        <v>4583.47412109375</v>
      </c>
      <c r="AK105" s="743">
        <f t="shared" ref="AK105:AK111" si="115">Q105</f>
        <v>4391.273681640625</v>
      </c>
      <c r="AL105" s="760">
        <f>+($F$104*F105+$I$104*I105)/$AL$104</f>
        <v>4098.108624126673</v>
      </c>
      <c r="AM105" s="761">
        <f t="shared" ref="AM105:AM111" si="116">L105</f>
        <v>4355.78125</v>
      </c>
      <c r="AN105" s="746">
        <f>IF(AN$104=0,0,SUMPRODUCT(AH$104:AI$104,AH105:AI105)/AN$104)</f>
        <v>4839.0460542679893</v>
      </c>
      <c r="AO105" s="743">
        <f>IF(AO$104=0,0,SUMPRODUCT(AJ$104:AK$104,AJ105:AK105)/AO$104)</f>
        <v>4540.2304889766065</v>
      </c>
      <c r="AP105" s="747">
        <f>IF(AP$104=0,0,SUMPRODUCT(AL$104:AM$104,AL105:AM105)/AP$104)</f>
        <v>4185.9017805184076</v>
      </c>
      <c r="AQ105" s="747">
        <f t="shared" ref="AQ105:AQ111" si="117">SUMPRODUCT(D$104:AG$104,D105:AG105)/AQ$104</f>
        <v>4558.8564196499856</v>
      </c>
      <c r="AS105" s="743">
        <f>IF(AS$104=0,0,SUMPRODUCT(AN$104:AP$104,AN105:AP105)/AS$104)</f>
        <v>4558.8564196499856</v>
      </c>
      <c r="AT105" s="731">
        <f>+SUMPRODUCT($AN$104:$AO$104,AN105:AO105)/SUM($AN$104:$AO$104)</f>
        <v>4800.9656680042672</v>
      </c>
    </row>
    <row r="106" spans="1:46">
      <c r="A106" s="742" t="s">
        <v>462</v>
      </c>
      <c r="B106" s="743"/>
      <c r="C106" s="742"/>
      <c r="D106" s="743">
        <f t="shared" ref="D106:AG106" si="118">IF(D104=0,0,D$19)</f>
        <v>0</v>
      </c>
      <c r="E106" s="743">
        <f t="shared" si="118"/>
        <v>0</v>
      </c>
      <c r="F106" s="743">
        <f t="shared" si="118"/>
        <v>3540.8888933015155</v>
      </c>
      <c r="G106" s="743">
        <f t="shared" si="118"/>
        <v>4218.0453968050415</v>
      </c>
      <c r="H106" s="743">
        <f t="shared" si="118"/>
        <v>0</v>
      </c>
      <c r="I106" s="743">
        <f t="shared" si="118"/>
        <v>3651.4181807695495</v>
      </c>
      <c r="J106" s="743">
        <f t="shared" si="118"/>
        <v>4181.5570181748499</v>
      </c>
      <c r="K106" s="743">
        <f t="shared" si="118"/>
        <v>0</v>
      </c>
      <c r="L106" s="743">
        <f t="shared" si="118"/>
        <v>3733.4101234885643</v>
      </c>
      <c r="M106" s="743">
        <f t="shared" si="118"/>
        <v>3957.8006243331392</v>
      </c>
      <c r="N106" s="743">
        <f t="shared" si="118"/>
        <v>3704.7475873196636</v>
      </c>
      <c r="O106" s="743">
        <f t="shared" si="118"/>
        <v>0</v>
      </c>
      <c r="P106" s="743">
        <f t="shared" si="118"/>
        <v>3918.1817819971125</v>
      </c>
      <c r="Q106" s="743">
        <f t="shared" si="118"/>
        <v>3698.4350040172335</v>
      </c>
      <c r="R106" s="743">
        <f t="shared" si="118"/>
        <v>0</v>
      </c>
      <c r="S106" s="743">
        <f t="shared" si="118"/>
        <v>0</v>
      </c>
      <c r="T106" s="743">
        <f t="shared" si="118"/>
        <v>0</v>
      </c>
      <c r="U106" s="743">
        <f t="shared" si="118"/>
        <v>0</v>
      </c>
      <c r="V106" s="743">
        <f t="shared" si="118"/>
        <v>0</v>
      </c>
      <c r="W106" s="743">
        <f t="shared" si="118"/>
        <v>0</v>
      </c>
      <c r="X106" s="743">
        <f t="shared" si="118"/>
        <v>0</v>
      </c>
      <c r="Y106" s="743">
        <f t="shared" si="118"/>
        <v>0</v>
      </c>
      <c r="Z106" s="743">
        <f t="shared" si="118"/>
        <v>0</v>
      </c>
      <c r="AA106" s="743">
        <f t="shared" si="118"/>
        <v>0</v>
      </c>
      <c r="AB106" s="743">
        <f t="shared" si="118"/>
        <v>0</v>
      </c>
      <c r="AC106" s="743">
        <f t="shared" si="118"/>
        <v>0</v>
      </c>
      <c r="AD106" s="743">
        <f t="shared" si="118"/>
        <v>0</v>
      </c>
      <c r="AE106" s="743">
        <f t="shared" si="118"/>
        <v>0</v>
      </c>
      <c r="AF106" s="743">
        <f t="shared" si="118"/>
        <v>0</v>
      </c>
      <c r="AG106" s="744">
        <f t="shared" si="118"/>
        <v>0</v>
      </c>
      <c r="AH106" s="762">
        <f t="shared" ref="AH106:AH111" si="119">+($J$104*J106+$G$104*G106)/$AH$104</f>
        <v>4190.4736767136865</v>
      </c>
      <c r="AI106" s="760">
        <f t="shared" ref="AI106:AI111" si="120">+($M$104*M106+$P$104*P106)/$AI$104</f>
        <v>3955.7238174283179</v>
      </c>
      <c r="AJ106" s="760">
        <f t="shared" si="114"/>
        <v>3704.7475873196636</v>
      </c>
      <c r="AK106" s="743">
        <f t="shared" si="115"/>
        <v>3698.4350040172335</v>
      </c>
      <c r="AL106" s="760">
        <f t="shared" ref="AL106:AL111" si="121">+($F$104*F106+$I$104*I106)/$AL$104</f>
        <v>3633.1241981645962</v>
      </c>
      <c r="AM106" s="761">
        <f t="shared" si="116"/>
        <v>3733.4101234885643</v>
      </c>
      <c r="AN106" s="746">
        <f t="shared" ref="AN106:AN111" si="122">IF(AN$104=0,0,SUMPRODUCT(AH$104:AI$104,AH106:AI106)/AN$104)</f>
        <v>4062.1358555755592</v>
      </c>
      <c r="AO106" s="743">
        <f t="shared" ref="AO106:AO111" si="123">IF(AO$104=0,0,SUMPRODUCT(AJ$104:AK$104,AJ106:AK106)/AO$104)</f>
        <v>3703.3273042505102</v>
      </c>
      <c r="AP106" s="747">
        <f t="shared" ref="AP106:AP111" si="124">IF(AP$104=0,0,SUMPRODUCT(AL$104:AM$104,AL106:AM106)/AP$104)</f>
        <v>3667.2932058192359</v>
      </c>
      <c r="AQ106" s="747">
        <f t="shared" si="117"/>
        <v>3878.9862787240763</v>
      </c>
      <c r="AS106" s="743">
        <f t="shared" ref="AS106:AS111" si="125">IF(AS$104=0,0,SUMPRODUCT(AN$104:AP$104,AN106:AP106)/AS$104)</f>
        <v>3878.9862787240759</v>
      </c>
      <c r="AT106" s="731">
        <f t="shared" ref="AT106:AT111" si="126">+SUMPRODUCT($AN$104:$AO$104,AN106:AO106)/SUM($AN$104:$AO$104)</f>
        <v>4016.4100975620468</v>
      </c>
    </row>
    <row r="107" spans="1:46">
      <c r="A107" s="742" t="s">
        <v>420</v>
      </c>
      <c r="B107" s="743"/>
      <c r="C107" s="742"/>
      <c r="D107" s="743">
        <f t="shared" ref="D107:AG107" si="127">IF(D104=0,0,D$20)</f>
        <v>0</v>
      </c>
      <c r="E107" s="743">
        <f t="shared" si="127"/>
        <v>0</v>
      </c>
      <c r="F107" s="743">
        <f t="shared" si="127"/>
        <v>0.13078996539115906</v>
      </c>
      <c r="G107" s="743">
        <f t="shared" si="127"/>
        <v>0.12217956036329269</v>
      </c>
      <c r="H107" s="743">
        <f t="shared" si="127"/>
        <v>0</v>
      </c>
      <c r="I107" s="743">
        <f t="shared" si="127"/>
        <v>0.13155660778284073</v>
      </c>
      <c r="J107" s="743">
        <f t="shared" si="127"/>
        <v>0.11469417810440063</v>
      </c>
      <c r="K107" s="743">
        <f t="shared" si="127"/>
        <v>0</v>
      </c>
      <c r="L107" s="743">
        <f t="shared" si="127"/>
        <v>0.13813723623752594</v>
      </c>
      <c r="M107" s="743">
        <f t="shared" si="127"/>
        <v>0.11233191564679146</v>
      </c>
      <c r="N107" s="743">
        <f t="shared" si="127"/>
        <v>0.1816391721367836</v>
      </c>
      <c r="O107" s="743">
        <f t="shared" si="127"/>
        <v>0</v>
      </c>
      <c r="P107" s="743">
        <f t="shared" si="127"/>
        <v>0.10967570170760155</v>
      </c>
      <c r="Q107" s="743">
        <f t="shared" si="127"/>
        <v>0.20138873904943466</v>
      </c>
      <c r="R107" s="743">
        <f t="shared" si="127"/>
        <v>0</v>
      </c>
      <c r="S107" s="743">
        <f t="shared" si="127"/>
        <v>0</v>
      </c>
      <c r="T107" s="743">
        <f t="shared" si="127"/>
        <v>0</v>
      </c>
      <c r="U107" s="743">
        <f t="shared" si="127"/>
        <v>0</v>
      </c>
      <c r="V107" s="743">
        <f t="shared" si="127"/>
        <v>0</v>
      </c>
      <c r="W107" s="743">
        <f t="shared" si="127"/>
        <v>0</v>
      </c>
      <c r="X107" s="743">
        <f t="shared" si="127"/>
        <v>0</v>
      </c>
      <c r="Y107" s="743">
        <f t="shared" si="127"/>
        <v>0</v>
      </c>
      <c r="Z107" s="743">
        <f t="shared" si="127"/>
        <v>0</v>
      </c>
      <c r="AA107" s="743">
        <f t="shared" si="127"/>
        <v>0</v>
      </c>
      <c r="AB107" s="743">
        <f t="shared" si="127"/>
        <v>0</v>
      </c>
      <c r="AC107" s="743">
        <f t="shared" si="127"/>
        <v>0</v>
      </c>
      <c r="AD107" s="743">
        <f t="shared" si="127"/>
        <v>0</v>
      </c>
      <c r="AE107" s="743">
        <f t="shared" si="127"/>
        <v>0</v>
      </c>
      <c r="AF107" s="743">
        <f t="shared" si="127"/>
        <v>0</v>
      </c>
      <c r="AG107" s="744">
        <f t="shared" si="127"/>
        <v>0</v>
      </c>
      <c r="AH107" s="762">
        <f t="shared" si="119"/>
        <v>0.11652337962392172</v>
      </c>
      <c r="AI107" s="760">
        <f t="shared" si="120"/>
        <v>0.11219267777096448</v>
      </c>
      <c r="AJ107" s="760">
        <f t="shared" si="114"/>
        <v>0.1816391721367836</v>
      </c>
      <c r="AK107" s="743">
        <f t="shared" si="115"/>
        <v>0.20138873904943466</v>
      </c>
      <c r="AL107" s="760">
        <f t="shared" si="121"/>
        <v>0.13142971885684723</v>
      </c>
      <c r="AM107" s="761">
        <f t="shared" si="116"/>
        <v>0.13813723623752594</v>
      </c>
      <c r="AN107" s="746">
        <f t="shared" si="122"/>
        <v>0.11415578357296204</v>
      </c>
      <c r="AO107" s="743">
        <f t="shared" si="123"/>
        <v>0.18608267397514378</v>
      </c>
      <c r="AP107" s="747">
        <f t="shared" si="124"/>
        <v>0.13371507656764922</v>
      </c>
      <c r="AQ107" s="747">
        <f t="shared" si="117"/>
        <v>0.12741304573994566</v>
      </c>
      <c r="AS107" s="743">
        <f t="shared" si="125"/>
        <v>0.12741304573994564</v>
      </c>
      <c r="AT107" s="731">
        <f t="shared" si="126"/>
        <v>0.12332198536232548</v>
      </c>
    </row>
    <row r="108" spans="1:46">
      <c r="A108" s="742" t="s">
        <v>464</v>
      </c>
      <c r="B108" s="743"/>
      <c r="C108" s="742"/>
      <c r="D108" s="743">
        <f t="shared" ref="D108:AG108" si="128">IF(D104=0,0,D$21)</f>
        <v>0</v>
      </c>
      <c r="E108" s="743">
        <f t="shared" si="128"/>
        <v>0</v>
      </c>
      <c r="F108" s="743">
        <f t="shared" si="128"/>
        <v>11.354194641113281</v>
      </c>
      <c r="G108" s="743">
        <f t="shared" si="128"/>
        <v>5.5025379657745361</v>
      </c>
      <c r="H108" s="743">
        <f t="shared" si="128"/>
        <v>0</v>
      </c>
      <c r="I108" s="743">
        <f t="shared" si="128"/>
        <v>9.0298671722412109</v>
      </c>
      <c r="J108" s="743">
        <f t="shared" si="128"/>
        <v>4.8862359523773193</v>
      </c>
      <c r="K108" s="743">
        <f t="shared" si="128"/>
        <v>0</v>
      </c>
      <c r="L108" s="743">
        <f t="shared" si="128"/>
        <v>8.4974327087402344</v>
      </c>
      <c r="M108" s="743">
        <f t="shared" si="128"/>
        <v>5.6871347427368164</v>
      </c>
      <c r="N108" s="743">
        <f t="shared" si="128"/>
        <v>10.411909103393555</v>
      </c>
      <c r="O108" s="743">
        <f t="shared" si="128"/>
        <v>0</v>
      </c>
      <c r="P108" s="743">
        <f t="shared" si="128"/>
        <v>6.0140137672424316</v>
      </c>
      <c r="Q108" s="743">
        <f t="shared" si="128"/>
        <v>11.493030548095703</v>
      </c>
      <c r="R108" s="743">
        <f t="shared" si="128"/>
        <v>0</v>
      </c>
      <c r="S108" s="743">
        <f t="shared" si="128"/>
        <v>0</v>
      </c>
      <c r="T108" s="743">
        <f t="shared" si="128"/>
        <v>0</v>
      </c>
      <c r="U108" s="743">
        <f t="shared" si="128"/>
        <v>0</v>
      </c>
      <c r="V108" s="743">
        <f t="shared" si="128"/>
        <v>0</v>
      </c>
      <c r="W108" s="743">
        <f t="shared" si="128"/>
        <v>0</v>
      </c>
      <c r="X108" s="743">
        <f t="shared" si="128"/>
        <v>0</v>
      </c>
      <c r="Y108" s="743">
        <f t="shared" si="128"/>
        <v>0</v>
      </c>
      <c r="Z108" s="743">
        <f t="shared" si="128"/>
        <v>0</v>
      </c>
      <c r="AA108" s="743">
        <f t="shared" si="128"/>
        <v>0</v>
      </c>
      <c r="AB108" s="743">
        <f t="shared" si="128"/>
        <v>0</v>
      </c>
      <c r="AC108" s="743">
        <f t="shared" si="128"/>
        <v>0</v>
      </c>
      <c r="AD108" s="743">
        <f t="shared" si="128"/>
        <v>0</v>
      </c>
      <c r="AE108" s="743">
        <f t="shared" si="128"/>
        <v>0</v>
      </c>
      <c r="AF108" s="743">
        <f t="shared" si="128"/>
        <v>0</v>
      </c>
      <c r="AG108" s="744">
        <f t="shared" si="128"/>
        <v>0</v>
      </c>
      <c r="AH108" s="762">
        <f t="shared" si="119"/>
        <v>5.0368415648095901</v>
      </c>
      <c r="AI108" s="760">
        <f t="shared" si="120"/>
        <v>5.7042696355077025</v>
      </c>
      <c r="AJ108" s="760">
        <f t="shared" si="114"/>
        <v>10.411909103393555</v>
      </c>
      <c r="AK108" s="743">
        <f t="shared" si="115"/>
        <v>11.493030548095703</v>
      </c>
      <c r="AL108" s="760">
        <f t="shared" si="121"/>
        <v>9.4145725047175404</v>
      </c>
      <c r="AM108" s="761">
        <f t="shared" si="116"/>
        <v>8.4974327087402344</v>
      </c>
      <c r="AN108" s="746">
        <f t="shared" si="122"/>
        <v>5.4017246987998577</v>
      </c>
      <c r="AO108" s="743">
        <f t="shared" si="123"/>
        <v>10.655153177973606</v>
      </c>
      <c r="AP108" s="747">
        <f t="shared" si="124"/>
        <v>9.1020884087899319</v>
      </c>
      <c r="AQ108" s="747">
        <f t="shared" si="117"/>
        <v>7.2642627130936477</v>
      </c>
      <c r="AS108" s="743">
        <f t="shared" si="125"/>
        <v>7.2642627130936468</v>
      </c>
      <c r="AT108" s="731">
        <f t="shared" si="126"/>
        <v>6.0712098559759928</v>
      </c>
    </row>
    <row r="109" spans="1:46">
      <c r="A109" s="742" t="s">
        <v>416</v>
      </c>
      <c r="B109" s="743"/>
      <c r="C109" s="742"/>
      <c r="D109" s="743">
        <f>IF(D104=0,0,D$22)</f>
        <v>0</v>
      </c>
      <c r="E109" s="743">
        <f>IF(E104=0,0,E$22)</f>
        <v>0</v>
      </c>
      <c r="F109" s="743">
        <f>IF(F104=0,0,F$22)</f>
        <v>37.154041290283203</v>
      </c>
      <c r="G109" s="743">
        <f>IF(G104=0,0,G$22)</f>
        <v>36.611757278442383</v>
      </c>
      <c r="H109" s="743">
        <f>IF(H104=0,0,H$22)</f>
        <v>0</v>
      </c>
      <c r="I109" s="743">
        <f t="shared" ref="I109:AG109" si="129">IF(I104=0,0,I$22)</f>
        <v>36.796741485595703</v>
      </c>
      <c r="J109" s="743">
        <f t="shared" si="129"/>
        <v>37.64801025390625</v>
      </c>
      <c r="K109" s="743">
        <f t="shared" si="129"/>
        <v>0</v>
      </c>
      <c r="L109" s="743">
        <f t="shared" si="129"/>
        <v>37.513774871826172</v>
      </c>
      <c r="M109" s="743">
        <f t="shared" si="129"/>
        <v>38.27452278137207</v>
      </c>
      <c r="N109" s="743">
        <f t="shared" si="129"/>
        <v>37.279417037963867</v>
      </c>
      <c r="O109" s="743">
        <f t="shared" si="129"/>
        <v>0</v>
      </c>
      <c r="P109" s="743">
        <f t="shared" si="129"/>
        <v>38.462162017822266</v>
      </c>
      <c r="Q109" s="743">
        <f t="shared" si="129"/>
        <v>36.545442581176758</v>
      </c>
      <c r="R109" s="743">
        <f t="shared" si="129"/>
        <v>0</v>
      </c>
      <c r="S109" s="743">
        <f t="shared" si="129"/>
        <v>0</v>
      </c>
      <c r="T109" s="743">
        <f t="shared" si="129"/>
        <v>0</v>
      </c>
      <c r="U109" s="743">
        <f t="shared" si="129"/>
        <v>0</v>
      </c>
      <c r="V109" s="743">
        <f t="shared" si="129"/>
        <v>0</v>
      </c>
      <c r="W109" s="743">
        <f t="shared" si="129"/>
        <v>0</v>
      </c>
      <c r="X109" s="743">
        <f t="shared" si="129"/>
        <v>0</v>
      </c>
      <c r="Y109" s="743">
        <f t="shared" si="129"/>
        <v>0</v>
      </c>
      <c r="Z109" s="743">
        <f t="shared" si="129"/>
        <v>0</v>
      </c>
      <c r="AA109" s="743">
        <f t="shared" si="129"/>
        <v>0</v>
      </c>
      <c r="AB109" s="743">
        <f t="shared" si="129"/>
        <v>0</v>
      </c>
      <c r="AC109" s="743">
        <f t="shared" si="129"/>
        <v>0</v>
      </c>
      <c r="AD109" s="743">
        <f t="shared" si="129"/>
        <v>0</v>
      </c>
      <c r="AE109" s="743">
        <f t="shared" si="129"/>
        <v>0</v>
      </c>
      <c r="AF109" s="743">
        <f t="shared" si="129"/>
        <v>0</v>
      </c>
      <c r="AG109" s="744">
        <f t="shared" si="129"/>
        <v>0</v>
      </c>
      <c r="AH109" s="762">
        <f t="shared" si="119"/>
        <v>37.394781300224558</v>
      </c>
      <c r="AI109" s="760">
        <f t="shared" si="120"/>
        <v>38.284358769475155</v>
      </c>
      <c r="AJ109" s="760">
        <f t="shared" si="114"/>
        <v>37.279417037963867</v>
      </c>
      <c r="AK109" s="743">
        <f t="shared" si="115"/>
        <v>36.545442581176758</v>
      </c>
      <c r="AL109" s="760">
        <f t="shared" si="121"/>
        <v>36.855879082167981</v>
      </c>
      <c r="AM109" s="761">
        <f t="shared" si="116"/>
        <v>37.513774871826172</v>
      </c>
      <c r="AN109" s="746">
        <f t="shared" si="122"/>
        <v>37.881113579548341</v>
      </c>
      <c r="AO109" s="743">
        <f t="shared" si="123"/>
        <v>37.114278386444688</v>
      </c>
      <c r="AP109" s="747">
        <f t="shared" si="124"/>
        <v>37.080034627426869</v>
      </c>
      <c r="AQ109" s="747">
        <f t="shared" si="117"/>
        <v>37.506526228521842</v>
      </c>
      <c r="AS109" s="743">
        <f t="shared" si="125"/>
        <v>37.506526228521842</v>
      </c>
      <c r="AT109" s="731">
        <f t="shared" si="126"/>
        <v>37.783389820327407</v>
      </c>
    </row>
    <row r="110" spans="1:46">
      <c r="A110" s="742" t="s">
        <v>465</v>
      </c>
      <c r="B110" s="743"/>
      <c r="C110" s="742"/>
      <c r="D110" s="743">
        <f t="shared" ref="D110:AG110" si="130">IF(D104=0,0,D$23)</f>
        <v>0</v>
      </c>
      <c r="E110" s="743">
        <f t="shared" si="130"/>
        <v>0</v>
      </c>
      <c r="F110" s="743">
        <f t="shared" si="130"/>
        <v>26.9649658203125</v>
      </c>
      <c r="G110" s="743">
        <f t="shared" si="130"/>
        <v>27.735154151916504</v>
      </c>
      <c r="H110" s="743">
        <f t="shared" si="130"/>
        <v>0</v>
      </c>
      <c r="I110" s="743">
        <f t="shared" si="130"/>
        <v>29.129765510559082</v>
      </c>
      <c r="J110" s="743">
        <f t="shared" si="130"/>
        <v>27.82494068145752</v>
      </c>
      <c r="K110" s="743">
        <f t="shared" si="130"/>
        <v>0</v>
      </c>
      <c r="L110" s="743">
        <f t="shared" si="130"/>
        <v>27.097126007080078</v>
      </c>
      <c r="M110" s="743">
        <f t="shared" si="130"/>
        <v>24.302591323852539</v>
      </c>
      <c r="N110" s="743">
        <f t="shared" si="130"/>
        <v>22.45125675201416</v>
      </c>
      <c r="O110" s="743">
        <f t="shared" si="130"/>
        <v>0</v>
      </c>
      <c r="P110" s="743">
        <f t="shared" si="130"/>
        <v>26.36302375793457</v>
      </c>
      <c r="Q110" s="743">
        <f t="shared" si="130"/>
        <v>24.682135581970215</v>
      </c>
      <c r="R110" s="743">
        <f t="shared" si="130"/>
        <v>0</v>
      </c>
      <c r="S110" s="743">
        <f t="shared" si="130"/>
        <v>0</v>
      </c>
      <c r="T110" s="743">
        <f t="shared" si="130"/>
        <v>0</v>
      </c>
      <c r="U110" s="743">
        <f t="shared" si="130"/>
        <v>0</v>
      </c>
      <c r="V110" s="743">
        <f t="shared" si="130"/>
        <v>0</v>
      </c>
      <c r="W110" s="743">
        <f t="shared" si="130"/>
        <v>0</v>
      </c>
      <c r="X110" s="743">
        <f t="shared" si="130"/>
        <v>0</v>
      </c>
      <c r="Y110" s="743">
        <f t="shared" si="130"/>
        <v>0</v>
      </c>
      <c r="Z110" s="743">
        <f t="shared" si="130"/>
        <v>0</v>
      </c>
      <c r="AA110" s="743">
        <f t="shared" si="130"/>
        <v>0</v>
      </c>
      <c r="AB110" s="743">
        <f t="shared" si="130"/>
        <v>0</v>
      </c>
      <c r="AC110" s="743">
        <f t="shared" si="130"/>
        <v>0</v>
      </c>
      <c r="AD110" s="743">
        <f t="shared" si="130"/>
        <v>0</v>
      </c>
      <c r="AE110" s="743">
        <f t="shared" si="130"/>
        <v>0</v>
      </c>
      <c r="AF110" s="743">
        <f t="shared" si="130"/>
        <v>0</v>
      </c>
      <c r="AG110" s="744">
        <f t="shared" si="130"/>
        <v>0</v>
      </c>
      <c r="AH110" s="762">
        <f t="shared" si="119"/>
        <v>27.802999563343768</v>
      </c>
      <c r="AI110" s="760">
        <f t="shared" si="120"/>
        <v>24.410598525822895</v>
      </c>
      <c r="AJ110" s="760">
        <f t="shared" si="114"/>
        <v>22.45125675201416</v>
      </c>
      <c r="AK110" s="743">
        <f t="shared" si="115"/>
        <v>24.682135581970215</v>
      </c>
      <c r="AL110" s="760">
        <f t="shared" si="121"/>
        <v>28.771464025190024</v>
      </c>
      <c r="AM110" s="761">
        <f t="shared" si="116"/>
        <v>27.097126007080078</v>
      </c>
      <c r="AN110" s="746">
        <f t="shared" si="122"/>
        <v>25.948372860232958</v>
      </c>
      <c r="AO110" s="743">
        <f t="shared" si="123"/>
        <v>22.953187464009599</v>
      </c>
      <c r="AP110" s="747">
        <f t="shared" si="124"/>
        <v>28.200990467984077</v>
      </c>
      <c r="AQ110" s="747">
        <f t="shared" si="117"/>
        <v>26.603626539876839</v>
      </c>
      <c r="AS110" s="743">
        <f t="shared" si="125"/>
        <v>26.603626539876842</v>
      </c>
      <c r="AT110" s="731">
        <f t="shared" si="126"/>
        <v>25.566673142855699</v>
      </c>
    </row>
    <row r="111" spans="1:46">
      <c r="A111" s="742" t="s">
        <v>419</v>
      </c>
      <c r="B111" s="743"/>
      <c r="C111" s="742"/>
      <c r="D111" s="743">
        <f t="shared" ref="D111:AG111" si="131">IF(D104=0,0,D$24)</f>
        <v>0</v>
      </c>
      <c r="E111" s="743">
        <f t="shared" si="131"/>
        <v>0</v>
      </c>
      <c r="F111" s="743">
        <f t="shared" si="131"/>
        <v>35.697681427001953</v>
      </c>
      <c r="G111" s="743">
        <f t="shared" si="131"/>
        <v>37.321403503417969</v>
      </c>
      <c r="H111" s="743">
        <f t="shared" si="131"/>
        <v>0</v>
      </c>
      <c r="I111" s="743">
        <f t="shared" si="131"/>
        <v>35.600173950195313</v>
      </c>
      <c r="J111" s="743">
        <f t="shared" si="131"/>
        <v>37.369905471801758</v>
      </c>
      <c r="K111" s="743">
        <f t="shared" si="131"/>
        <v>0</v>
      </c>
      <c r="L111" s="743">
        <f t="shared" si="131"/>
        <v>36.797748565673828</v>
      </c>
      <c r="M111" s="743">
        <f t="shared" si="131"/>
        <v>38.474905014038086</v>
      </c>
      <c r="N111" s="743">
        <f t="shared" si="131"/>
        <v>36.509462356567383</v>
      </c>
      <c r="O111" s="743">
        <f t="shared" si="131"/>
        <v>0</v>
      </c>
      <c r="P111" s="743">
        <f t="shared" si="131"/>
        <v>37.716859817504883</v>
      </c>
      <c r="Q111" s="743">
        <f t="shared" si="131"/>
        <v>36.211601257324219</v>
      </c>
      <c r="R111" s="743">
        <f t="shared" si="131"/>
        <v>0</v>
      </c>
      <c r="S111" s="743">
        <f t="shared" si="131"/>
        <v>0</v>
      </c>
      <c r="T111" s="743">
        <f t="shared" si="131"/>
        <v>0</v>
      </c>
      <c r="U111" s="743">
        <f t="shared" si="131"/>
        <v>0</v>
      </c>
      <c r="V111" s="743">
        <f t="shared" si="131"/>
        <v>0</v>
      </c>
      <c r="W111" s="743">
        <f t="shared" si="131"/>
        <v>0</v>
      </c>
      <c r="X111" s="743">
        <f t="shared" si="131"/>
        <v>0</v>
      </c>
      <c r="Y111" s="743">
        <f t="shared" si="131"/>
        <v>0</v>
      </c>
      <c r="Z111" s="743">
        <f t="shared" si="131"/>
        <v>0</v>
      </c>
      <c r="AA111" s="743">
        <f t="shared" si="131"/>
        <v>0</v>
      </c>
      <c r="AB111" s="743">
        <f t="shared" si="131"/>
        <v>0</v>
      </c>
      <c r="AC111" s="743">
        <f t="shared" si="131"/>
        <v>0</v>
      </c>
      <c r="AD111" s="743">
        <f t="shared" si="131"/>
        <v>0</v>
      </c>
      <c r="AE111" s="743">
        <f t="shared" si="131"/>
        <v>0</v>
      </c>
      <c r="AF111" s="743">
        <f t="shared" si="131"/>
        <v>0</v>
      </c>
      <c r="AG111" s="744">
        <f t="shared" si="131"/>
        <v>0</v>
      </c>
      <c r="AH111" s="762">
        <f t="shared" si="119"/>
        <v>37.358053054490405</v>
      </c>
      <c r="AI111" s="760">
        <f t="shared" si="120"/>
        <v>38.435168529943617</v>
      </c>
      <c r="AJ111" s="760">
        <f t="shared" si="114"/>
        <v>36.509462356567383</v>
      </c>
      <c r="AK111" s="743">
        <f t="shared" si="115"/>
        <v>36.211601257324219</v>
      </c>
      <c r="AL111" s="760">
        <f t="shared" si="121"/>
        <v>35.616312659902185</v>
      </c>
      <c r="AM111" s="761">
        <f t="shared" si="116"/>
        <v>36.797748565673828</v>
      </c>
      <c r="AN111" s="746">
        <f t="shared" si="122"/>
        <v>37.9469124201771</v>
      </c>
      <c r="AO111" s="743">
        <f t="shared" si="123"/>
        <v>36.442445882336997</v>
      </c>
      <c r="AP111" s="747">
        <f t="shared" si="124"/>
        <v>36.018846638397875</v>
      </c>
      <c r="AQ111" s="747">
        <f t="shared" si="117"/>
        <v>37.071706426703081</v>
      </c>
      <c r="AS111" s="743">
        <f t="shared" si="125"/>
        <v>37.071706426703081</v>
      </c>
      <c r="AT111" s="731">
        <f t="shared" si="126"/>
        <v>37.755186574751569</v>
      </c>
    </row>
    <row r="112" spans="1:46">
      <c r="AH112" s="766"/>
      <c r="AI112" s="767"/>
      <c r="AJ112" s="767"/>
      <c r="AK112" s="767"/>
      <c r="AL112" s="767"/>
      <c r="AM112" s="767"/>
      <c r="AN112" s="766"/>
      <c r="AO112" s="767"/>
      <c r="AP112" s="768"/>
      <c r="AQ112" s="768"/>
    </row>
    <row r="113" spans="1:46">
      <c r="A113" s="760" t="s">
        <v>477</v>
      </c>
      <c r="B113" s="853">
        <v>111506.65300000002</v>
      </c>
      <c r="C113" s="759" t="s">
        <v>85</v>
      </c>
      <c r="D113" s="760"/>
      <c r="E113" s="760"/>
      <c r="F113" s="760">
        <v>0</v>
      </c>
      <c r="G113" s="760"/>
      <c r="H113" s="760"/>
      <c r="I113" s="760"/>
      <c r="J113" s="760"/>
      <c r="K113" s="760"/>
      <c r="L113" s="760">
        <v>15796.2</v>
      </c>
      <c r="M113" s="760"/>
      <c r="N113" s="760"/>
      <c r="O113" s="760">
        <v>0</v>
      </c>
      <c r="P113" s="760">
        <v>82227.213000000003</v>
      </c>
      <c r="Q113" s="760">
        <v>13483.24</v>
      </c>
      <c r="R113" s="760">
        <v>0</v>
      </c>
      <c r="S113" s="760"/>
      <c r="T113" s="760"/>
      <c r="U113" s="760"/>
      <c r="V113" s="760"/>
      <c r="W113" s="760"/>
      <c r="X113" s="760"/>
      <c r="Y113" s="760">
        <v>0</v>
      </c>
      <c r="Z113" s="760"/>
      <c r="AA113" s="760"/>
      <c r="AB113" s="760">
        <v>0</v>
      </c>
      <c r="AC113" s="760"/>
      <c r="AD113" s="760"/>
      <c r="AE113" s="760">
        <v>0</v>
      </c>
      <c r="AF113" s="760"/>
      <c r="AG113" s="761"/>
      <c r="AH113" s="762">
        <f>P113</f>
        <v>82227.213000000003</v>
      </c>
      <c r="AI113" s="760"/>
      <c r="AJ113" s="760">
        <f>Q113</f>
        <v>13483.24</v>
      </c>
      <c r="AK113" s="760"/>
      <c r="AL113" s="760">
        <f>L113</f>
        <v>15796.2</v>
      </c>
      <c r="AM113" s="761"/>
      <c r="AN113" s="765">
        <f>SUM(AH113:AI113)</f>
        <v>82227.213000000003</v>
      </c>
      <c r="AO113" s="760">
        <f>SUM(AJ113:AK113)</f>
        <v>13483.24</v>
      </c>
      <c r="AP113" s="764">
        <f>SUM(AL113:AM113)</f>
        <v>15796.2</v>
      </c>
      <c r="AQ113" s="764">
        <f>SUM(D113:AG113)</f>
        <v>111506.65300000001</v>
      </c>
      <c r="AS113" s="731">
        <f>SUM(AN113:AP113)</f>
        <v>111506.65300000001</v>
      </c>
    </row>
    <row r="114" spans="1:46">
      <c r="A114" s="742" t="s">
        <v>460</v>
      </c>
      <c r="B114" s="760"/>
      <c r="C114" s="759"/>
      <c r="D114" s="743">
        <f>IF(D113=0,0,D$18)</f>
        <v>0</v>
      </c>
      <c r="E114" s="743">
        <f>IF(E113=0,0,E$18)</f>
        <v>0</v>
      </c>
      <c r="F114" s="743">
        <f>IF(F113=0,0,F$18)</f>
        <v>0</v>
      </c>
      <c r="G114" s="743">
        <f>IF(G113=0,0,G$18)</f>
        <v>0</v>
      </c>
      <c r="H114" s="743">
        <f>IF(H113=0,0,H$18)</f>
        <v>0</v>
      </c>
      <c r="I114" s="743">
        <f t="shared" ref="I114:AG114" si="132">IF(I113=0,0,I$18)</f>
        <v>0</v>
      </c>
      <c r="J114" s="743">
        <f t="shared" si="132"/>
        <v>0</v>
      </c>
      <c r="K114" s="743">
        <f t="shared" si="132"/>
        <v>0</v>
      </c>
      <c r="L114" s="743">
        <f t="shared" si="132"/>
        <v>4355.78125</v>
      </c>
      <c r="M114" s="743">
        <f t="shared" si="132"/>
        <v>0</v>
      </c>
      <c r="N114" s="743">
        <f t="shared" si="132"/>
        <v>0</v>
      </c>
      <c r="O114" s="743">
        <f t="shared" si="132"/>
        <v>0</v>
      </c>
      <c r="P114" s="743">
        <f t="shared" si="132"/>
        <v>4688.514892578125</v>
      </c>
      <c r="Q114" s="743">
        <f t="shared" si="132"/>
        <v>4391.273681640625</v>
      </c>
      <c r="R114" s="743">
        <f t="shared" si="132"/>
        <v>0</v>
      </c>
      <c r="S114" s="743">
        <f t="shared" si="132"/>
        <v>0</v>
      </c>
      <c r="T114" s="743">
        <f t="shared" si="132"/>
        <v>0</v>
      </c>
      <c r="U114" s="743">
        <f t="shared" si="132"/>
        <v>0</v>
      </c>
      <c r="V114" s="743">
        <f t="shared" si="132"/>
        <v>0</v>
      </c>
      <c r="W114" s="743">
        <f t="shared" si="132"/>
        <v>0</v>
      </c>
      <c r="X114" s="743">
        <f t="shared" si="132"/>
        <v>0</v>
      </c>
      <c r="Y114" s="743">
        <f t="shared" si="132"/>
        <v>0</v>
      </c>
      <c r="Z114" s="743">
        <f t="shared" si="132"/>
        <v>0</v>
      </c>
      <c r="AA114" s="743">
        <f t="shared" si="132"/>
        <v>0</v>
      </c>
      <c r="AB114" s="743">
        <f t="shared" si="132"/>
        <v>0</v>
      </c>
      <c r="AC114" s="743">
        <f t="shared" si="132"/>
        <v>0</v>
      </c>
      <c r="AD114" s="743">
        <f t="shared" si="132"/>
        <v>0</v>
      </c>
      <c r="AE114" s="743">
        <f t="shared" si="132"/>
        <v>0</v>
      </c>
      <c r="AF114" s="743">
        <f t="shared" si="132"/>
        <v>0</v>
      </c>
      <c r="AG114" s="744">
        <f t="shared" si="132"/>
        <v>0</v>
      </c>
      <c r="AH114" s="762">
        <f t="shared" ref="AH114:AH120" si="133">P114</f>
        <v>4688.514892578125</v>
      </c>
      <c r="AI114" s="760"/>
      <c r="AJ114" s="760">
        <f t="shared" ref="AJ114:AJ120" si="134">Q114</f>
        <v>4391.273681640625</v>
      </c>
      <c r="AK114" s="743"/>
      <c r="AL114" s="760">
        <f t="shared" ref="AL114:AL120" si="135">L114</f>
        <v>4355.78125</v>
      </c>
      <c r="AM114" s="761"/>
      <c r="AN114" s="746">
        <f>IF(AN$113=0,0,SUMPRODUCT(AH$113:AI$113,AH114:AI114)/AN$113)</f>
        <v>4688.514892578125</v>
      </c>
      <c r="AO114" s="743">
        <f>IF(AO$113=0,0,SUMPRODUCT(AJ$113:AK$113,AJ114:AK114)/AO$113)</f>
        <v>4391.273681640625</v>
      </c>
      <c r="AP114" s="747">
        <f>IF(AP$113=0,0,SUMPRODUCT(AL$113:AM$113,AL114:AM114)/AP$113)</f>
        <v>4355.78125</v>
      </c>
      <c r="AQ114" s="747">
        <f t="shared" ref="AQ114:AQ120" si="136">SUMPRODUCT(D$113:AG$113,D114:AG114)/AQ$113</f>
        <v>4605.4373227594569</v>
      </c>
      <c r="AS114" s="743">
        <f>IF(AS$113=0,0,SUMPRODUCT(AN$113:AP$113,AN114:AP114)/AS$113)</f>
        <v>4605.4373227594569</v>
      </c>
      <c r="AT114" s="731">
        <f t="shared" ref="AT114:AT120" si="137">+SUMPRODUCT($AN$113:$AO$113,AN114:AO114)/SUM($AN$113:$AO$113)</f>
        <v>4646.6409440245543</v>
      </c>
    </row>
    <row r="115" spans="1:46">
      <c r="A115" s="742" t="s">
        <v>462</v>
      </c>
      <c r="B115" s="743"/>
      <c r="C115" s="742"/>
      <c r="D115" s="743">
        <f t="shared" ref="D115:AG115" si="138">IF(D113=0,0,D$19)</f>
        <v>0</v>
      </c>
      <c r="E115" s="743">
        <f t="shared" si="138"/>
        <v>0</v>
      </c>
      <c r="F115" s="743">
        <f t="shared" si="138"/>
        <v>0</v>
      </c>
      <c r="G115" s="743">
        <f t="shared" si="138"/>
        <v>0</v>
      </c>
      <c r="H115" s="743">
        <f t="shared" si="138"/>
        <v>0</v>
      </c>
      <c r="I115" s="743">
        <f t="shared" si="138"/>
        <v>0</v>
      </c>
      <c r="J115" s="743">
        <f t="shared" si="138"/>
        <v>0</v>
      </c>
      <c r="K115" s="743">
        <f t="shared" si="138"/>
        <v>0</v>
      </c>
      <c r="L115" s="743">
        <f t="shared" si="138"/>
        <v>3733.4101234885643</v>
      </c>
      <c r="M115" s="743">
        <f t="shared" si="138"/>
        <v>0</v>
      </c>
      <c r="N115" s="743">
        <f t="shared" si="138"/>
        <v>0</v>
      </c>
      <c r="O115" s="743">
        <f t="shared" si="138"/>
        <v>0</v>
      </c>
      <c r="P115" s="743">
        <f t="shared" si="138"/>
        <v>3918.1817819971125</v>
      </c>
      <c r="Q115" s="743">
        <f t="shared" si="138"/>
        <v>3698.4350040172335</v>
      </c>
      <c r="R115" s="743">
        <f t="shared" si="138"/>
        <v>0</v>
      </c>
      <c r="S115" s="743">
        <f t="shared" si="138"/>
        <v>0</v>
      </c>
      <c r="T115" s="743">
        <f t="shared" si="138"/>
        <v>0</v>
      </c>
      <c r="U115" s="743">
        <f t="shared" si="138"/>
        <v>0</v>
      </c>
      <c r="V115" s="743">
        <f t="shared" si="138"/>
        <v>0</v>
      </c>
      <c r="W115" s="743">
        <f t="shared" si="138"/>
        <v>0</v>
      </c>
      <c r="X115" s="743">
        <f t="shared" si="138"/>
        <v>0</v>
      </c>
      <c r="Y115" s="743">
        <f t="shared" si="138"/>
        <v>0</v>
      </c>
      <c r="Z115" s="743">
        <f t="shared" si="138"/>
        <v>0</v>
      </c>
      <c r="AA115" s="743">
        <f t="shared" si="138"/>
        <v>0</v>
      </c>
      <c r="AB115" s="743">
        <f t="shared" si="138"/>
        <v>0</v>
      </c>
      <c r="AC115" s="743">
        <f t="shared" si="138"/>
        <v>0</v>
      </c>
      <c r="AD115" s="743">
        <f t="shared" si="138"/>
        <v>0</v>
      </c>
      <c r="AE115" s="743">
        <f t="shared" si="138"/>
        <v>0</v>
      </c>
      <c r="AF115" s="743">
        <f t="shared" si="138"/>
        <v>0</v>
      </c>
      <c r="AG115" s="744">
        <f t="shared" si="138"/>
        <v>0</v>
      </c>
      <c r="AH115" s="762">
        <f t="shared" si="133"/>
        <v>3918.1817819971125</v>
      </c>
      <c r="AI115" s="760"/>
      <c r="AJ115" s="760">
        <f t="shared" si="134"/>
        <v>3698.4350040172335</v>
      </c>
      <c r="AK115" s="743"/>
      <c r="AL115" s="760">
        <f t="shared" si="135"/>
        <v>3733.4101234885643</v>
      </c>
      <c r="AM115" s="761"/>
      <c r="AN115" s="746">
        <f t="shared" ref="AN115:AN120" si="139">IF(AN$113=0,0,SUMPRODUCT(AH$113:AI$113,AH115:AI115)/AN$113)</f>
        <v>3918.1817819971125</v>
      </c>
      <c r="AO115" s="743">
        <f t="shared" ref="AO115:AO120" si="140">IF(AO$113=0,0,SUMPRODUCT(AJ$113:AK$113,AJ115:AK115)/AO$113)</f>
        <v>3698.4350040172335</v>
      </c>
      <c r="AP115" s="747">
        <f t="shared" ref="AP115:AP120" si="141">IF(AP$113=0,0,SUMPRODUCT(AL$113:AM$113,AL115:AM115)/AP$113)</f>
        <v>3733.4101234885643</v>
      </c>
      <c r="AQ115" s="747">
        <f t="shared" si="136"/>
        <v>3865.4352555735982</v>
      </c>
      <c r="AS115" s="743">
        <f t="shared" ref="AS115:AS120" si="142">IF(AS$113=0,0,SUMPRODUCT(AN$113:AP$113,AN115:AP115)/AS$113)</f>
        <v>3865.4352555735986</v>
      </c>
      <c r="AT115" s="731">
        <f t="shared" si="137"/>
        <v>3887.2248859229771</v>
      </c>
    </row>
    <row r="116" spans="1:46">
      <c r="A116" s="742" t="s">
        <v>420</v>
      </c>
      <c r="B116" s="743"/>
      <c r="C116" s="742"/>
      <c r="D116" s="743">
        <f t="shared" ref="D116:AG116" si="143">IF(D113=0,0,D$20)</f>
        <v>0</v>
      </c>
      <c r="E116" s="743">
        <f t="shared" si="143"/>
        <v>0</v>
      </c>
      <c r="F116" s="743">
        <f t="shared" si="143"/>
        <v>0</v>
      </c>
      <c r="G116" s="743">
        <f t="shared" si="143"/>
        <v>0</v>
      </c>
      <c r="H116" s="743">
        <f t="shared" si="143"/>
        <v>0</v>
      </c>
      <c r="I116" s="743">
        <f t="shared" si="143"/>
        <v>0</v>
      </c>
      <c r="J116" s="743">
        <f t="shared" si="143"/>
        <v>0</v>
      </c>
      <c r="K116" s="743">
        <f t="shared" si="143"/>
        <v>0</v>
      </c>
      <c r="L116" s="743">
        <f t="shared" si="143"/>
        <v>0.13813723623752594</v>
      </c>
      <c r="M116" s="743">
        <f t="shared" si="143"/>
        <v>0</v>
      </c>
      <c r="N116" s="743">
        <f t="shared" si="143"/>
        <v>0</v>
      </c>
      <c r="O116" s="743">
        <f t="shared" si="143"/>
        <v>0</v>
      </c>
      <c r="P116" s="743">
        <f t="shared" si="143"/>
        <v>0.10967570170760155</v>
      </c>
      <c r="Q116" s="743">
        <f t="shared" si="143"/>
        <v>0.20138873904943466</v>
      </c>
      <c r="R116" s="743">
        <f t="shared" si="143"/>
        <v>0</v>
      </c>
      <c r="S116" s="743">
        <f t="shared" si="143"/>
        <v>0</v>
      </c>
      <c r="T116" s="743">
        <f t="shared" si="143"/>
        <v>0</v>
      </c>
      <c r="U116" s="743">
        <f t="shared" si="143"/>
        <v>0</v>
      </c>
      <c r="V116" s="743">
        <f t="shared" si="143"/>
        <v>0</v>
      </c>
      <c r="W116" s="743">
        <f t="shared" si="143"/>
        <v>0</v>
      </c>
      <c r="X116" s="743">
        <f t="shared" si="143"/>
        <v>0</v>
      </c>
      <c r="Y116" s="743">
        <f t="shared" si="143"/>
        <v>0</v>
      </c>
      <c r="Z116" s="743">
        <f t="shared" si="143"/>
        <v>0</v>
      </c>
      <c r="AA116" s="743">
        <f t="shared" si="143"/>
        <v>0</v>
      </c>
      <c r="AB116" s="743">
        <f t="shared" si="143"/>
        <v>0</v>
      </c>
      <c r="AC116" s="743">
        <f t="shared" si="143"/>
        <v>0</v>
      </c>
      <c r="AD116" s="743">
        <f t="shared" si="143"/>
        <v>0</v>
      </c>
      <c r="AE116" s="743">
        <f t="shared" si="143"/>
        <v>0</v>
      </c>
      <c r="AF116" s="743">
        <f t="shared" si="143"/>
        <v>0</v>
      </c>
      <c r="AG116" s="744">
        <f t="shared" si="143"/>
        <v>0</v>
      </c>
      <c r="AH116" s="762">
        <f t="shared" si="133"/>
        <v>0.10967570170760155</v>
      </c>
      <c r="AI116" s="760"/>
      <c r="AJ116" s="760">
        <f t="shared" si="134"/>
        <v>0.20138873904943466</v>
      </c>
      <c r="AK116" s="743"/>
      <c r="AL116" s="760">
        <f t="shared" si="135"/>
        <v>0.13813723623752594</v>
      </c>
      <c r="AM116" s="761"/>
      <c r="AN116" s="746">
        <f t="shared" si="139"/>
        <v>0.10967570170760155</v>
      </c>
      <c r="AO116" s="743">
        <f t="shared" si="140"/>
        <v>0.20138873904943466</v>
      </c>
      <c r="AP116" s="747">
        <f t="shared" si="141"/>
        <v>0.13813723623752594</v>
      </c>
      <c r="AQ116" s="747">
        <f t="shared" si="136"/>
        <v>0.1247974270933549</v>
      </c>
      <c r="AS116" s="743">
        <f t="shared" si="142"/>
        <v>0.12479742709335488</v>
      </c>
      <c r="AT116" s="731">
        <f t="shared" si="137"/>
        <v>0.12259580452655797</v>
      </c>
    </row>
    <row r="117" spans="1:46">
      <c r="A117" s="742" t="s">
        <v>464</v>
      </c>
      <c r="B117" s="743"/>
      <c r="C117" s="742"/>
      <c r="D117" s="743">
        <f t="shared" ref="D117:AG117" si="144">IF(D113=0,0,D$21)</f>
        <v>0</v>
      </c>
      <c r="E117" s="743">
        <f t="shared" si="144"/>
        <v>0</v>
      </c>
      <c r="F117" s="743">
        <f t="shared" si="144"/>
        <v>0</v>
      </c>
      <c r="G117" s="743">
        <f t="shared" si="144"/>
        <v>0</v>
      </c>
      <c r="H117" s="743">
        <f t="shared" si="144"/>
        <v>0</v>
      </c>
      <c r="I117" s="743">
        <f t="shared" si="144"/>
        <v>0</v>
      </c>
      <c r="J117" s="743">
        <f t="shared" si="144"/>
        <v>0</v>
      </c>
      <c r="K117" s="743">
        <f t="shared" si="144"/>
        <v>0</v>
      </c>
      <c r="L117" s="743">
        <f t="shared" si="144"/>
        <v>8.4974327087402344</v>
      </c>
      <c r="M117" s="743">
        <f t="shared" si="144"/>
        <v>0</v>
      </c>
      <c r="N117" s="743">
        <f t="shared" si="144"/>
        <v>0</v>
      </c>
      <c r="O117" s="743">
        <f t="shared" si="144"/>
        <v>0</v>
      </c>
      <c r="P117" s="743">
        <f t="shared" si="144"/>
        <v>6.0140137672424316</v>
      </c>
      <c r="Q117" s="743">
        <f t="shared" si="144"/>
        <v>11.493030548095703</v>
      </c>
      <c r="R117" s="743">
        <f t="shared" si="144"/>
        <v>0</v>
      </c>
      <c r="S117" s="743">
        <f t="shared" si="144"/>
        <v>0</v>
      </c>
      <c r="T117" s="743">
        <f t="shared" si="144"/>
        <v>0</v>
      </c>
      <c r="U117" s="743">
        <f t="shared" si="144"/>
        <v>0</v>
      </c>
      <c r="V117" s="743">
        <f t="shared" si="144"/>
        <v>0</v>
      </c>
      <c r="W117" s="743">
        <f t="shared" si="144"/>
        <v>0</v>
      </c>
      <c r="X117" s="743">
        <f t="shared" si="144"/>
        <v>0</v>
      </c>
      <c r="Y117" s="743">
        <f t="shared" si="144"/>
        <v>0</v>
      </c>
      <c r="Z117" s="743">
        <f t="shared" si="144"/>
        <v>0</v>
      </c>
      <c r="AA117" s="743">
        <f t="shared" si="144"/>
        <v>0</v>
      </c>
      <c r="AB117" s="743">
        <f t="shared" si="144"/>
        <v>0</v>
      </c>
      <c r="AC117" s="743">
        <f t="shared" si="144"/>
        <v>0</v>
      </c>
      <c r="AD117" s="743">
        <f t="shared" si="144"/>
        <v>0</v>
      </c>
      <c r="AE117" s="743">
        <f t="shared" si="144"/>
        <v>0</v>
      </c>
      <c r="AF117" s="743">
        <f t="shared" si="144"/>
        <v>0</v>
      </c>
      <c r="AG117" s="744">
        <f t="shared" si="144"/>
        <v>0</v>
      </c>
      <c r="AH117" s="762">
        <f t="shared" si="133"/>
        <v>6.0140137672424316</v>
      </c>
      <c r="AI117" s="760"/>
      <c r="AJ117" s="760">
        <f t="shared" si="134"/>
        <v>11.493030548095703</v>
      </c>
      <c r="AK117" s="743"/>
      <c r="AL117" s="760">
        <f t="shared" si="135"/>
        <v>8.4974327087402344</v>
      </c>
      <c r="AM117" s="761"/>
      <c r="AN117" s="746">
        <f t="shared" si="139"/>
        <v>6.0140137672424316</v>
      </c>
      <c r="AO117" s="743">
        <f t="shared" si="140"/>
        <v>11.493030548095703</v>
      </c>
      <c r="AP117" s="747">
        <f t="shared" si="141"/>
        <v>8.4974327087402344</v>
      </c>
      <c r="AQ117" s="747">
        <f t="shared" si="136"/>
        <v>7.0283342356718777</v>
      </c>
      <c r="AS117" s="743">
        <f t="shared" si="142"/>
        <v>7.0283342356718777</v>
      </c>
      <c r="AT117" s="731">
        <f t="shared" si="137"/>
        <v>6.7858719698179852</v>
      </c>
    </row>
    <row r="118" spans="1:46">
      <c r="A118" s="742" t="s">
        <v>416</v>
      </c>
      <c r="B118" s="743"/>
      <c r="C118" s="742"/>
      <c r="D118" s="743">
        <f>IF(D113=0,0,D$22)</f>
        <v>0</v>
      </c>
      <c r="E118" s="743">
        <f>IF(E113=0,0,E$22)</f>
        <v>0</v>
      </c>
      <c r="F118" s="743">
        <f>IF(F113=0,0,F$22)</f>
        <v>0</v>
      </c>
      <c r="G118" s="743">
        <f>IF(G113=0,0,G$22)</f>
        <v>0</v>
      </c>
      <c r="H118" s="743">
        <f>IF(H113=0,0,H$22)</f>
        <v>0</v>
      </c>
      <c r="I118" s="743">
        <f t="shared" ref="I118:AG118" si="145">IF(I113=0,0,I$22)</f>
        <v>0</v>
      </c>
      <c r="J118" s="743">
        <f t="shared" si="145"/>
        <v>0</v>
      </c>
      <c r="K118" s="743">
        <f t="shared" si="145"/>
        <v>0</v>
      </c>
      <c r="L118" s="743">
        <f t="shared" si="145"/>
        <v>37.513774871826172</v>
      </c>
      <c r="M118" s="743">
        <f t="shared" si="145"/>
        <v>0</v>
      </c>
      <c r="N118" s="743">
        <f t="shared" si="145"/>
        <v>0</v>
      </c>
      <c r="O118" s="743">
        <f t="shared" si="145"/>
        <v>0</v>
      </c>
      <c r="P118" s="743">
        <f t="shared" si="145"/>
        <v>38.462162017822266</v>
      </c>
      <c r="Q118" s="743">
        <f t="shared" si="145"/>
        <v>36.545442581176758</v>
      </c>
      <c r="R118" s="743">
        <f t="shared" si="145"/>
        <v>0</v>
      </c>
      <c r="S118" s="743">
        <f t="shared" si="145"/>
        <v>0</v>
      </c>
      <c r="T118" s="743">
        <f t="shared" si="145"/>
        <v>0</v>
      </c>
      <c r="U118" s="743">
        <f t="shared" si="145"/>
        <v>0</v>
      </c>
      <c r="V118" s="743">
        <f t="shared" si="145"/>
        <v>0</v>
      </c>
      <c r="W118" s="743">
        <f t="shared" si="145"/>
        <v>0</v>
      </c>
      <c r="X118" s="743">
        <f t="shared" si="145"/>
        <v>0</v>
      </c>
      <c r="Y118" s="743">
        <f t="shared" si="145"/>
        <v>0</v>
      </c>
      <c r="Z118" s="743">
        <f t="shared" si="145"/>
        <v>0</v>
      </c>
      <c r="AA118" s="743">
        <f t="shared" si="145"/>
        <v>0</v>
      </c>
      <c r="AB118" s="743">
        <f t="shared" si="145"/>
        <v>0</v>
      </c>
      <c r="AC118" s="743">
        <f t="shared" si="145"/>
        <v>0</v>
      </c>
      <c r="AD118" s="743">
        <f t="shared" si="145"/>
        <v>0</v>
      </c>
      <c r="AE118" s="743">
        <f t="shared" si="145"/>
        <v>0</v>
      </c>
      <c r="AF118" s="743">
        <f t="shared" si="145"/>
        <v>0</v>
      </c>
      <c r="AG118" s="744">
        <f t="shared" si="145"/>
        <v>0</v>
      </c>
      <c r="AH118" s="762">
        <f t="shared" si="133"/>
        <v>38.462162017822266</v>
      </c>
      <c r="AI118" s="760"/>
      <c r="AJ118" s="760">
        <f t="shared" si="134"/>
        <v>36.545442581176758</v>
      </c>
      <c r="AK118" s="743"/>
      <c r="AL118" s="760">
        <f t="shared" si="135"/>
        <v>37.513774871826172</v>
      </c>
      <c r="AM118" s="761"/>
      <c r="AN118" s="746">
        <f t="shared" si="139"/>
        <v>38.462162017822266</v>
      </c>
      <c r="AO118" s="743">
        <f t="shared" si="140"/>
        <v>36.545442581176758</v>
      </c>
      <c r="AP118" s="747">
        <f t="shared" si="141"/>
        <v>37.513774871826172</v>
      </c>
      <c r="AQ118" s="747">
        <f t="shared" si="136"/>
        <v>38.096044839033475</v>
      </c>
      <c r="AS118" s="743">
        <f t="shared" si="142"/>
        <v>38.096044839033475</v>
      </c>
      <c r="AT118" s="731">
        <f t="shared" si="137"/>
        <v>38.1921435677272</v>
      </c>
    </row>
    <row r="119" spans="1:46">
      <c r="A119" s="742" t="s">
        <v>465</v>
      </c>
      <c r="B119" s="743"/>
      <c r="C119" s="742"/>
      <c r="D119" s="743">
        <f t="shared" ref="D119:AG119" si="146">IF(D113=0,0,D$23)</f>
        <v>0</v>
      </c>
      <c r="E119" s="743">
        <f t="shared" si="146"/>
        <v>0</v>
      </c>
      <c r="F119" s="743">
        <f t="shared" si="146"/>
        <v>0</v>
      </c>
      <c r="G119" s="743">
        <f t="shared" si="146"/>
        <v>0</v>
      </c>
      <c r="H119" s="743">
        <f t="shared" si="146"/>
        <v>0</v>
      </c>
      <c r="I119" s="743">
        <f t="shared" si="146"/>
        <v>0</v>
      </c>
      <c r="J119" s="743">
        <f t="shared" si="146"/>
        <v>0</v>
      </c>
      <c r="K119" s="743">
        <f t="shared" si="146"/>
        <v>0</v>
      </c>
      <c r="L119" s="743">
        <f t="shared" si="146"/>
        <v>27.097126007080078</v>
      </c>
      <c r="M119" s="743">
        <f t="shared" si="146"/>
        <v>0</v>
      </c>
      <c r="N119" s="743">
        <f t="shared" si="146"/>
        <v>0</v>
      </c>
      <c r="O119" s="743">
        <f t="shared" si="146"/>
        <v>0</v>
      </c>
      <c r="P119" s="743">
        <f t="shared" si="146"/>
        <v>26.36302375793457</v>
      </c>
      <c r="Q119" s="743">
        <f t="shared" si="146"/>
        <v>24.682135581970215</v>
      </c>
      <c r="R119" s="743">
        <f t="shared" si="146"/>
        <v>0</v>
      </c>
      <c r="S119" s="743">
        <f t="shared" si="146"/>
        <v>0</v>
      </c>
      <c r="T119" s="743">
        <f t="shared" si="146"/>
        <v>0</v>
      </c>
      <c r="U119" s="743">
        <f t="shared" si="146"/>
        <v>0</v>
      </c>
      <c r="V119" s="743">
        <f t="shared" si="146"/>
        <v>0</v>
      </c>
      <c r="W119" s="743">
        <f t="shared" si="146"/>
        <v>0</v>
      </c>
      <c r="X119" s="743">
        <f t="shared" si="146"/>
        <v>0</v>
      </c>
      <c r="Y119" s="743">
        <f t="shared" si="146"/>
        <v>0</v>
      </c>
      <c r="Z119" s="743">
        <f t="shared" si="146"/>
        <v>0</v>
      </c>
      <c r="AA119" s="743">
        <f t="shared" si="146"/>
        <v>0</v>
      </c>
      <c r="AB119" s="743">
        <f t="shared" si="146"/>
        <v>0</v>
      </c>
      <c r="AC119" s="743">
        <f t="shared" si="146"/>
        <v>0</v>
      </c>
      <c r="AD119" s="743">
        <f t="shared" si="146"/>
        <v>0</v>
      </c>
      <c r="AE119" s="743">
        <f t="shared" si="146"/>
        <v>0</v>
      </c>
      <c r="AF119" s="743">
        <f t="shared" si="146"/>
        <v>0</v>
      </c>
      <c r="AG119" s="744">
        <f t="shared" si="146"/>
        <v>0</v>
      </c>
      <c r="AH119" s="762">
        <f t="shared" si="133"/>
        <v>26.36302375793457</v>
      </c>
      <c r="AI119" s="760"/>
      <c r="AJ119" s="760">
        <f t="shared" si="134"/>
        <v>24.682135581970215</v>
      </c>
      <c r="AK119" s="743"/>
      <c r="AL119" s="760">
        <f t="shared" si="135"/>
        <v>27.097126007080078</v>
      </c>
      <c r="AM119" s="761"/>
      <c r="AN119" s="746">
        <f t="shared" si="139"/>
        <v>26.36302375793457</v>
      </c>
      <c r="AO119" s="743">
        <f t="shared" si="140"/>
        <v>24.682135581970215</v>
      </c>
      <c r="AP119" s="747">
        <f t="shared" si="141"/>
        <v>27.097126007080078</v>
      </c>
      <c r="AQ119" s="747">
        <f t="shared" si="136"/>
        <v>26.263766965232367</v>
      </c>
      <c r="AS119" s="743">
        <f t="shared" si="142"/>
        <v>26.263766965232367</v>
      </c>
      <c r="AT119" s="731">
        <f t="shared" si="137"/>
        <v>26.126228110444636</v>
      </c>
    </row>
    <row r="120" spans="1:46">
      <c r="A120" s="742" t="s">
        <v>419</v>
      </c>
      <c r="B120" s="743"/>
      <c r="C120" s="742"/>
      <c r="D120" s="743">
        <f t="shared" ref="D120:AG120" si="147">IF(D113=0,0,D$24)</f>
        <v>0</v>
      </c>
      <c r="E120" s="743">
        <f t="shared" si="147"/>
        <v>0</v>
      </c>
      <c r="F120" s="743">
        <f t="shared" si="147"/>
        <v>0</v>
      </c>
      <c r="G120" s="743">
        <f t="shared" si="147"/>
        <v>0</v>
      </c>
      <c r="H120" s="743">
        <f t="shared" si="147"/>
        <v>0</v>
      </c>
      <c r="I120" s="743">
        <f t="shared" si="147"/>
        <v>0</v>
      </c>
      <c r="J120" s="743">
        <f t="shared" si="147"/>
        <v>0</v>
      </c>
      <c r="K120" s="743">
        <f t="shared" si="147"/>
        <v>0</v>
      </c>
      <c r="L120" s="743">
        <f t="shared" si="147"/>
        <v>36.797748565673828</v>
      </c>
      <c r="M120" s="743">
        <f t="shared" si="147"/>
        <v>0</v>
      </c>
      <c r="N120" s="743">
        <f t="shared" si="147"/>
        <v>0</v>
      </c>
      <c r="O120" s="743">
        <f t="shared" si="147"/>
        <v>0</v>
      </c>
      <c r="P120" s="743">
        <f t="shared" si="147"/>
        <v>37.716859817504883</v>
      </c>
      <c r="Q120" s="743">
        <f t="shared" si="147"/>
        <v>36.211601257324219</v>
      </c>
      <c r="R120" s="743">
        <f t="shared" si="147"/>
        <v>0</v>
      </c>
      <c r="S120" s="743">
        <f t="shared" si="147"/>
        <v>0</v>
      </c>
      <c r="T120" s="743">
        <f t="shared" si="147"/>
        <v>0</v>
      </c>
      <c r="U120" s="743">
        <f t="shared" si="147"/>
        <v>0</v>
      </c>
      <c r="V120" s="743">
        <f t="shared" si="147"/>
        <v>0</v>
      </c>
      <c r="W120" s="743">
        <f t="shared" si="147"/>
        <v>0</v>
      </c>
      <c r="X120" s="743">
        <f t="shared" si="147"/>
        <v>0</v>
      </c>
      <c r="Y120" s="743">
        <f t="shared" si="147"/>
        <v>0</v>
      </c>
      <c r="Z120" s="743">
        <f t="shared" si="147"/>
        <v>0</v>
      </c>
      <c r="AA120" s="743">
        <f t="shared" si="147"/>
        <v>0</v>
      </c>
      <c r="AB120" s="743">
        <f t="shared" si="147"/>
        <v>0</v>
      </c>
      <c r="AC120" s="743">
        <f t="shared" si="147"/>
        <v>0</v>
      </c>
      <c r="AD120" s="743">
        <f t="shared" si="147"/>
        <v>0</v>
      </c>
      <c r="AE120" s="743">
        <f t="shared" si="147"/>
        <v>0</v>
      </c>
      <c r="AF120" s="743">
        <f t="shared" si="147"/>
        <v>0</v>
      </c>
      <c r="AG120" s="744">
        <f t="shared" si="147"/>
        <v>0</v>
      </c>
      <c r="AH120" s="762">
        <f t="shared" si="133"/>
        <v>37.716859817504883</v>
      </c>
      <c r="AI120" s="760"/>
      <c r="AJ120" s="760">
        <f t="shared" si="134"/>
        <v>36.211601257324219</v>
      </c>
      <c r="AK120" s="743"/>
      <c r="AL120" s="760">
        <f t="shared" si="135"/>
        <v>36.797748565673828</v>
      </c>
      <c r="AM120" s="761"/>
      <c r="AN120" s="746">
        <f t="shared" si="139"/>
        <v>37.716859817504883</v>
      </c>
      <c r="AO120" s="743">
        <f t="shared" si="140"/>
        <v>36.211601257324219</v>
      </c>
      <c r="AP120" s="747">
        <f t="shared" si="141"/>
        <v>36.797748565673828</v>
      </c>
      <c r="AQ120" s="747">
        <f t="shared" si="136"/>
        <v>37.404643221916238</v>
      </c>
      <c r="AS120" s="743">
        <f t="shared" si="142"/>
        <v>37.404643221916238</v>
      </c>
      <c r="AT120" s="731">
        <f t="shared" si="137"/>
        <v>37.504806047066971</v>
      </c>
    </row>
    <row r="121" spans="1:46">
      <c r="O121" s="817"/>
      <c r="AH121" s="766"/>
      <c r="AI121" s="767"/>
      <c r="AJ121" s="767"/>
      <c r="AK121" s="767"/>
      <c r="AL121" s="767"/>
      <c r="AM121" s="767"/>
      <c r="AN121" s="766"/>
      <c r="AO121" s="767"/>
      <c r="AP121" s="768"/>
      <c r="AQ121" s="768"/>
    </row>
    <row r="122" spans="1:46">
      <c r="A122" s="760" t="s">
        <v>478</v>
      </c>
      <c r="B122" s="760">
        <v>180000</v>
      </c>
      <c r="C122" s="759" t="s">
        <v>85</v>
      </c>
      <c r="D122" s="760"/>
      <c r="E122" s="760"/>
      <c r="F122" s="760"/>
      <c r="G122" s="760"/>
      <c r="H122" s="760"/>
      <c r="I122" s="760"/>
      <c r="J122" s="760"/>
      <c r="K122" s="760"/>
      <c r="L122" s="760">
        <v>4324.8440000000001</v>
      </c>
      <c r="M122" s="760"/>
      <c r="N122" s="760"/>
      <c r="O122" s="760">
        <v>27665.580913948619</v>
      </c>
      <c r="P122" s="760">
        <v>21652.32</v>
      </c>
      <c r="Q122" s="760">
        <v>4889.6819999999998</v>
      </c>
      <c r="R122" s="760"/>
      <c r="S122" s="760">
        <v>92397.135999999999</v>
      </c>
      <c r="T122" s="760">
        <v>29972.590330505373</v>
      </c>
      <c r="U122" s="760"/>
      <c r="V122" s="760"/>
      <c r="W122" s="760"/>
      <c r="X122" s="760"/>
      <c r="Y122" s="760"/>
      <c r="Z122" s="760"/>
      <c r="AA122" s="760"/>
      <c r="AB122" s="760">
        <v>0</v>
      </c>
      <c r="AC122" s="760"/>
      <c r="AD122" s="760"/>
      <c r="AE122" s="760">
        <v>0</v>
      </c>
      <c r="AF122" s="760"/>
      <c r="AG122" s="761"/>
      <c r="AH122" s="762">
        <f>P122</f>
        <v>21652.32</v>
      </c>
      <c r="AI122" s="760">
        <f>S122</f>
        <v>92397.135999999999</v>
      </c>
      <c r="AJ122" s="760">
        <f>T122</f>
        <v>29972.590330505373</v>
      </c>
      <c r="AK122" s="760">
        <f>+Q122</f>
        <v>4889.6819999999998</v>
      </c>
      <c r="AL122" s="760">
        <f>L122</f>
        <v>4324.8440000000001</v>
      </c>
      <c r="AM122" s="761">
        <f>O122</f>
        <v>27665.580913948619</v>
      </c>
      <c r="AN122" s="765">
        <f>SUM(AH122:AI122)</f>
        <v>114049.45600000001</v>
      </c>
      <c r="AO122" s="760">
        <f>SUM(AJ122:AK122)</f>
        <v>34862.272330505373</v>
      </c>
      <c r="AP122" s="764">
        <f>SUM(AL122:AM122)</f>
        <v>31990.42491394862</v>
      </c>
      <c r="AQ122" s="764">
        <f>SUM(D122:AG122)</f>
        <v>180902.15324445398</v>
      </c>
      <c r="AS122" s="731">
        <f>SUM(AN122:AP122)</f>
        <v>180902.15324445401</v>
      </c>
    </row>
    <row r="123" spans="1:46">
      <c r="A123" s="742" t="s">
        <v>460</v>
      </c>
      <c r="B123" s="760"/>
      <c r="C123" s="759"/>
      <c r="D123" s="743">
        <f>IF(D122=0,0,D$18)</f>
        <v>0</v>
      </c>
      <c r="E123" s="743">
        <f>IF(E122=0,0,E$18)</f>
        <v>0</v>
      </c>
      <c r="F123" s="743">
        <f>IF(F122=0,0,F$18)</f>
        <v>0</v>
      </c>
      <c r="G123" s="743">
        <f>IF(G122=0,0,G$18)</f>
        <v>0</v>
      </c>
      <c r="H123" s="743">
        <f>IF(H122=0,0,H$18)</f>
        <v>0</v>
      </c>
      <c r="I123" s="743">
        <f t="shared" ref="I123:AG123" si="148">IF(I122=0,0,I$18)</f>
        <v>0</v>
      </c>
      <c r="J123" s="743">
        <f t="shared" si="148"/>
        <v>0</v>
      </c>
      <c r="K123" s="743">
        <f t="shared" si="148"/>
        <v>0</v>
      </c>
      <c r="L123" s="743">
        <f t="shared" si="148"/>
        <v>4355.78125</v>
      </c>
      <c r="M123" s="743">
        <f t="shared" si="148"/>
        <v>0</v>
      </c>
      <c r="N123" s="743">
        <f t="shared" si="148"/>
        <v>0</v>
      </c>
      <c r="O123" s="743">
        <f t="shared" si="148"/>
        <v>4718.19189453125</v>
      </c>
      <c r="P123" s="743">
        <f t="shared" si="148"/>
        <v>4688.514892578125</v>
      </c>
      <c r="Q123" s="743">
        <f t="shared" si="148"/>
        <v>4391.273681640625</v>
      </c>
      <c r="R123" s="743">
        <f t="shared" si="148"/>
        <v>0</v>
      </c>
      <c r="S123" s="743">
        <f t="shared" si="148"/>
        <v>4374.95751953125</v>
      </c>
      <c r="T123" s="743">
        <f t="shared" si="148"/>
        <v>4268.08154296875</v>
      </c>
      <c r="U123" s="743">
        <f t="shared" si="148"/>
        <v>0</v>
      </c>
      <c r="V123" s="743">
        <f t="shared" si="148"/>
        <v>0</v>
      </c>
      <c r="W123" s="743">
        <f t="shared" si="148"/>
        <v>0</v>
      </c>
      <c r="X123" s="743">
        <f t="shared" si="148"/>
        <v>0</v>
      </c>
      <c r="Y123" s="743">
        <f t="shared" si="148"/>
        <v>0</v>
      </c>
      <c r="Z123" s="743">
        <f t="shared" si="148"/>
        <v>0</v>
      </c>
      <c r="AA123" s="743">
        <f t="shared" si="148"/>
        <v>0</v>
      </c>
      <c r="AB123" s="743">
        <f t="shared" si="148"/>
        <v>0</v>
      </c>
      <c r="AC123" s="743">
        <f t="shared" si="148"/>
        <v>0</v>
      </c>
      <c r="AD123" s="743">
        <f t="shared" si="148"/>
        <v>0</v>
      </c>
      <c r="AE123" s="743">
        <f t="shared" si="148"/>
        <v>0</v>
      </c>
      <c r="AF123" s="743">
        <f t="shared" si="148"/>
        <v>0</v>
      </c>
      <c r="AG123" s="744">
        <f t="shared" si="148"/>
        <v>0</v>
      </c>
      <c r="AH123" s="762">
        <f t="shared" ref="AH123:AH129" si="149">P123</f>
        <v>4688.514892578125</v>
      </c>
      <c r="AI123" s="760">
        <f t="shared" ref="AI123:AJ129" si="150">S123</f>
        <v>4374.95751953125</v>
      </c>
      <c r="AJ123" s="760">
        <f t="shared" si="150"/>
        <v>4268.08154296875</v>
      </c>
      <c r="AK123" s="743">
        <f t="shared" ref="AK123:AK129" si="151">+Q123</f>
        <v>4391.273681640625</v>
      </c>
      <c r="AL123" s="760">
        <f t="shared" ref="AL123:AL129" si="152">L123</f>
        <v>4355.78125</v>
      </c>
      <c r="AM123" s="744">
        <f t="shared" ref="AM123:AM129" si="153">O123</f>
        <v>4718.19189453125</v>
      </c>
      <c r="AN123" s="746">
        <f>IF(AN$122=0,0,SUMPRODUCT(AH$122:AI$122,AH123:AI123)/AN$122)</f>
        <v>4434.4864714235791</v>
      </c>
      <c r="AO123" s="743">
        <f>IF(AO$122=0,0,SUMPRODUCT(AJ$122:AK$122,AJ123:AK123)/AO$122)</f>
        <v>4285.3601178503504</v>
      </c>
      <c r="AP123" s="747">
        <f>IF(AP$122=0,0,SUMPRODUCT(AL$122:AM$122,AL123:AM123)/AP$122)</f>
        <v>4669.1969372665935</v>
      </c>
      <c r="AQ123" s="747">
        <f t="shared" ref="AQ123:AQ129" si="154">SUMPRODUCT(D$122:AG$122,D123:AG123)/AQ$122</f>
        <v>4447.2536162182732</v>
      </c>
      <c r="AS123" s="743">
        <f>IF(AS$122=0,0,SUMPRODUCT(AN$122:AP$122,AN123:AP123)/AS$122)</f>
        <v>4447.2536162182714</v>
      </c>
    </row>
    <row r="124" spans="1:46">
      <c r="A124" s="742" t="s">
        <v>462</v>
      </c>
      <c r="B124" s="743"/>
      <c r="C124" s="742"/>
      <c r="D124" s="743">
        <f t="shared" ref="D124:AG124" si="155">IF(D122=0,0,D$19)</f>
        <v>0</v>
      </c>
      <c r="E124" s="743">
        <f t="shared" si="155"/>
        <v>0</v>
      </c>
      <c r="F124" s="743">
        <f t="shared" si="155"/>
        <v>0</v>
      </c>
      <c r="G124" s="743">
        <f t="shared" si="155"/>
        <v>0</v>
      </c>
      <c r="H124" s="743">
        <f t="shared" si="155"/>
        <v>0</v>
      </c>
      <c r="I124" s="743">
        <f t="shared" si="155"/>
        <v>0</v>
      </c>
      <c r="J124" s="743">
        <f t="shared" si="155"/>
        <v>0</v>
      </c>
      <c r="K124" s="743">
        <f t="shared" si="155"/>
        <v>0</v>
      </c>
      <c r="L124" s="743">
        <f t="shared" si="155"/>
        <v>3733.4101234885643</v>
      </c>
      <c r="M124" s="743">
        <f t="shared" si="155"/>
        <v>0</v>
      </c>
      <c r="N124" s="743">
        <f t="shared" si="155"/>
        <v>0</v>
      </c>
      <c r="O124" s="743">
        <f t="shared" si="155"/>
        <v>3794.1704195293073</v>
      </c>
      <c r="P124" s="743">
        <f t="shared" si="155"/>
        <v>3918.1817819971125</v>
      </c>
      <c r="Q124" s="743">
        <f t="shared" si="155"/>
        <v>3698.4350040172335</v>
      </c>
      <c r="R124" s="743">
        <f t="shared" si="155"/>
        <v>0</v>
      </c>
      <c r="S124" s="743">
        <f t="shared" si="155"/>
        <v>3686.7762976598851</v>
      </c>
      <c r="T124" s="743">
        <f t="shared" si="155"/>
        <v>3569.9328360118889</v>
      </c>
      <c r="U124" s="743">
        <f t="shared" si="155"/>
        <v>0</v>
      </c>
      <c r="V124" s="743">
        <f t="shared" si="155"/>
        <v>0</v>
      </c>
      <c r="W124" s="743">
        <f t="shared" si="155"/>
        <v>0</v>
      </c>
      <c r="X124" s="743">
        <f t="shared" si="155"/>
        <v>0</v>
      </c>
      <c r="Y124" s="743">
        <f t="shared" si="155"/>
        <v>0</v>
      </c>
      <c r="Z124" s="743">
        <f t="shared" si="155"/>
        <v>0</v>
      </c>
      <c r="AA124" s="743">
        <f t="shared" si="155"/>
        <v>0</v>
      </c>
      <c r="AB124" s="743">
        <f t="shared" si="155"/>
        <v>0</v>
      </c>
      <c r="AC124" s="743">
        <f t="shared" si="155"/>
        <v>0</v>
      </c>
      <c r="AD124" s="743">
        <f t="shared" si="155"/>
        <v>0</v>
      </c>
      <c r="AE124" s="743">
        <f t="shared" si="155"/>
        <v>0</v>
      </c>
      <c r="AF124" s="743">
        <f t="shared" si="155"/>
        <v>0</v>
      </c>
      <c r="AG124" s="744">
        <f t="shared" si="155"/>
        <v>0</v>
      </c>
      <c r="AH124" s="762">
        <f t="shared" si="149"/>
        <v>3918.1817819971125</v>
      </c>
      <c r="AI124" s="760">
        <f t="shared" si="150"/>
        <v>3686.7762976598851</v>
      </c>
      <c r="AJ124" s="760">
        <f t="shared" si="150"/>
        <v>3569.9328360118889</v>
      </c>
      <c r="AK124" s="743">
        <f t="shared" si="151"/>
        <v>3698.4350040172335</v>
      </c>
      <c r="AL124" s="760">
        <f t="shared" si="152"/>
        <v>3733.4101234885643</v>
      </c>
      <c r="AM124" s="744">
        <f t="shared" si="153"/>
        <v>3794.1704195293073</v>
      </c>
      <c r="AN124" s="746">
        <f t="shared" ref="AN124:AN129" si="156">IF(AN$122=0,0,SUMPRODUCT(AH$122:AI$122,AH124:AI124)/AN$122)</f>
        <v>3730.7086913104486</v>
      </c>
      <c r="AO124" s="743">
        <f t="shared" ref="AO124:AO129" si="157">IF(AO$122=0,0,SUMPRODUCT(AJ$122:AK$122,AJ124:AK124)/AO$122)</f>
        <v>3587.9561803280567</v>
      </c>
      <c r="AP124" s="747">
        <f t="shared" ref="AP124:AP129" si="158">IF(AP$122=0,0,SUMPRODUCT(AL$122:AM$122,AL124:AM124)/AP$122)</f>
        <v>3785.9561240806884</v>
      </c>
      <c r="AQ124" s="747">
        <f t="shared" si="154"/>
        <v>3712.9682277148049</v>
      </c>
      <c r="AS124" s="743">
        <f t="shared" ref="AS124:AS129" si="159">IF(AS$122=0,0,SUMPRODUCT(AN$122:AP$122,AN124:AP124)/AS$122)</f>
        <v>3712.9682277148049</v>
      </c>
    </row>
    <row r="125" spans="1:46">
      <c r="A125" s="742" t="s">
        <v>420</v>
      </c>
      <c r="B125" s="743"/>
      <c r="C125" s="742"/>
      <c r="D125" s="743">
        <f t="shared" ref="D125:AG125" si="160">IF(D122=0,0,D$20)</f>
        <v>0</v>
      </c>
      <c r="E125" s="743">
        <f t="shared" si="160"/>
        <v>0</v>
      </c>
      <c r="F125" s="743">
        <f t="shared" si="160"/>
        <v>0</v>
      </c>
      <c r="G125" s="743">
        <f t="shared" si="160"/>
        <v>0</v>
      </c>
      <c r="H125" s="743">
        <f t="shared" si="160"/>
        <v>0</v>
      </c>
      <c r="I125" s="743">
        <f t="shared" si="160"/>
        <v>0</v>
      </c>
      <c r="J125" s="743">
        <f t="shared" si="160"/>
        <v>0</v>
      </c>
      <c r="K125" s="743">
        <f t="shared" si="160"/>
        <v>0</v>
      </c>
      <c r="L125" s="743">
        <f t="shared" si="160"/>
        <v>0.13813723623752594</v>
      </c>
      <c r="M125" s="743">
        <f t="shared" si="160"/>
        <v>0</v>
      </c>
      <c r="N125" s="743">
        <f t="shared" si="160"/>
        <v>0</v>
      </c>
      <c r="O125" s="743">
        <f t="shared" si="160"/>
        <v>0.15936124324798584</v>
      </c>
      <c r="P125" s="743">
        <f t="shared" si="160"/>
        <v>0.10967570170760155</v>
      </c>
      <c r="Q125" s="743">
        <f t="shared" si="160"/>
        <v>0.20138873904943466</v>
      </c>
      <c r="R125" s="743">
        <f t="shared" si="160"/>
        <v>0</v>
      </c>
      <c r="S125" s="743">
        <f t="shared" si="160"/>
        <v>0.11128560453653336</v>
      </c>
      <c r="T125" s="743">
        <f t="shared" si="160"/>
        <v>0.15938307344913483</v>
      </c>
      <c r="U125" s="743">
        <f t="shared" si="160"/>
        <v>0</v>
      </c>
      <c r="V125" s="743">
        <f t="shared" si="160"/>
        <v>0</v>
      </c>
      <c r="W125" s="743">
        <f t="shared" si="160"/>
        <v>0</v>
      </c>
      <c r="X125" s="743">
        <f t="shared" si="160"/>
        <v>0</v>
      </c>
      <c r="Y125" s="743">
        <f t="shared" si="160"/>
        <v>0</v>
      </c>
      <c r="Z125" s="743">
        <f t="shared" si="160"/>
        <v>0</v>
      </c>
      <c r="AA125" s="743">
        <f t="shared" si="160"/>
        <v>0</v>
      </c>
      <c r="AB125" s="743">
        <f t="shared" si="160"/>
        <v>0</v>
      </c>
      <c r="AC125" s="743">
        <f t="shared" si="160"/>
        <v>0</v>
      </c>
      <c r="AD125" s="743">
        <f t="shared" si="160"/>
        <v>0</v>
      </c>
      <c r="AE125" s="743">
        <f t="shared" si="160"/>
        <v>0</v>
      </c>
      <c r="AF125" s="743">
        <f t="shared" si="160"/>
        <v>0</v>
      </c>
      <c r="AG125" s="744">
        <f t="shared" si="160"/>
        <v>0</v>
      </c>
      <c r="AH125" s="762">
        <f t="shared" si="149"/>
        <v>0.10967570170760155</v>
      </c>
      <c r="AI125" s="760">
        <f t="shared" si="150"/>
        <v>0.11128560453653336</v>
      </c>
      <c r="AJ125" s="760">
        <f t="shared" si="150"/>
        <v>0.15938307344913483</v>
      </c>
      <c r="AK125" s="743">
        <f t="shared" si="151"/>
        <v>0.20138873904943466</v>
      </c>
      <c r="AL125" s="760">
        <f t="shared" si="152"/>
        <v>0.13813723623752594</v>
      </c>
      <c r="AM125" s="744">
        <f t="shared" si="153"/>
        <v>0.15936124324798584</v>
      </c>
      <c r="AN125" s="746">
        <f t="shared" si="156"/>
        <v>0.11097996404999796</v>
      </c>
      <c r="AO125" s="743">
        <f t="shared" si="157"/>
        <v>0.16527466723386008</v>
      </c>
      <c r="AP125" s="747">
        <f t="shared" si="158"/>
        <v>0.15649193095775982</v>
      </c>
      <c r="AQ125" s="747">
        <f t="shared" si="154"/>
        <v>0.12949153966415552</v>
      </c>
      <c r="AS125" s="743">
        <f t="shared" si="159"/>
        <v>0.1294915396641555</v>
      </c>
    </row>
    <row r="126" spans="1:46">
      <c r="A126" s="742" t="s">
        <v>464</v>
      </c>
      <c r="B126" s="743"/>
      <c r="C126" s="742"/>
      <c r="D126" s="743">
        <f t="shared" ref="D126:AG126" si="161">IF(D122=0,0,D$21)</f>
        <v>0</v>
      </c>
      <c r="E126" s="743">
        <f t="shared" si="161"/>
        <v>0</v>
      </c>
      <c r="F126" s="743">
        <f t="shared" si="161"/>
        <v>0</v>
      </c>
      <c r="G126" s="743">
        <f t="shared" si="161"/>
        <v>0</v>
      </c>
      <c r="H126" s="743">
        <f t="shared" si="161"/>
        <v>0</v>
      </c>
      <c r="I126" s="743">
        <f t="shared" si="161"/>
        <v>0</v>
      </c>
      <c r="J126" s="743">
        <f t="shared" si="161"/>
        <v>0</v>
      </c>
      <c r="K126" s="743">
        <f t="shared" si="161"/>
        <v>0</v>
      </c>
      <c r="L126" s="743">
        <f t="shared" si="161"/>
        <v>8.4974327087402344</v>
      </c>
      <c r="M126" s="743">
        <f t="shared" si="161"/>
        <v>0</v>
      </c>
      <c r="N126" s="743">
        <f t="shared" si="161"/>
        <v>0</v>
      </c>
      <c r="O126" s="743">
        <f t="shared" si="161"/>
        <v>8.7672147750854492</v>
      </c>
      <c r="P126" s="743">
        <f t="shared" si="161"/>
        <v>6.0140137672424316</v>
      </c>
      <c r="Q126" s="743">
        <f t="shared" si="161"/>
        <v>11.493030548095703</v>
      </c>
      <c r="R126" s="743">
        <f t="shared" si="161"/>
        <v>0</v>
      </c>
      <c r="S126" s="743">
        <f t="shared" si="161"/>
        <v>9.026209831237793</v>
      </c>
      <c r="T126" s="743">
        <f t="shared" si="161"/>
        <v>12.220863342285156</v>
      </c>
      <c r="U126" s="743">
        <f t="shared" si="161"/>
        <v>0</v>
      </c>
      <c r="V126" s="743">
        <f t="shared" si="161"/>
        <v>0</v>
      </c>
      <c r="W126" s="743">
        <f t="shared" si="161"/>
        <v>0</v>
      </c>
      <c r="X126" s="743">
        <f t="shared" si="161"/>
        <v>0</v>
      </c>
      <c r="Y126" s="743">
        <f t="shared" si="161"/>
        <v>0</v>
      </c>
      <c r="Z126" s="743">
        <f t="shared" si="161"/>
        <v>0</v>
      </c>
      <c r="AA126" s="743">
        <f t="shared" si="161"/>
        <v>0</v>
      </c>
      <c r="AB126" s="743">
        <f t="shared" si="161"/>
        <v>0</v>
      </c>
      <c r="AC126" s="743">
        <f t="shared" si="161"/>
        <v>0</v>
      </c>
      <c r="AD126" s="743">
        <f t="shared" si="161"/>
        <v>0</v>
      </c>
      <c r="AE126" s="743">
        <f t="shared" si="161"/>
        <v>0</v>
      </c>
      <c r="AF126" s="743">
        <f t="shared" si="161"/>
        <v>0</v>
      </c>
      <c r="AG126" s="744">
        <f t="shared" si="161"/>
        <v>0</v>
      </c>
      <c r="AH126" s="762">
        <f t="shared" si="149"/>
        <v>6.0140137672424316</v>
      </c>
      <c r="AI126" s="760">
        <f t="shared" si="150"/>
        <v>9.026209831237793</v>
      </c>
      <c r="AJ126" s="760">
        <f t="shared" si="150"/>
        <v>12.220863342285156</v>
      </c>
      <c r="AK126" s="743">
        <f t="shared" si="151"/>
        <v>11.493030548095703</v>
      </c>
      <c r="AL126" s="760">
        <f t="shared" si="152"/>
        <v>8.4974327087402344</v>
      </c>
      <c r="AM126" s="744">
        <f t="shared" si="153"/>
        <v>8.7672147750854492</v>
      </c>
      <c r="AN126" s="746">
        <f t="shared" si="156"/>
        <v>8.4543435955902684</v>
      </c>
      <c r="AO126" s="743">
        <f t="shared" si="157"/>
        <v>12.11877960892955</v>
      </c>
      <c r="AP126" s="747">
        <f t="shared" si="158"/>
        <v>8.7307424445653261</v>
      </c>
      <c r="AQ126" s="747">
        <f t="shared" si="154"/>
        <v>9.2094074818371361</v>
      </c>
      <c r="AS126" s="743">
        <f t="shared" si="159"/>
        <v>9.2094074818371361</v>
      </c>
    </row>
    <row r="127" spans="1:46">
      <c r="A127" s="742" t="s">
        <v>416</v>
      </c>
      <c r="B127" s="743"/>
      <c r="C127" s="742"/>
      <c r="D127" s="743">
        <f>IF(D122=0,0,D$22)</f>
        <v>0</v>
      </c>
      <c r="E127" s="743">
        <f>IF(E122=0,0,E$22)</f>
        <v>0</v>
      </c>
      <c r="F127" s="743">
        <f>IF(F122=0,0,F$22)</f>
        <v>0</v>
      </c>
      <c r="G127" s="743">
        <f>IF(G122=0,0,G$22)</f>
        <v>0</v>
      </c>
      <c r="H127" s="743">
        <f>IF(H122=0,0,H$22)</f>
        <v>0</v>
      </c>
      <c r="I127" s="743">
        <f t="shared" ref="I127:AG127" si="162">IF(I122=0,0,I$22)</f>
        <v>0</v>
      </c>
      <c r="J127" s="743">
        <f t="shared" si="162"/>
        <v>0</v>
      </c>
      <c r="K127" s="743">
        <f t="shared" si="162"/>
        <v>0</v>
      </c>
      <c r="L127" s="743">
        <f t="shared" si="162"/>
        <v>37.513774871826172</v>
      </c>
      <c r="M127" s="743">
        <f t="shared" si="162"/>
        <v>0</v>
      </c>
      <c r="N127" s="743">
        <f t="shared" si="162"/>
        <v>0</v>
      </c>
      <c r="O127" s="743">
        <f t="shared" si="162"/>
        <v>37.576129913330078</v>
      </c>
      <c r="P127" s="743">
        <f t="shared" si="162"/>
        <v>38.462162017822266</v>
      </c>
      <c r="Q127" s="743">
        <f t="shared" si="162"/>
        <v>36.545442581176758</v>
      </c>
      <c r="R127" s="743">
        <f t="shared" si="162"/>
        <v>0</v>
      </c>
      <c r="S127" s="743">
        <f t="shared" si="162"/>
        <v>37.718955993652344</v>
      </c>
      <c r="T127" s="743">
        <f t="shared" si="162"/>
        <v>36.603984832763672</v>
      </c>
      <c r="U127" s="743">
        <f t="shared" si="162"/>
        <v>0</v>
      </c>
      <c r="V127" s="743">
        <f t="shared" si="162"/>
        <v>0</v>
      </c>
      <c r="W127" s="743">
        <f t="shared" si="162"/>
        <v>0</v>
      </c>
      <c r="X127" s="743">
        <f t="shared" si="162"/>
        <v>0</v>
      </c>
      <c r="Y127" s="743">
        <f t="shared" si="162"/>
        <v>0</v>
      </c>
      <c r="Z127" s="743">
        <f t="shared" si="162"/>
        <v>0</v>
      </c>
      <c r="AA127" s="743">
        <f t="shared" si="162"/>
        <v>0</v>
      </c>
      <c r="AB127" s="743">
        <f t="shared" si="162"/>
        <v>0</v>
      </c>
      <c r="AC127" s="743">
        <f t="shared" si="162"/>
        <v>0</v>
      </c>
      <c r="AD127" s="743">
        <f t="shared" si="162"/>
        <v>0</v>
      </c>
      <c r="AE127" s="743">
        <f t="shared" si="162"/>
        <v>0</v>
      </c>
      <c r="AF127" s="743">
        <f t="shared" si="162"/>
        <v>0</v>
      </c>
      <c r="AG127" s="744">
        <f t="shared" si="162"/>
        <v>0</v>
      </c>
      <c r="AH127" s="762">
        <f t="shared" si="149"/>
        <v>38.462162017822266</v>
      </c>
      <c r="AI127" s="760">
        <f t="shared" si="150"/>
        <v>37.718955993652344</v>
      </c>
      <c r="AJ127" s="760">
        <f t="shared" si="150"/>
        <v>36.603984832763672</v>
      </c>
      <c r="AK127" s="743">
        <f t="shared" si="151"/>
        <v>36.545442581176758</v>
      </c>
      <c r="AL127" s="760">
        <f t="shared" si="152"/>
        <v>37.513774871826172</v>
      </c>
      <c r="AM127" s="744">
        <f t="shared" si="153"/>
        <v>37.576129913330078</v>
      </c>
      <c r="AN127" s="746">
        <f t="shared" si="156"/>
        <v>37.860053857909179</v>
      </c>
      <c r="AO127" s="743">
        <f t="shared" si="157"/>
        <v>36.595773865012909</v>
      </c>
      <c r="AP127" s="747">
        <f t="shared" si="158"/>
        <v>37.567700021328228</v>
      </c>
      <c r="AQ127" s="747">
        <f t="shared" si="154"/>
        <v>37.564710790324973</v>
      </c>
      <c r="AS127" s="743">
        <f t="shared" si="159"/>
        <v>37.564710790324966</v>
      </c>
    </row>
    <row r="128" spans="1:46">
      <c r="A128" s="742" t="s">
        <v>465</v>
      </c>
      <c r="B128" s="743"/>
      <c r="C128" s="742"/>
      <c r="D128" s="743">
        <f t="shared" ref="D128:AG128" si="163">IF(D122=0,0,D$23)</f>
        <v>0</v>
      </c>
      <c r="E128" s="743">
        <f t="shared" si="163"/>
        <v>0</v>
      </c>
      <c r="F128" s="743">
        <f t="shared" si="163"/>
        <v>0</v>
      </c>
      <c r="G128" s="743">
        <f t="shared" si="163"/>
        <v>0</v>
      </c>
      <c r="H128" s="743">
        <f t="shared" si="163"/>
        <v>0</v>
      </c>
      <c r="I128" s="743">
        <f t="shared" si="163"/>
        <v>0</v>
      </c>
      <c r="J128" s="743">
        <f t="shared" si="163"/>
        <v>0</v>
      </c>
      <c r="K128" s="743">
        <f t="shared" si="163"/>
        <v>0</v>
      </c>
      <c r="L128" s="743">
        <f t="shared" si="163"/>
        <v>27.097126007080078</v>
      </c>
      <c r="M128" s="743">
        <f t="shared" si="163"/>
        <v>0</v>
      </c>
      <c r="N128" s="743">
        <f t="shared" si="163"/>
        <v>0</v>
      </c>
      <c r="O128" s="743">
        <f t="shared" si="163"/>
        <v>22.373598098754883</v>
      </c>
      <c r="P128" s="743">
        <f t="shared" si="163"/>
        <v>26.36302375793457</v>
      </c>
      <c r="Q128" s="743">
        <f t="shared" si="163"/>
        <v>24.682135581970215</v>
      </c>
      <c r="R128" s="743">
        <f t="shared" si="163"/>
        <v>0</v>
      </c>
      <c r="S128" s="743">
        <f t="shared" si="163"/>
        <v>26.093448638916016</v>
      </c>
      <c r="T128" s="743">
        <f t="shared" si="163"/>
        <v>24.206035614013672</v>
      </c>
      <c r="U128" s="743">
        <f t="shared" si="163"/>
        <v>0</v>
      </c>
      <c r="V128" s="743">
        <f t="shared" si="163"/>
        <v>0</v>
      </c>
      <c r="W128" s="743">
        <f t="shared" si="163"/>
        <v>0</v>
      </c>
      <c r="X128" s="743">
        <f t="shared" si="163"/>
        <v>0</v>
      </c>
      <c r="Y128" s="743">
        <f t="shared" si="163"/>
        <v>0</v>
      </c>
      <c r="Z128" s="743">
        <f t="shared" si="163"/>
        <v>0</v>
      </c>
      <c r="AA128" s="743">
        <f t="shared" si="163"/>
        <v>0</v>
      </c>
      <c r="AB128" s="743">
        <f t="shared" si="163"/>
        <v>0</v>
      </c>
      <c r="AC128" s="743">
        <f t="shared" si="163"/>
        <v>0</v>
      </c>
      <c r="AD128" s="743">
        <f t="shared" si="163"/>
        <v>0</v>
      </c>
      <c r="AE128" s="743">
        <f t="shared" si="163"/>
        <v>0</v>
      </c>
      <c r="AF128" s="743">
        <f t="shared" si="163"/>
        <v>0</v>
      </c>
      <c r="AG128" s="744">
        <f t="shared" si="163"/>
        <v>0</v>
      </c>
      <c r="AH128" s="762">
        <f t="shared" si="149"/>
        <v>26.36302375793457</v>
      </c>
      <c r="AI128" s="760">
        <f t="shared" si="150"/>
        <v>26.093448638916016</v>
      </c>
      <c r="AJ128" s="760">
        <f t="shared" si="150"/>
        <v>24.206035614013672</v>
      </c>
      <c r="AK128" s="743">
        <f t="shared" si="151"/>
        <v>24.682135581970215</v>
      </c>
      <c r="AL128" s="760">
        <f t="shared" si="152"/>
        <v>27.097126007080078</v>
      </c>
      <c r="AM128" s="744">
        <f t="shared" si="153"/>
        <v>22.373598098754883</v>
      </c>
      <c r="AN128" s="746">
        <f t="shared" si="156"/>
        <v>26.144627548011623</v>
      </c>
      <c r="AO128" s="743">
        <f t="shared" si="157"/>
        <v>24.272812025529472</v>
      </c>
      <c r="AP128" s="747">
        <f t="shared" si="158"/>
        <v>23.012180467951406</v>
      </c>
      <c r="AQ128" s="747">
        <f t="shared" si="154"/>
        <v>25.229967038773623</v>
      </c>
      <c r="AS128" s="743">
        <f t="shared" si="159"/>
        <v>25.229967038773619</v>
      </c>
    </row>
    <row r="129" spans="1:45">
      <c r="A129" s="742" t="s">
        <v>419</v>
      </c>
      <c r="B129" s="743"/>
      <c r="C129" s="742"/>
      <c r="D129" s="743">
        <f t="shared" ref="D129:AG129" si="164">IF(D122=0,0,D$24)</f>
        <v>0</v>
      </c>
      <c r="E129" s="743">
        <f t="shared" si="164"/>
        <v>0</v>
      </c>
      <c r="F129" s="743">
        <f t="shared" si="164"/>
        <v>0</v>
      </c>
      <c r="G129" s="743">
        <f t="shared" si="164"/>
        <v>0</v>
      </c>
      <c r="H129" s="743">
        <f t="shared" si="164"/>
        <v>0</v>
      </c>
      <c r="I129" s="743">
        <f t="shared" si="164"/>
        <v>0</v>
      </c>
      <c r="J129" s="743">
        <f t="shared" si="164"/>
        <v>0</v>
      </c>
      <c r="K129" s="743">
        <f t="shared" si="164"/>
        <v>0</v>
      </c>
      <c r="L129" s="743">
        <f t="shared" si="164"/>
        <v>36.797748565673828</v>
      </c>
      <c r="M129" s="743">
        <f t="shared" si="164"/>
        <v>0</v>
      </c>
      <c r="N129" s="743">
        <f t="shared" si="164"/>
        <v>0</v>
      </c>
      <c r="O129" s="743">
        <f t="shared" si="164"/>
        <v>38.565925598144531</v>
      </c>
      <c r="P129" s="743">
        <f t="shared" si="164"/>
        <v>37.716859817504883</v>
      </c>
      <c r="Q129" s="743">
        <f t="shared" si="164"/>
        <v>36.211601257324219</v>
      </c>
      <c r="R129" s="743">
        <f t="shared" si="164"/>
        <v>0</v>
      </c>
      <c r="S129" s="743">
        <f t="shared" si="164"/>
        <v>36.554630279541016</v>
      </c>
      <c r="T129" s="743">
        <f t="shared" si="164"/>
        <v>36.015132904052734</v>
      </c>
      <c r="U129" s="743">
        <f t="shared" si="164"/>
        <v>0</v>
      </c>
      <c r="V129" s="743">
        <f t="shared" si="164"/>
        <v>0</v>
      </c>
      <c r="W129" s="743">
        <f t="shared" si="164"/>
        <v>0</v>
      </c>
      <c r="X129" s="743">
        <f t="shared" si="164"/>
        <v>0</v>
      </c>
      <c r="Y129" s="743">
        <f t="shared" si="164"/>
        <v>0</v>
      </c>
      <c r="Z129" s="743">
        <f t="shared" si="164"/>
        <v>0</v>
      </c>
      <c r="AA129" s="743">
        <f t="shared" si="164"/>
        <v>0</v>
      </c>
      <c r="AB129" s="743">
        <f t="shared" si="164"/>
        <v>0</v>
      </c>
      <c r="AC129" s="743">
        <f t="shared" si="164"/>
        <v>0</v>
      </c>
      <c r="AD129" s="743">
        <f t="shared" si="164"/>
        <v>0</v>
      </c>
      <c r="AE129" s="743">
        <f t="shared" si="164"/>
        <v>0</v>
      </c>
      <c r="AF129" s="743">
        <f t="shared" si="164"/>
        <v>0</v>
      </c>
      <c r="AG129" s="744">
        <f t="shared" si="164"/>
        <v>0</v>
      </c>
      <c r="AH129" s="762">
        <f t="shared" si="149"/>
        <v>37.716859817504883</v>
      </c>
      <c r="AI129" s="760">
        <f t="shared" si="150"/>
        <v>36.554630279541016</v>
      </c>
      <c r="AJ129" s="760">
        <f t="shared" si="150"/>
        <v>36.015132904052734</v>
      </c>
      <c r="AK129" s="743">
        <f t="shared" si="151"/>
        <v>36.211601257324219</v>
      </c>
      <c r="AL129" s="760">
        <f t="shared" si="152"/>
        <v>36.797748565673828</v>
      </c>
      <c r="AM129" s="744">
        <f t="shared" si="153"/>
        <v>38.565925598144531</v>
      </c>
      <c r="AN129" s="746">
        <f t="shared" si="156"/>
        <v>36.775279870973051</v>
      </c>
      <c r="AO129" s="743">
        <f t="shared" si="157"/>
        <v>36.042688989939897</v>
      </c>
      <c r="AP129" s="747">
        <f t="shared" si="158"/>
        <v>38.326882514147094</v>
      </c>
      <c r="AQ129" s="747">
        <f t="shared" si="154"/>
        <v>36.908482514607478</v>
      </c>
      <c r="AS129" s="743">
        <f t="shared" si="159"/>
        <v>36.908482514607471</v>
      </c>
    </row>
    <row r="130" spans="1:45">
      <c r="AH130" s="766"/>
      <c r="AI130" s="767"/>
      <c r="AJ130" s="767"/>
      <c r="AK130" s="767"/>
      <c r="AL130" s="767"/>
      <c r="AM130" s="767"/>
      <c r="AN130" s="766"/>
      <c r="AO130" s="767"/>
      <c r="AP130" s="768"/>
      <c r="AQ130" s="768"/>
    </row>
    <row r="131" spans="1:45">
      <c r="A131" s="760" t="s">
        <v>479</v>
      </c>
      <c r="B131" s="760">
        <v>195000</v>
      </c>
      <c r="C131" s="759" t="s">
        <v>85</v>
      </c>
      <c r="D131" s="760"/>
      <c r="E131" s="760"/>
      <c r="F131" s="760"/>
      <c r="G131" s="760"/>
      <c r="H131" s="760"/>
      <c r="I131" s="760"/>
      <c r="J131" s="760"/>
      <c r="K131" s="760"/>
      <c r="L131" s="760"/>
      <c r="M131" s="760"/>
      <c r="N131" s="760"/>
      <c r="O131" s="760">
        <v>32369.485492301381</v>
      </c>
      <c r="P131" s="760"/>
      <c r="Q131" s="760"/>
      <c r="R131" s="760">
        <v>22665.580913948619</v>
      </c>
      <c r="S131" s="760">
        <v>50437.875575172977</v>
      </c>
      <c r="T131" s="760">
        <v>5965.7963882446275</v>
      </c>
      <c r="U131" s="760"/>
      <c r="V131" s="760">
        <v>43588.671299827023</v>
      </c>
      <c r="W131" s="760">
        <v>29972.590330505373</v>
      </c>
      <c r="X131" s="760"/>
      <c r="Y131" s="760"/>
      <c r="Z131" s="760">
        <v>10000</v>
      </c>
      <c r="AA131" s="760">
        <v>0</v>
      </c>
      <c r="AB131" s="760"/>
      <c r="AC131" s="760">
        <v>0</v>
      </c>
      <c r="AD131" s="760"/>
      <c r="AE131" s="760">
        <v>0</v>
      </c>
      <c r="AF131" s="760">
        <v>0</v>
      </c>
      <c r="AG131" s="761"/>
      <c r="AH131" s="762">
        <f>S131</f>
        <v>50437.875575172977</v>
      </c>
      <c r="AI131" s="760">
        <f>V131</f>
        <v>43588.671299827023</v>
      </c>
      <c r="AJ131" s="760">
        <f>W131+T131</f>
        <v>35938.38671875</v>
      </c>
      <c r="AK131" s="760">
        <f>Z131</f>
        <v>10000</v>
      </c>
      <c r="AL131" s="760">
        <f>O131</f>
        <v>32369.485492301381</v>
      </c>
      <c r="AM131" s="761">
        <f>R131</f>
        <v>22665.580913948619</v>
      </c>
      <c r="AN131" s="765">
        <f>SUM(AH131:AI131)</f>
        <v>94026.546875</v>
      </c>
      <c r="AO131" s="760">
        <f>SUM(AJ131:AK131)</f>
        <v>45938.38671875</v>
      </c>
      <c r="AP131" s="764">
        <f>SUM(AL131:AM131)</f>
        <v>55035.06640625</v>
      </c>
      <c r="AQ131" s="764">
        <f>SUM(D131:AG131)</f>
        <v>195000</v>
      </c>
      <c r="AS131" s="731">
        <f>SUM(AN131:AP131)</f>
        <v>195000</v>
      </c>
    </row>
    <row r="132" spans="1:45">
      <c r="A132" s="742" t="s">
        <v>460</v>
      </c>
      <c r="B132" s="760"/>
      <c r="C132" s="759"/>
      <c r="D132" s="743">
        <f>IF(D131=0,0,D$18)</f>
        <v>0</v>
      </c>
      <c r="E132" s="743">
        <f>IF(E131=0,0,E$18)</f>
        <v>0</v>
      </c>
      <c r="F132" s="743">
        <f>IF(F131=0,0,F$18)</f>
        <v>0</v>
      </c>
      <c r="G132" s="743">
        <f>IF(G131=0,0,G$18)</f>
        <v>0</v>
      </c>
      <c r="H132" s="743">
        <f>IF(H131=0,0,H$18)</f>
        <v>0</v>
      </c>
      <c r="I132" s="743">
        <f t="shared" ref="I132:AG132" si="165">IF(I131=0,0,I$18)</f>
        <v>0</v>
      </c>
      <c r="J132" s="743">
        <f t="shared" si="165"/>
        <v>0</v>
      </c>
      <c r="K132" s="743">
        <f t="shared" si="165"/>
        <v>0</v>
      </c>
      <c r="L132" s="743">
        <f t="shared" si="165"/>
        <v>0</v>
      </c>
      <c r="M132" s="743">
        <f t="shared" si="165"/>
        <v>0</v>
      </c>
      <c r="N132" s="743">
        <f t="shared" si="165"/>
        <v>0</v>
      </c>
      <c r="O132" s="743">
        <f t="shared" si="165"/>
        <v>4718.19189453125</v>
      </c>
      <c r="P132" s="743">
        <f t="shared" si="165"/>
        <v>0</v>
      </c>
      <c r="Q132" s="743">
        <f t="shared" si="165"/>
        <v>0</v>
      </c>
      <c r="R132" s="743">
        <f t="shared" si="165"/>
        <v>4471.451171875</v>
      </c>
      <c r="S132" s="743">
        <f t="shared" si="165"/>
        <v>4374.95751953125</v>
      </c>
      <c r="T132" s="743">
        <f t="shared" si="165"/>
        <v>4268.08154296875</v>
      </c>
      <c r="U132" s="743">
        <f t="shared" si="165"/>
        <v>0</v>
      </c>
      <c r="V132" s="743">
        <f t="shared" si="165"/>
        <v>4374.95751953125</v>
      </c>
      <c r="W132" s="743">
        <f t="shared" si="165"/>
        <v>4268.08154296875</v>
      </c>
      <c r="X132" s="743">
        <f t="shared" si="165"/>
        <v>0</v>
      </c>
      <c r="Y132" s="743">
        <f t="shared" si="165"/>
        <v>0</v>
      </c>
      <c r="Z132" s="743">
        <f t="shared" si="165"/>
        <v>4171.47119140625</v>
      </c>
      <c r="AA132" s="743">
        <f t="shared" si="165"/>
        <v>0</v>
      </c>
      <c r="AB132" s="743">
        <f t="shared" si="165"/>
        <v>0</v>
      </c>
      <c r="AC132" s="743">
        <f t="shared" si="165"/>
        <v>0</v>
      </c>
      <c r="AD132" s="743">
        <f t="shared" si="165"/>
        <v>0</v>
      </c>
      <c r="AE132" s="743">
        <f t="shared" si="165"/>
        <v>0</v>
      </c>
      <c r="AF132" s="743">
        <f t="shared" si="165"/>
        <v>0</v>
      </c>
      <c r="AG132" s="744">
        <f t="shared" si="165"/>
        <v>0</v>
      </c>
      <c r="AH132" s="762">
        <f t="shared" ref="AH132:AH138" si="166">S132</f>
        <v>4374.95751953125</v>
      </c>
      <c r="AI132" s="743">
        <f t="shared" ref="AI132:AI138" si="167">V132</f>
        <v>4374.95751953125</v>
      </c>
      <c r="AJ132" s="760">
        <f>+($T$131*T132+$W$131*W132)/$AJ$131</f>
        <v>4268.08154296875</v>
      </c>
      <c r="AK132" s="760">
        <f t="shared" ref="AK132:AK138" si="168">Z132</f>
        <v>4171.47119140625</v>
      </c>
      <c r="AL132" s="760">
        <f t="shared" ref="AL132:AL138" si="169">O132</f>
        <v>4718.19189453125</v>
      </c>
      <c r="AM132" s="761">
        <f t="shared" ref="AM132:AM138" si="170">R132</f>
        <v>4471.451171875</v>
      </c>
      <c r="AN132" s="746">
        <f>IF(AN$131=0,0,SUMPRODUCT(AH$131:AI$131,AH132:AI132)/AN$131)</f>
        <v>4374.95751953125</v>
      </c>
      <c r="AO132" s="743">
        <f>IF(AO$131=0,0,SUMPRODUCT(AJ$131:AK$131,AJ132:AK132)/AO$131)</f>
        <v>4247.0511240831283</v>
      </c>
      <c r="AP132" s="747">
        <f>IF(AP$131=0,0,SUMPRODUCT(AL$131:AM$131,AL132:AM132)/AP$131)</f>
        <v>4616.5744680553862</v>
      </c>
      <c r="AQ132" s="747">
        <f t="shared" ref="AQ132:AQ138" si="171">SUMPRODUCT(D$131:AG$131,D132:AG132)/AQ$131</f>
        <v>4413.0169623466563</v>
      </c>
      <c r="AS132" s="743">
        <f>IF(AS$131=0,0,SUMPRODUCT(AN$131:AP$131,AN132:AP132)/AS$131)</f>
        <v>4413.0169623466563</v>
      </c>
    </row>
    <row r="133" spans="1:45">
      <c r="A133" s="742" t="s">
        <v>462</v>
      </c>
      <c r="B133" s="743"/>
      <c r="C133" s="742"/>
      <c r="D133" s="743">
        <f t="shared" ref="D133:AG133" si="172">IF(D131=0,0,D$19)</f>
        <v>0</v>
      </c>
      <c r="E133" s="743">
        <f t="shared" si="172"/>
        <v>0</v>
      </c>
      <c r="F133" s="743">
        <f t="shared" si="172"/>
        <v>0</v>
      </c>
      <c r="G133" s="743">
        <f t="shared" si="172"/>
        <v>0</v>
      </c>
      <c r="H133" s="743">
        <f t="shared" si="172"/>
        <v>0</v>
      </c>
      <c r="I133" s="743">
        <f t="shared" si="172"/>
        <v>0</v>
      </c>
      <c r="J133" s="743">
        <f t="shared" si="172"/>
        <v>0</v>
      </c>
      <c r="K133" s="743">
        <f t="shared" si="172"/>
        <v>0</v>
      </c>
      <c r="L133" s="743">
        <f t="shared" si="172"/>
        <v>0</v>
      </c>
      <c r="M133" s="743">
        <f t="shared" si="172"/>
        <v>0</v>
      </c>
      <c r="N133" s="743">
        <f t="shared" si="172"/>
        <v>0</v>
      </c>
      <c r="O133" s="743">
        <f t="shared" si="172"/>
        <v>3794.1704195293073</v>
      </c>
      <c r="P133" s="743">
        <f t="shared" si="172"/>
        <v>0</v>
      </c>
      <c r="Q133" s="743">
        <f t="shared" si="172"/>
        <v>0</v>
      </c>
      <c r="R133" s="743">
        <f t="shared" si="172"/>
        <v>3757.967821950655</v>
      </c>
      <c r="S133" s="743">
        <f t="shared" si="172"/>
        <v>3686.7762976598851</v>
      </c>
      <c r="T133" s="743">
        <f t="shared" si="172"/>
        <v>3569.9328360118889</v>
      </c>
      <c r="U133" s="743">
        <f t="shared" si="172"/>
        <v>0</v>
      </c>
      <c r="V133" s="743">
        <f t="shared" si="172"/>
        <v>3686.7762976598851</v>
      </c>
      <c r="W133" s="743">
        <f t="shared" si="172"/>
        <v>3569.9328360118889</v>
      </c>
      <c r="X133" s="743">
        <f t="shared" si="172"/>
        <v>0</v>
      </c>
      <c r="Y133" s="743">
        <f t="shared" si="172"/>
        <v>0</v>
      </c>
      <c r="Z133" s="743">
        <f t="shared" si="172"/>
        <v>3521.9934438237956</v>
      </c>
      <c r="AA133" s="743">
        <f t="shared" si="172"/>
        <v>0</v>
      </c>
      <c r="AB133" s="743">
        <f t="shared" si="172"/>
        <v>0</v>
      </c>
      <c r="AC133" s="743">
        <f t="shared" si="172"/>
        <v>0</v>
      </c>
      <c r="AD133" s="743">
        <f t="shared" si="172"/>
        <v>0</v>
      </c>
      <c r="AE133" s="743">
        <f t="shared" si="172"/>
        <v>0</v>
      </c>
      <c r="AF133" s="743">
        <f t="shared" si="172"/>
        <v>0</v>
      </c>
      <c r="AG133" s="744">
        <f t="shared" si="172"/>
        <v>0</v>
      </c>
      <c r="AH133" s="762">
        <f t="shared" si="166"/>
        <v>3686.7762976598851</v>
      </c>
      <c r="AI133" s="743">
        <f t="shared" si="167"/>
        <v>3686.7762976598851</v>
      </c>
      <c r="AJ133" s="760">
        <f t="shared" ref="AJ133:AJ138" si="173">+($T$131*T133+$W$131*W133)/$AJ$131</f>
        <v>3569.9328360118889</v>
      </c>
      <c r="AK133" s="760">
        <f t="shared" si="168"/>
        <v>3521.9934438237956</v>
      </c>
      <c r="AL133" s="760">
        <f t="shared" si="169"/>
        <v>3794.1704195293073</v>
      </c>
      <c r="AM133" s="761">
        <f t="shared" si="170"/>
        <v>3757.967821950655</v>
      </c>
      <c r="AN133" s="746">
        <f t="shared" ref="AN133:AN138" si="174">IF(AN$131=0,0,SUMPRODUCT(AH$131:AI$131,AH133:AI133)/AN$131)</f>
        <v>3686.7762976598851</v>
      </c>
      <c r="AO133" s="743">
        <f t="shared" ref="AO133:AO138" si="175">IF(AO$131=0,0,SUMPRODUCT(AJ$131:AK$131,AJ133:AK133)/AO$131)</f>
        <v>3559.4972513925172</v>
      </c>
      <c r="AP133" s="747">
        <f t="shared" ref="AP133:AP138" si="176">IF(AP$131=0,0,SUMPRODUCT(AL$131:AM$131,AL133:AM133)/AP$131)</f>
        <v>3779.2607817602343</v>
      </c>
      <c r="AQ133" s="747">
        <f t="shared" si="171"/>
        <v>3682.8937113798152</v>
      </c>
      <c r="AS133" s="743">
        <f t="shared" ref="AS133:AS138" si="177">IF(AS$131=0,0,SUMPRODUCT(AN$131:AP$131,AN133:AP133)/AS$131)</f>
        <v>3682.8937113798152</v>
      </c>
    </row>
    <row r="134" spans="1:45">
      <c r="A134" s="742" t="s">
        <v>420</v>
      </c>
      <c r="B134" s="743"/>
      <c r="C134" s="742"/>
      <c r="D134" s="743">
        <f t="shared" ref="D134:AG134" si="178">IF(D131=0,0,D$20)</f>
        <v>0</v>
      </c>
      <c r="E134" s="743">
        <f t="shared" si="178"/>
        <v>0</v>
      </c>
      <c r="F134" s="743">
        <f t="shared" si="178"/>
        <v>0</v>
      </c>
      <c r="G134" s="743">
        <f t="shared" si="178"/>
        <v>0</v>
      </c>
      <c r="H134" s="743">
        <f t="shared" si="178"/>
        <v>0</v>
      </c>
      <c r="I134" s="743">
        <f t="shared" si="178"/>
        <v>0</v>
      </c>
      <c r="J134" s="743">
        <f t="shared" si="178"/>
        <v>0</v>
      </c>
      <c r="K134" s="743">
        <f t="shared" si="178"/>
        <v>0</v>
      </c>
      <c r="L134" s="743">
        <f t="shared" si="178"/>
        <v>0</v>
      </c>
      <c r="M134" s="743">
        <f t="shared" si="178"/>
        <v>0</v>
      </c>
      <c r="N134" s="743">
        <f t="shared" si="178"/>
        <v>0</v>
      </c>
      <c r="O134" s="743">
        <f t="shared" si="178"/>
        <v>0.15936124324798584</v>
      </c>
      <c r="P134" s="743">
        <f t="shared" si="178"/>
        <v>0</v>
      </c>
      <c r="Q134" s="743">
        <f t="shared" si="178"/>
        <v>0</v>
      </c>
      <c r="R134" s="743">
        <f t="shared" si="178"/>
        <v>0.14668330550193787</v>
      </c>
      <c r="S134" s="743">
        <f t="shared" si="178"/>
        <v>0.11128560453653336</v>
      </c>
      <c r="T134" s="743">
        <f t="shared" si="178"/>
        <v>0.15938307344913483</v>
      </c>
      <c r="U134" s="743">
        <f t="shared" si="178"/>
        <v>0</v>
      </c>
      <c r="V134" s="743">
        <f t="shared" si="178"/>
        <v>0.11128560453653336</v>
      </c>
      <c r="W134" s="743">
        <f t="shared" si="178"/>
        <v>0.15938307344913483</v>
      </c>
      <c r="X134" s="743">
        <f t="shared" si="178"/>
        <v>0</v>
      </c>
      <c r="Y134" s="743">
        <f t="shared" si="178"/>
        <v>0</v>
      </c>
      <c r="Z134" s="743">
        <f t="shared" si="178"/>
        <v>0.13987064361572266</v>
      </c>
      <c r="AA134" s="743">
        <f t="shared" si="178"/>
        <v>0</v>
      </c>
      <c r="AB134" s="743">
        <f t="shared" si="178"/>
        <v>0</v>
      </c>
      <c r="AC134" s="743">
        <f t="shared" si="178"/>
        <v>0</v>
      </c>
      <c r="AD134" s="743">
        <f t="shared" si="178"/>
        <v>0</v>
      </c>
      <c r="AE134" s="743">
        <f t="shared" si="178"/>
        <v>0</v>
      </c>
      <c r="AF134" s="743">
        <f t="shared" si="178"/>
        <v>0</v>
      </c>
      <c r="AG134" s="744">
        <f t="shared" si="178"/>
        <v>0</v>
      </c>
      <c r="AH134" s="762">
        <f t="shared" si="166"/>
        <v>0.11128560453653336</v>
      </c>
      <c r="AI134" s="743">
        <f t="shared" si="167"/>
        <v>0.11128560453653336</v>
      </c>
      <c r="AJ134" s="760">
        <f t="shared" si="173"/>
        <v>0.15938307344913483</v>
      </c>
      <c r="AK134" s="760">
        <f t="shared" si="168"/>
        <v>0.13987064361572266</v>
      </c>
      <c r="AL134" s="760">
        <f t="shared" si="169"/>
        <v>0.15936124324798584</v>
      </c>
      <c r="AM134" s="761">
        <f t="shared" si="170"/>
        <v>0.14668330550193787</v>
      </c>
      <c r="AN134" s="746">
        <f t="shared" si="174"/>
        <v>0.11128560453653336</v>
      </c>
      <c r="AO134" s="743">
        <f t="shared" si="175"/>
        <v>0.15513555166460335</v>
      </c>
      <c r="AP134" s="747">
        <f t="shared" si="176"/>
        <v>0.15413997538062446</v>
      </c>
      <c r="AQ134" s="747">
        <f t="shared" si="171"/>
        <v>0.13371067619791099</v>
      </c>
      <c r="AS134" s="743">
        <f t="shared" si="177"/>
        <v>0.13371067619791099</v>
      </c>
    </row>
    <row r="135" spans="1:45">
      <c r="A135" s="742" t="s">
        <v>464</v>
      </c>
      <c r="B135" s="743"/>
      <c r="C135" s="742"/>
      <c r="D135" s="743">
        <f t="shared" ref="D135:AG135" si="179">IF(D131=0,0,D$21)</f>
        <v>0</v>
      </c>
      <c r="E135" s="743">
        <f t="shared" si="179"/>
        <v>0</v>
      </c>
      <c r="F135" s="743">
        <f t="shared" si="179"/>
        <v>0</v>
      </c>
      <c r="G135" s="743">
        <f t="shared" si="179"/>
        <v>0</v>
      </c>
      <c r="H135" s="743">
        <f t="shared" si="179"/>
        <v>0</v>
      </c>
      <c r="I135" s="743">
        <f t="shared" si="179"/>
        <v>0</v>
      </c>
      <c r="J135" s="743">
        <f t="shared" si="179"/>
        <v>0</v>
      </c>
      <c r="K135" s="743">
        <f t="shared" si="179"/>
        <v>0</v>
      </c>
      <c r="L135" s="743">
        <f t="shared" si="179"/>
        <v>0</v>
      </c>
      <c r="M135" s="743">
        <f t="shared" si="179"/>
        <v>0</v>
      </c>
      <c r="N135" s="743">
        <f t="shared" si="179"/>
        <v>0</v>
      </c>
      <c r="O135" s="743">
        <f t="shared" si="179"/>
        <v>8.7672147750854492</v>
      </c>
      <c r="P135" s="743">
        <f t="shared" si="179"/>
        <v>0</v>
      </c>
      <c r="Q135" s="743">
        <f t="shared" si="179"/>
        <v>0</v>
      </c>
      <c r="R135" s="743">
        <f t="shared" si="179"/>
        <v>8.6890792846679688</v>
      </c>
      <c r="S135" s="743">
        <f t="shared" si="179"/>
        <v>9.026209831237793</v>
      </c>
      <c r="T135" s="743">
        <f t="shared" si="179"/>
        <v>12.220863342285156</v>
      </c>
      <c r="U135" s="743">
        <f t="shared" si="179"/>
        <v>0</v>
      </c>
      <c r="V135" s="743">
        <f t="shared" si="179"/>
        <v>9.026209831237793</v>
      </c>
      <c r="W135" s="743">
        <f t="shared" si="179"/>
        <v>12.220863342285156</v>
      </c>
      <c r="X135" s="743">
        <f t="shared" si="179"/>
        <v>0</v>
      </c>
      <c r="Y135" s="743">
        <f t="shared" si="179"/>
        <v>0</v>
      </c>
      <c r="Z135" s="743">
        <f t="shared" si="179"/>
        <v>12.645918846130371</v>
      </c>
      <c r="AA135" s="743">
        <f t="shared" si="179"/>
        <v>0</v>
      </c>
      <c r="AB135" s="743">
        <f t="shared" si="179"/>
        <v>0</v>
      </c>
      <c r="AC135" s="743">
        <f t="shared" si="179"/>
        <v>0</v>
      </c>
      <c r="AD135" s="743">
        <f t="shared" si="179"/>
        <v>0</v>
      </c>
      <c r="AE135" s="743">
        <f t="shared" si="179"/>
        <v>0</v>
      </c>
      <c r="AF135" s="743">
        <f t="shared" si="179"/>
        <v>0</v>
      </c>
      <c r="AG135" s="744">
        <f t="shared" si="179"/>
        <v>0</v>
      </c>
      <c r="AH135" s="762">
        <f t="shared" si="166"/>
        <v>9.026209831237793</v>
      </c>
      <c r="AI135" s="743">
        <f t="shared" si="167"/>
        <v>9.026209831237793</v>
      </c>
      <c r="AJ135" s="760">
        <f t="shared" si="173"/>
        <v>12.220863342285156</v>
      </c>
      <c r="AK135" s="760">
        <f t="shared" si="168"/>
        <v>12.645918846130371</v>
      </c>
      <c r="AL135" s="760">
        <f t="shared" si="169"/>
        <v>8.7672147750854492</v>
      </c>
      <c r="AM135" s="761">
        <f t="shared" si="170"/>
        <v>8.6890792846679688</v>
      </c>
      <c r="AN135" s="746">
        <f t="shared" si="174"/>
        <v>9.026209831237793</v>
      </c>
      <c r="AO135" s="743">
        <f t="shared" si="175"/>
        <v>12.313390645528857</v>
      </c>
      <c r="AP135" s="747">
        <f t="shared" si="176"/>
        <v>8.7350355410815208</v>
      </c>
      <c r="AQ135" s="747">
        <f t="shared" si="171"/>
        <v>9.7184302777342815</v>
      </c>
      <c r="AS135" s="743">
        <f t="shared" si="177"/>
        <v>9.7184302777342815</v>
      </c>
    </row>
    <row r="136" spans="1:45">
      <c r="A136" s="742" t="s">
        <v>416</v>
      </c>
      <c r="B136" s="743"/>
      <c r="C136" s="742"/>
      <c r="D136" s="743">
        <f>IF(D131=0,0,D$22)</f>
        <v>0</v>
      </c>
      <c r="E136" s="743">
        <f>IF(E131=0,0,E$22)</f>
        <v>0</v>
      </c>
      <c r="F136" s="743">
        <f>IF(F131=0,0,F$22)</f>
        <v>0</v>
      </c>
      <c r="G136" s="743">
        <f>IF(G131=0,0,G$22)</f>
        <v>0</v>
      </c>
      <c r="H136" s="743">
        <f>IF(H131=0,0,H$22)</f>
        <v>0</v>
      </c>
      <c r="I136" s="743">
        <f t="shared" ref="I136:AG136" si="180">IF(I131=0,0,I$22)</f>
        <v>0</v>
      </c>
      <c r="J136" s="743">
        <f t="shared" si="180"/>
        <v>0</v>
      </c>
      <c r="K136" s="743">
        <f t="shared" si="180"/>
        <v>0</v>
      </c>
      <c r="L136" s="743">
        <f t="shared" si="180"/>
        <v>0</v>
      </c>
      <c r="M136" s="743">
        <f t="shared" si="180"/>
        <v>0</v>
      </c>
      <c r="N136" s="743">
        <f t="shared" si="180"/>
        <v>0</v>
      </c>
      <c r="O136" s="743">
        <f t="shared" si="180"/>
        <v>37.576129913330078</v>
      </c>
      <c r="P136" s="743">
        <f t="shared" si="180"/>
        <v>0</v>
      </c>
      <c r="Q136" s="743">
        <f t="shared" si="180"/>
        <v>0</v>
      </c>
      <c r="R136" s="743">
        <f t="shared" si="180"/>
        <v>38.182102203369141</v>
      </c>
      <c r="S136" s="743">
        <f t="shared" si="180"/>
        <v>37.718955993652344</v>
      </c>
      <c r="T136" s="743">
        <f t="shared" si="180"/>
        <v>36.603984832763672</v>
      </c>
      <c r="U136" s="743">
        <f t="shared" si="180"/>
        <v>0</v>
      </c>
      <c r="V136" s="743">
        <f t="shared" si="180"/>
        <v>37.718955993652344</v>
      </c>
      <c r="W136" s="743">
        <f t="shared" si="180"/>
        <v>36.603984832763672</v>
      </c>
      <c r="X136" s="743">
        <f t="shared" si="180"/>
        <v>0</v>
      </c>
      <c r="Y136" s="743">
        <f t="shared" si="180"/>
        <v>0</v>
      </c>
      <c r="Z136" s="743">
        <f t="shared" si="180"/>
        <v>36.766433715820313</v>
      </c>
      <c r="AA136" s="743">
        <f t="shared" si="180"/>
        <v>0</v>
      </c>
      <c r="AB136" s="743">
        <f t="shared" si="180"/>
        <v>0</v>
      </c>
      <c r="AC136" s="743">
        <f t="shared" si="180"/>
        <v>0</v>
      </c>
      <c r="AD136" s="743">
        <f t="shared" si="180"/>
        <v>0</v>
      </c>
      <c r="AE136" s="743">
        <f t="shared" si="180"/>
        <v>0</v>
      </c>
      <c r="AF136" s="743">
        <f t="shared" si="180"/>
        <v>0</v>
      </c>
      <c r="AG136" s="744">
        <f t="shared" si="180"/>
        <v>0</v>
      </c>
      <c r="AH136" s="762">
        <f t="shared" si="166"/>
        <v>37.718955993652344</v>
      </c>
      <c r="AI136" s="743">
        <f t="shared" si="167"/>
        <v>37.718955993652344</v>
      </c>
      <c r="AJ136" s="760">
        <f t="shared" si="173"/>
        <v>36.603984832763672</v>
      </c>
      <c r="AK136" s="760">
        <f t="shared" si="168"/>
        <v>36.766433715820313</v>
      </c>
      <c r="AL136" s="760">
        <f t="shared" si="169"/>
        <v>37.576129913330078</v>
      </c>
      <c r="AM136" s="761">
        <f t="shared" si="170"/>
        <v>38.182102203369141</v>
      </c>
      <c r="AN136" s="746">
        <f t="shared" si="174"/>
        <v>37.718955993652344</v>
      </c>
      <c r="AO136" s="743">
        <f t="shared" si="175"/>
        <v>36.639347172336286</v>
      </c>
      <c r="AP136" s="747">
        <f t="shared" si="176"/>
        <v>37.825692871428579</v>
      </c>
      <c r="AQ136" s="747">
        <f t="shared" si="171"/>
        <v>37.494744627589888</v>
      </c>
      <c r="AS136" s="743">
        <f t="shared" si="177"/>
        <v>37.494744627589881</v>
      </c>
    </row>
    <row r="137" spans="1:45">
      <c r="A137" s="742" t="s">
        <v>465</v>
      </c>
      <c r="B137" s="743"/>
      <c r="C137" s="742"/>
      <c r="D137" s="743">
        <f t="shared" ref="D137:AG137" si="181">IF(D131=0,0,D$23)</f>
        <v>0</v>
      </c>
      <c r="E137" s="743">
        <f t="shared" si="181"/>
        <v>0</v>
      </c>
      <c r="F137" s="743">
        <f t="shared" si="181"/>
        <v>0</v>
      </c>
      <c r="G137" s="743">
        <f t="shared" si="181"/>
        <v>0</v>
      </c>
      <c r="H137" s="743">
        <f t="shared" si="181"/>
        <v>0</v>
      </c>
      <c r="I137" s="743">
        <f t="shared" si="181"/>
        <v>0</v>
      </c>
      <c r="J137" s="743">
        <f t="shared" si="181"/>
        <v>0</v>
      </c>
      <c r="K137" s="743">
        <f t="shared" si="181"/>
        <v>0</v>
      </c>
      <c r="L137" s="743">
        <f t="shared" si="181"/>
        <v>0</v>
      </c>
      <c r="M137" s="743">
        <f t="shared" si="181"/>
        <v>0</v>
      </c>
      <c r="N137" s="743">
        <f t="shared" si="181"/>
        <v>0</v>
      </c>
      <c r="O137" s="743">
        <f t="shared" si="181"/>
        <v>22.373598098754883</v>
      </c>
      <c r="P137" s="743">
        <f t="shared" si="181"/>
        <v>0</v>
      </c>
      <c r="Q137" s="743">
        <f t="shared" si="181"/>
        <v>0</v>
      </c>
      <c r="R137" s="743">
        <f t="shared" si="181"/>
        <v>26.445428848266602</v>
      </c>
      <c r="S137" s="743">
        <f t="shared" si="181"/>
        <v>26.093448638916016</v>
      </c>
      <c r="T137" s="743">
        <f t="shared" si="181"/>
        <v>24.206035614013672</v>
      </c>
      <c r="U137" s="743">
        <f t="shared" si="181"/>
        <v>0</v>
      </c>
      <c r="V137" s="743">
        <f t="shared" si="181"/>
        <v>26.093448638916016</v>
      </c>
      <c r="W137" s="743">
        <f t="shared" si="181"/>
        <v>24.206035614013672</v>
      </c>
      <c r="X137" s="743">
        <f t="shared" si="181"/>
        <v>0</v>
      </c>
      <c r="Y137" s="743">
        <f t="shared" si="181"/>
        <v>0</v>
      </c>
      <c r="Z137" s="743">
        <f t="shared" si="181"/>
        <v>25.105766296386719</v>
      </c>
      <c r="AA137" s="743">
        <f t="shared" si="181"/>
        <v>0</v>
      </c>
      <c r="AB137" s="743">
        <f t="shared" si="181"/>
        <v>0</v>
      </c>
      <c r="AC137" s="743">
        <f t="shared" si="181"/>
        <v>0</v>
      </c>
      <c r="AD137" s="743">
        <f t="shared" si="181"/>
        <v>0</v>
      </c>
      <c r="AE137" s="743">
        <f t="shared" si="181"/>
        <v>0</v>
      </c>
      <c r="AF137" s="743">
        <f t="shared" si="181"/>
        <v>0</v>
      </c>
      <c r="AG137" s="744">
        <f t="shared" si="181"/>
        <v>0</v>
      </c>
      <c r="AH137" s="762">
        <f t="shared" si="166"/>
        <v>26.093448638916016</v>
      </c>
      <c r="AI137" s="743">
        <f t="shared" si="167"/>
        <v>26.093448638916016</v>
      </c>
      <c r="AJ137" s="760">
        <f t="shared" si="173"/>
        <v>24.206035614013672</v>
      </c>
      <c r="AK137" s="760">
        <f t="shared" si="168"/>
        <v>25.105766296386719</v>
      </c>
      <c r="AL137" s="760">
        <f t="shared" si="169"/>
        <v>22.373598098754883</v>
      </c>
      <c r="AM137" s="761">
        <f t="shared" si="170"/>
        <v>26.445428848266602</v>
      </c>
      <c r="AN137" s="746">
        <f t="shared" si="174"/>
        <v>26.093448638916016</v>
      </c>
      <c r="AO137" s="743">
        <f t="shared" si="175"/>
        <v>24.401891573841233</v>
      </c>
      <c r="AP137" s="747">
        <f t="shared" si="176"/>
        <v>24.050536373703181</v>
      </c>
      <c r="AQ137" s="747">
        <f t="shared" si="171"/>
        <v>25.118375742555141</v>
      </c>
      <c r="AS137" s="743">
        <f t="shared" si="177"/>
        <v>25.118375742555141</v>
      </c>
    </row>
    <row r="138" spans="1:45">
      <c r="A138" s="742" t="s">
        <v>419</v>
      </c>
      <c r="B138" s="743"/>
      <c r="C138" s="742"/>
      <c r="D138" s="743">
        <f t="shared" ref="D138:AG138" si="182">IF(D131=0,0,D$24)</f>
        <v>0</v>
      </c>
      <c r="E138" s="743">
        <f t="shared" si="182"/>
        <v>0</v>
      </c>
      <c r="F138" s="743">
        <f t="shared" si="182"/>
        <v>0</v>
      </c>
      <c r="G138" s="743">
        <f t="shared" si="182"/>
        <v>0</v>
      </c>
      <c r="H138" s="743">
        <f t="shared" si="182"/>
        <v>0</v>
      </c>
      <c r="I138" s="743">
        <f t="shared" si="182"/>
        <v>0</v>
      </c>
      <c r="J138" s="743">
        <f t="shared" si="182"/>
        <v>0</v>
      </c>
      <c r="K138" s="743">
        <f t="shared" si="182"/>
        <v>0</v>
      </c>
      <c r="L138" s="743">
        <f t="shared" si="182"/>
        <v>0</v>
      </c>
      <c r="M138" s="743">
        <f t="shared" si="182"/>
        <v>0</v>
      </c>
      <c r="N138" s="743">
        <f t="shared" si="182"/>
        <v>0</v>
      </c>
      <c r="O138" s="743">
        <f t="shared" si="182"/>
        <v>38.565925598144531</v>
      </c>
      <c r="P138" s="743">
        <f t="shared" si="182"/>
        <v>0</v>
      </c>
      <c r="Q138" s="743">
        <f t="shared" si="182"/>
        <v>0</v>
      </c>
      <c r="R138" s="743">
        <f t="shared" si="182"/>
        <v>37.219440460205078</v>
      </c>
      <c r="S138" s="743">
        <f t="shared" si="182"/>
        <v>36.554630279541016</v>
      </c>
      <c r="T138" s="743">
        <f t="shared" si="182"/>
        <v>36.015132904052734</v>
      </c>
      <c r="U138" s="743">
        <f t="shared" si="182"/>
        <v>0</v>
      </c>
      <c r="V138" s="743">
        <f t="shared" si="182"/>
        <v>36.554630279541016</v>
      </c>
      <c r="W138" s="743">
        <f t="shared" si="182"/>
        <v>36.015132904052734</v>
      </c>
      <c r="X138" s="743">
        <f t="shared" si="182"/>
        <v>0</v>
      </c>
      <c r="Y138" s="743">
        <f t="shared" si="182"/>
        <v>0</v>
      </c>
      <c r="Z138" s="743">
        <f t="shared" si="182"/>
        <v>36.275943756103516</v>
      </c>
      <c r="AA138" s="743">
        <f t="shared" si="182"/>
        <v>0</v>
      </c>
      <c r="AB138" s="743">
        <f t="shared" si="182"/>
        <v>0</v>
      </c>
      <c r="AC138" s="743">
        <f t="shared" si="182"/>
        <v>0</v>
      </c>
      <c r="AD138" s="743">
        <f t="shared" si="182"/>
        <v>0</v>
      </c>
      <c r="AE138" s="743">
        <f t="shared" si="182"/>
        <v>0</v>
      </c>
      <c r="AF138" s="743">
        <f t="shared" si="182"/>
        <v>0</v>
      </c>
      <c r="AG138" s="744">
        <f t="shared" si="182"/>
        <v>0</v>
      </c>
      <c r="AH138" s="762">
        <f t="shared" si="166"/>
        <v>36.554630279541016</v>
      </c>
      <c r="AI138" s="743">
        <f t="shared" si="167"/>
        <v>36.554630279541016</v>
      </c>
      <c r="AJ138" s="760">
        <f t="shared" si="173"/>
        <v>36.015132904052734</v>
      </c>
      <c r="AK138" s="760">
        <f t="shared" si="168"/>
        <v>36.275943756103516</v>
      </c>
      <c r="AL138" s="760">
        <f t="shared" si="169"/>
        <v>38.565925598144531</v>
      </c>
      <c r="AM138" s="761">
        <f t="shared" si="170"/>
        <v>37.219440460205078</v>
      </c>
      <c r="AN138" s="746">
        <f t="shared" si="174"/>
        <v>36.554630279541016</v>
      </c>
      <c r="AO138" s="743">
        <f t="shared" si="175"/>
        <v>36.071906959625814</v>
      </c>
      <c r="AP138" s="747">
        <f t="shared" si="176"/>
        <v>38.011390647316702</v>
      </c>
      <c r="AQ138" s="747">
        <f t="shared" si="171"/>
        <v>36.852052705336426</v>
      </c>
      <c r="AS138" s="743">
        <f t="shared" si="177"/>
        <v>36.852052705336426</v>
      </c>
    </row>
    <row r="139" spans="1:45">
      <c r="AC139" s="817"/>
      <c r="AH139" s="766"/>
      <c r="AI139" s="767"/>
      <c r="AJ139" s="767"/>
      <c r="AK139" s="767"/>
      <c r="AL139" s="767"/>
      <c r="AM139" s="767"/>
      <c r="AN139" s="766"/>
      <c r="AO139" s="767"/>
      <c r="AP139" s="768"/>
      <c r="AQ139" s="768"/>
    </row>
    <row r="140" spans="1:45">
      <c r="A140" s="760" t="s">
        <v>480</v>
      </c>
      <c r="B140" s="760">
        <v>214794.57674886601</v>
      </c>
      <c r="C140" s="759" t="s">
        <v>85</v>
      </c>
      <c r="D140" s="760"/>
      <c r="E140" s="760"/>
      <c r="F140" s="760"/>
      <c r="G140" s="760"/>
      <c r="H140" s="760"/>
      <c r="I140" s="760"/>
      <c r="J140" s="760"/>
      <c r="K140" s="760"/>
      <c r="L140" s="760"/>
      <c r="M140" s="760"/>
      <c r="N140" s="760"/>
      <c r="O140" s="760"/>
      <c r="P140" s="760"/>
      <c r="Q140" s="760"/>
      <c r="R140" s="760">
        <v>41279.645648551377</v>
      </c>
      <c r="S140" s="760"/>
      <c r="T140" s="760"/>
      <c r="U140" s="760">
        <v>12290.580913948623</v>
      </c>
      <c r="V140" s="760">
        <v>79763.031825172977</v>
      </c>
      <c r="W140" s="760">
        <v>5965.7963882446275</v>
      </c>
      <c r="X140" s="760"/>
      <c r="Y140" s="760">
        <v>32597.310624864906</v>
      </c>
      <c r="Z140" s="760">
        <v>23386.78125</v>
      </c>
      <c r="AA140" s="760"/>
      <c r="AB140" s="760"/>
      <c r="AC140" s="760">
        <v>17629.777098083476</v>
      </c>
      <c r="AD140" s="760"/>
      <c r="AE140" s="760"/>
      <c r="AF140" s="760"/>
      <c r="AG140" s="761"/>
      <c r="AH140" s="762">
        <f>V140</f>
        <v>79763.031825172977</v>
      </c>
      <c r="AI140" s="760">
        <f>Y140</f>
        <v>32597.310624864906</v>
      </c>
      <c r="AJ140" s="760">
        <f>Z140</f>
        <v>23386.78125</v>
      </c>
      <c r="AK140" s="760">
        <f>AC140+W140</f>
        <v>23595.573486328103</v>
      </c>
      <c r="AL140" s="760">
        <f>R140</f>
        <v>41279.645648551377</v>
      </c>
      <c r="AM140" s="761">
        <f>U140</f>
        <v>12290.580913948623</v>
      </c>
      <c r="AN140" s="765">
        <f>SUM(AH140:AI140)</f>
        <v>112360.34245003789</v>
      </c>
      <c r="AO140" s="760">
        <f>SUM(AJ140:AK140)</f>
        <v>46982.354736328103</v>
      </c>
      <c r="AP140" s="764">
        <f>SUM(AL140:AM140)</f>
        <v>53570.2265625</v>
      </c>
      <c r="AQ140" s="764">
        <f>SUM(D140:AG140)</f>
        <v>212912.92374886601</v>
      </c>
      <c r="AS140" s="731">
        <f>SUM(AN140:AP140)</f>
        <v>212912.92374886599</v>
      </c>
    </row>
    <row r="141" spans="1:45">
      <c r="A141" s="742" t="s">
        <v>460</v>
      </c>
      <c r="B141" s="760"/>
      <c r="C141" s="759"/>
      <c r="D141" s="743">
        <f>IF(D140=0,0,D$18)</f>
        <v>0</v>
      </c>
      <c r="E141" s="743">
        <f>IF(E140=0,0,E$18)</f>
        <v>0</v>
      </c>
      <c r="F141" s="743">
        <f>IF(F140=0,0,F$18)</f>
        <v>0</v>
      </c>
      <c r="G141" s="743">
        <f>IF(G140=0,0,G$18)</f>
        <v>0</v>
      </c>
      <c r="H141" s="743">
        <f>IF(H140=0,0,H$18)</f>
        <v>0</v>
      </c>
      <c r="I141" s="743">
        <f t="shared" ref="I141:AG141" si="183">IF(I140=0,0,I$18)</f>
        <v>0</v>
      </c>
      <c r="J141" s="743">
        <f t="shared" si="183"/>
        <v>0</v>
      </c>
      <c r="K141" s="743">
        <f t="shared" si="183"/>
        <v>0</v>
      </c>
      <c r="L141" s="743">
        <f t="shared" si="183"/>
        <v>0</v>
      </c>
      <c r="M141" s="743">
        <f t="shared" si="183"/>
        <v>0</v>
      </c>
      <c r="N141" s="743">
        <f t="shared" si="183"/>
        <v>0</v>
      </c>
      <c r="O141" s="743">
        <f t="shared" si="183"/>
        <v>0</v>
      </c>
      <c r="P141" s="743">
        <f t="shared" si="183"/>
        <v>0</v>
      </c>
      <c r="Q141" s="743">
        <f t="shared" si="183"/>
        <v>0</v>
      </c>
      <c r="R141" s="743">
        <f t="shared" si="183"/>
        <v>4471.451171875</v>
      </c>
      <c r="S141" s="743">
        <f t="shared" si="183"/>
        <v>0</v>
      </c>
      <c r="T141" s="743">
        <f t="shared" si="183"/>
        <v>0</v>
      </c>
      <c r="U141" s="743">
        <f t="shared" si="183"/>
        <v>4156.56396484375</v>
      </c>
      <c r="V141" s="743">
        <f t="shared" si="183"/>
        <v>4374.95751953125</v>
      </c>
      <c r="W141" s="743">
        <f t="shared" si="183"/>
        <v>4268.08154296875</v>
      </c>
      <c r="X141" s="743">
        <f t="shared" si="183"/>
        <v>0</v>
      </c>
      <c r="Y141" s="743">
        <f t="shared" si="183"/>
        <v>4195.17529296875</v>
      </c>
      <c r="Z141" s="743">
        <f t="shared" si="183"/>
        <v>4171.47119140625</v>
      </c>
      <c r="AA141" s="743">
        <f t="shared" si="183"/>
        <v>0</v>
      </c>
      <c r="AB141" s="743">
        <f t="shared" si="183"/>
        <v>0</v>
      </c>
      <c r="AC141" s="743">
        <f t="shared" si="183"/>
        <v>4015.53515625</v>
      </c>
      <c r="AD141" s="743">
        <f t="shared" si="183"/>
        <v>0</v>
      </c>
      <c r="AE141" s="743">
        <f t="shared" si="183"/>
        <v>0</v>
      </c>
      <c r="AF141" s="743">
        <f t="shared" si="183"/>
        <v>0</v>
      </c>
      <c r="AG141" s="744">
        <f t="shared" si="183"/>
        <v>0</v>
      </c>
      <c r="AH141" s="762">
        <f t="shared" ref="AH141:AH147" si="184">V141</f>
        <v>4374.95751953125</v>
      </c>
      <c r="AI141" s="760">
        <f t="shared" ref="AI141:AJ147" si="185">Y141</f>
        <v>4195.17529296875</v>
      </c>
      <c r="AJ141" s="743">
        <f t="shared" si="185"/>
        <v>4171.47119140625</v>
      </c>
      <c r="AK141" s="743">
        <f>+($W$140*W141+$AC$140*AC141)/$AK$140</f>
        <v>4079.387824320303</v>
      </c>
      <c r="AL141" s="760">
        <f t="shared" ref="AL141:AL147" si="186">R141</f>
        <v>4471.451171875</v>
      </c>
      <c r="AM141" s="761">
        <f t="shared" ref="AM141:AM147" si="187">U141</f>
        <v>4156.56396484375</v>
      </c>
      <c r="AN141" s="746">
        <f>IF(AN$140=0,0,SUMPRODUCT(AH$140:AI$140,AH141:AI141)/AN$140)</f>
        <v>4322.8001750776803</v>
      </c>
      <c r="AO141" s="743">
        <f>IF(AO$140=0,0,SUMPRODUCT(AJ$140:AK$140,AJ141:AK141)/AO$140)</f>
        <v>4125.2248960228271</v>
      </c>
      <c r="AP141" s="747">
        <f>IF(AP$140=0,0,SUMPRODUCT(AL$140:AM$140,AL141:AM141)/AP$140)</f>
        <v>4399.2068125522037</v>
      </c>
      <c r="AQ141" s="747">
        <f t="shared" ref="AQ141:AQ147" si="188">SUMPRODUCT(D$140:AG$140,D141:AG141)/AQ$140</f>
        <v>4298.4266853151885</v>
      </c>
      <c r="AS141" s="743">
        <f>IF(AS$140=0,0,SUMPRODUCT(AN$140:AP$140,AN141:AP141)/AS$140)</f>
        <v>4298.4266853151894</v>
      </c>
    </row>
    <row r="142" spans="1:45">
      <c r="A142" s="742" t="s">
        <v>462</v>
      </c>
      <c r="B142" s="743"/>
      <c r="C142" s="742"/>
      <c r="D142" s="743">
        <f t="shared" ref="D142:AG142" si="189">IF(D140=0,0,D$19)</f>
        <v>0</v>
      </c>
      <c r="E142" s="743">
        <f t="shared" si="189"/>
        <v>0</v>
      </c>
      <c r="F142" s="743">
        <f t="shared" si="189"/>
        <v>0</v>
      </c>
      <c r="G142" s="743">
        <f t="shared" si="189"/>
        <v>0</v>
      </c>
      <c r="H142" s="743">
        <f t="shared" si="189"/>
        <v>0</v>
      </c>
      <c r="I142" s="743">
        <f t="shared" si="189"/>
        <v>0</v>
      </c>
      <c r="J142" s="743">
        <f t="shared" si="189"/>
        <v>0</v>
      </c>
      <c r="K142" s="743">
        <f t="shared" si="189"/>
        <v>0</v>
      </c>
      <c r="L142" s="743">
        <f t="shared" si="189"/>
        <v>0</v>
      </c>
      <c r="M142" s="743">
        <f t="shared" si="189"/>
        <v>0</v>
      </c>
      <c r="N142" s="743">
        <f t="shared" si="189"/>
        <v>0</v>
      </c>
      <c r="O142" s="743">
        <f t="shared" si="189"/>
        <v>0</v>
      </c>
      <c r="P142" s="743">
        <f t="shared" si="189"/>
        <v>0</v>
      </c>
      <c r="Q142" s="743">
        <f t="shared" si="189"/>
        <v>0</v>
      </c>
      <c r="R142" s="743">
        <f t="shared" si="189"/>
        <v>3757.967821950655</v>
      </c>
      <c r="S142" s="743">
        <f t="shared" si="189"/>
        <v>0</v>
      </c>
      <c r="T142" s="743">
        <f t="shared" si="189"/>
        <v>0</v>
      </c>
      <c r="U142" s="743">
        <f t="shared" si="189"/>
        <v>3556.515767437163</v>
      </c>
      <c r="V142" s="743">
        <f t="shared" si="189"/>
        <v>3686.7762976598851</v>
      </c>
      <c r="W142" s="743">
        <f t="shared" si="189"/>
        <v>3569.9328360118889</v>
      </c>
      <c r="X142" s="743">
        <f t="shared" si="189"/>
        <v>0</v>
      </c>
      <c r="Y142" s="743">
        <f t="shared" si="189"/>
        <v>3579.4300371559207</v>
      </c>
      <c r="Z142" s="743">
        <f t="shared" si="189"/>
        <v>3521.9934438237956</v>
      </c>
      <c r="AA142" s="743">
        <f t="shared" si="189"/>
        <v>0</v>
      </c>
      <c r="AB142" s="743">
        <f t="shared" si="189"/>
        <v>0</v>
      </c>
      <c r="AC142" s="743">
        <f t="shared" si="189"/>
        <v>3403.6284133766085</v>
      </c>
      <c r="AD142" s="743">
        <f t="shared" si="189"/>
        <v>0</v>
      </c>
      <c r="AE142" s="743">
        <f t="shared" si="189"/>
        <v>0</v>
      </c>
      <c r="AF142" s="743">
        <f t="shared" si="189"/>
        <v>0</v>
      </c>
      <c r="AG142" s="744">
        <f t="shared" si="189"/>
        <v>0</v>
      </c>
      <c r="AH142" s="762">
        <f t="shared" si="184"/>
        <v>3686.7762976598851</v>
      </c>
      <c r="AI142" s="760">
        <f t="shared" si="185"/>
        <v>3579.4300371559207</v>
      </c>
      <c r="AJ142" s="743">
        <f t="shared" si="185"/>
        <v>3521.9934438237956</v>
      </c>
      <c r="AK142" s="743">
        <f t="shared" ref="AK142:AK147" si="190">+($W$140*W142+$AC$140*AC142)/$AK$140</f>
        <v>3445.676059494705</v>
      </c>
      <c r="AL142" s="760">
        <f t="shared" si="186"/>
        <v>3757.967821950655</v>
      </c>
      <c r="AM142" s="761">
        <f t="shared" si="187"/>
        <v>3556.515767437163</v>
      </c>
      <c r="AN142" s="746">
        <f t="shared" ref="AN142:AN147" si="191">IF(AN$140=0,0,SUMPRODUCT(AH$140:AI$140,AH142:AI142)/AN$140)</f>
        <v>3655.6336425044738</v>
      </c>
      <c r="AO142" s="743">
        <f t="shared" ref="AO142:AO147" si="192">IF(AO$140=0,0,SUMPRODUCT(AJ$140:AK$140,AJ142:AK142)/AO$140)</f>
        <v>3483.6651722774354</v>
      </c>
      <c r="AP142" s="747">
        <f t="shared" ref="AP142:AP147" si="193">IF(AP$140=0,0,SUMPRODUCT(AL$140:AM$140,AL142:AM142)/AP$140)</f>
        <v>3711.7488130877641</v>
      </c>
      <c r="AQ142" s="747">
        <f t="shared" si="188"/>
        <v>3631.8052098259845</v>
      </c>
      <c r="AS142" s="743">
        <f t="shared" ref="AS142:AS147" si="194">IF(AS$140=0,0,SUMPRODUCT(AN$140:AP$140,AN142:AP142)/AS$140)</f>
        <v>3631.8052098259845</v>
      </c>
    </row>
    <row r="143" spans="1:45">
      <c r="A143" s="742" t="s">
        <v>420</v>
      </c>
      <c r="B143" s="743"/>
      <c r="C143" s="742"/>
      <c r="D143" s="743">
        <f t="shared" ref="D143:AG143" si="195">IF(D140=0,0,D$20)</f>
        <v>0</v>
      </c>
      <c r="E143" s="743">
        <f t="shared" si="195"/>
        <v>0</v>
      </c>
      <c r="F143" s="743">
        <f t="shared" si="195"/>
        <v>0</v>
      </c>
      <c r="G143" s="743">
        <f t="shared" si="195"/>
        <v>0</v>
      </c>
      <c r="H143" s="743">
        <f t="shared" si="195"/>
        <v>0</v>
      </c>
      <c r="I143" s="743">
        <f t="shared" si="195"/>
        <v>0</v>
      </c>
      <c r="J143" s="743">
        <f t="shared" si="195"/>
        <v>0</v>
      </c>
      <c r="K143" s="743">
        <f t="shared" si="195"/>
        <v>0</v>
      </c>
      <c r="L143" s="743">
        <f t="shared" si="195"/>
        <v>0</v>
      </c>
      <c r="M143" s="743">
        <f t="shared" si="195"/>
        <v>0</v>
      </c>
      <c r="N143" s="743">
        <f t="shared" si="195"/>
        <v>0</v>
      </c>
      <c r="O143" s="743">
        <f t="shared" si="195"/>
        <v>0</v>
      </c>
      <c r="P143" s="743">
        <f t="shared" si="195"/>
        <v>0</v>
      </c>
      <c r="Q143" s="743">
        <f t="shared" si="195"/>
        <v>0</v>
      </c>
      <c r="R143" s="743">
        <f t="shared" si="195"/>
        <v>0.14668330550193787</v>
      </c>
      <c r="S143" s="743">
        <f t="shared" si="195"/>
        <v>0</v>
      </c>
      <c r="T143" s="743">
        <f t="shared" si="195"/>
        <v>0</v>
      </c>
      <c r="U143" s="743">
        <f t="shared" si="195"/>
        <v>0.13965973258018494</v>
      </c>
      <c r="V143" s="743">
        <f t="shared" si="195"/>
        <v>0.11128560453653336</v>
      </c>
      <c r="W143" s="743">
        <f t="shared" si="195"/>
        <v>0.15938307344913483</v>
      </c>
      <c r="X143" s="743">
        <f t="shared" si="195"/>
        <v>0</v>
      </c>
      <c r="Y143" s="743">
        <f t="shared" si="195"/>
        <v>8.9641347527503967E-2</v>
      </c>
      <c r="Z143" s="743">
        <f t="shared" si="195"/>
        <v>0.13987064361572266</v>
      </c>
      <c r="AA143" s="743">
        <f t="shared" si="195"/>
        <v>0</v>
      </c>
      <c r="AB143" s="743">
        <f t="shared" si="195"/>
        <v>0</v>
      </c>
      <c r="AC143" s="743">
        <f t="shared" si="195"/>
        <v>0.15394456684589386</v>
      </c>
      <c r="AD143" s="743">
        <f t="shared" si="195"/>
        <v>0</v>
      </c>
      <c r="AE143" s="743">
        <f t="shared" si="195"/>
        <v>0</v>
      </c>
      <c r="AF143" s="743">
        <f t="shared" si="195"/>
        <v>0</v>
      </c>
      <c r="AG143" s="744">
        <f t="shared" si="195"/>
        <v>0</v>
      </c>
      <c r="AH143" s="762">
        <f t="shared" si="184"/>
        <v>0.11128560453653336</v>
      </c>
      <c r="AI143" s="760">
        <f t="shared" si="185"/>
        <v>8.9641347527503967E-2</v>
      </c>
      <c r="AJ143" s="743">
        <f t="shared" si="185"/>
        <v>0.13987064361572266</v>
      </c>
      <c r="AK143" s="743">
        <f t="shared" si="190"/>
        <v>0.15531961386773713</v>
      </c>
      <c r="AL143" s="760">
        <f t="shared" si="186"/>
        <v>0.14668330550193787</v>
      </c>
      <c r="AM143" s="761">
        <f t="shared" si="187"/>
        <v>0.13965973258018494</v>
      </c>
      <c r="AN143" s="746">
        <f t="shared" si="191"/>
        <v>0.10500630212802149</v>
      </c>
      <c r="AO143" s="743">
        <f t="shared" si="192"/>
        <v>0.14762945678963199</v>
      </c>
      <c r="AP143" s="747">
        <f t="shared" si="193"/>
        <v>0.14507189190824865</v>
      </c>
      <c r="AQ143" s="747">
        <f t="shared" si="188"/>
        <v>0.12449247901728236</v>
      </c>
      <c r="AS143" s="743">
        <f t="shared" si="194"/>
        <v>0.12449247901728236</v>
      </c>
    </row>
    <row r="144" spans="1:45">
      <c r="A144" s="742" t="s">
        <v>464</v>
      </c>
      <c r="B144" s="743"/>
      <c r="C144" s="742"/>
      <c r="D144" s="743">
        <f t="shared" ref="D144:AG144" si="196">IF(D140=0,0,D$21)</f>
        <v>0</v>
      </c>
      <c r="E144" s="743">
        <f t="shared" si="196"/>
        <v>0</v>
      </c>
      <c r="F144" s="743">
        <f t="shared" si="196"/>
        <v>0</v>
      </c>
      <c r="G144" s="743">
        <f t="shared" si="196"/>
        <v>0</v>
      </c>
      <c r="H144" s="743">
        <f t="shared" si="196"/>
        <v>0</v>
      </c>
      <c r="I144" s="743">
        <f t="shared" si="196"/>
        <v>0</v>
      </c>
      <c r="J144" s="743">
        <f t="shared" si="196"/>
        <v>0</v>
      </c>
      <c r="K144" s="743">
        <f t="shared" si="196"/>
        <v>0</v>
      </c>
      <c r="L144" s="743">
        <f t="shared" si="196"/>
        <v>0</v>
      </c>
      <c r="M144" s="743">
        <f t="shared" si="196"/>
        <v>0</v>
      </c>
      <c r="N144" s="743">
        <f t="shared" si="196"/>
        <v>0</v>
      </c>
      <c r="O144" s="743">
        <f t="shared" si="196"/>
        <v>0</v>
      </c>
      <c r="P144" s="743">
        <f t="shared" si="196"/>
        <v>0</v>
      </c>
      <c r="Q144" s="743">
        <f t="shared" si="196"/>
        <v>0</v>
      </c>
      <c r="R144" s="743">
        <f t="shared" si="196"/>
        <v>8.6890792846679688</v>
      </c>
      <c r="S144" s="743">
        <f t="shared" si="196"/>
        <v>0</v>
      </c>
      <c r="T144" s="743">
        <f t="shared" si="196"/>
        <v>0</v>
      </c>
      <c r="U144" s="743">
        <f t="shared" si="196"/>
        <v>11.084883689880371</v>
      </c>
      <c r="V144" s="743">
        <f t="shared" si="196"/>
        <v>9.026209831237793</v>
      </c>
      <c r="W144" s="743">
        <f t="shared" si="196"/>
        <v>12.220863342285156</v>
      </c>
      <c r="X144" s="743">
        <f t="shared" si="196"/>
        <v>0</v>
      </c>
      <c r="Y144" s="743">
        <f t="shared" si="196"/>
        <v>9.7111263275146484</v>
      </c>
      <c r="Z144" s="743">
        <f t="shared" si="196"/>
        <v>12.645918846130371</v>
      </c>
      <c r="AA144" s="743">
        <f t="shared" si="196"/>
        <v>0</v>
      </c>
      <c r="AB144" s="743">
        <f t="shared" si="196"/>
        <v>0</v>
      </c>
      <c r="AC144" s="743">
        <f t="shared" si="196"/>
        <v>15.358551979064941</v>
      </c>
      <c r="AD144" s="743">
        <f t="shared" si="196"/>
        <v>0</v>
      </c>
      <c r="AE144" s="743">
        <f t="shared" si="196"/>
        <v>0</v>
      </c>
      <c r="AF144" s="743">
        <f t="shared" si="196"/>
        <v>0</v>
      </c>
      <c r="AG144" s="744">
        <f t="shared" si="196"/>
        <v>0</v>
      </c>
      <c r="AH144" s="762">
        <f t="shared" si="184"/>
        <v>9.026209831237793</v>
      </c>
      <c r="AI144" s="760">
        <f t="shared" si="185"/>
        <v>9.7111263275146484</v>
      </c>
      <c r="AJ144" s="743">
        <f t="shared" si="185"/>
        <v>12.645918846130371</v>
      </c>
      <c r="AK144" s="743">
        <f t="shared" si="190"/>
        <v>14.565233200541366</v>
      </c>
      <c r="AL144" s="760">
        <f t="shared" si="186"/>
        <v>8.6890792846679688</v>
      </c>
      <c r="AM144" s="761">
        <f t="shared" si="187"/>
        <v>11.084883689880371</v>
      </c>
      <c r="AN144" s="746">
        <f t="shared" si="191"/>
        <v>9.2249137092644933</v>
      </c>
      <c r="AO144" s="743">
        <f t="shared" si="192"/>
        <v>13.609840793998417</v>
      </c>
      <c r="AP144" s="747">
        <f t="shared" si="193"/>
        <v>9.2387470719024201</v>
      </c>
      <c r="AQ144" s="747">
        <f t="shared" si="188"/>
        <v>10.195992648570256</v>
      </c>
      <c r="AS144" s="743">
        <f t="shared" si="194"/>
        <v>10.195992648570254</v>
      </c>
    </row>
    <row r="145" spans="1:45">
      <c r="A145" s="742" t="s">
        <v>416</v>
      </c>
      <c r="B145" s="743"/>
      <c r="C145" s="742"/>
      <c r="D145" s="743">
        <f>IF(D140=0,0,D$22)</f>
        <v>0</v>
      </c>
      <c r="E145" s="743">
        <f>IF(E140=0,0,E$22)</f>
        <v>0</v>
      </c>
      <c r="F145" s="743">
        <f>IF(F140=0,0,F$22)</f>
        <v>0</v>
      </c>
      <c r="G145" s="743">
        <f>IF(G140=0,0,G$22)</f>
        <v>0</v>
      </c>
      <c r="H145" s="743">
        <f>IF(H140=0,0,H$22)</f>
        <v>0</v>
      </c>
      <c r="I145" s="743">
        <f t="shared" ref="I145:AG145" si="197">IF(I140=0,0,I$22)</f>
        <v>0</v>
      </c>
      <c r="J145" s="743">
        <f t="shared" si="197"/>
        <v>0</v>
      </c>
      <c r="K145" s="743">
        <f t="shared" si="197"/>
        <v>0</v>
      </c>
      <c r="L145" s="743">
        <f t="shared" si="197"/>
        <v>0</v>
      </c>
      <c r="M145" s="743">
        <f t="shared" si="197"/>
        <v>0</v>
      </c>
      <c r="N145" s="743">
        <f t="shared" si="197"/>
        <v>0</v>
      </c>
      <c r="O145" s="743">
        <f t="shared" si="197"/>
        <v>0</v>
      </c>
      <c r="P145" s="743">
        <f t="shared" si="197"/>
        <v>0</v>
      </c>
      <c r="Q145" s="743">
        <f t="shared" si="197"/>
        <v>0</v>
      </c>
      <c r="R145" s="743">
        <f t="shared" si="197"/>
        <v>38.182102203369141</v>
      </c>
      <c r="S145" s="743">
        <f t="shared" si="197"/>
        <v>0</v>
      </c>
      <c r="T145" s="743">
        <f t="shared" si="197"/>
        <v>0</v>
      </c>
      <c r="U145" s="743">
        <f t="shared" si="197"/>
        <v>38.152557373046875</v>
      </c>
      <c r="V145" s="743">
        <f t="shared" si="197"/>
        <v>37.718955993652344</v>
      </c>
      <c r="W145" s="743">
        <f t="shared" si="197"/>
        <v>36.603984832763672</v>
      </c>
      <c r="X145" s="743">
        <f t="shared" si="197"/>
        <v>0</v>
      </c>
      <c r="Y145" s="743">
        <f t="shared" si="197"/>
        <v>38.03997802734375</v>
      </c>
      <c r="Z145" s="743">
        <f t="shared" si="197"/>
        <v>36.766433715820313</v>
      </c>
      <c r="AA145" s="743">
        <f t="shared" si="197"/>
        <v>0</v>
      </c>
      <c r="AB145" s="743">
        <f t="shared" si="197"/>
        <v>0</v>
      </c>
      <c r="AC145" s="743">
        <f t="shared" si="197"/>
        <v>35.72802734375</v>
      </c>
      <c r="AD145" s="743">
        <f t="shared" si="197"/>
        <v>0</v>
      </c>
      <c r="AE145" s="743">
        <f t="shared" si="197"/>
        <v>0</v>
      </c>
      <c r="AF145" s="743">
        <f t="shared" si="197"/>
        <v>0</v>
      </c>
      <c r="AG145" s="744">
        <f t="shared" si="197"/>
        <v>0</v>
      </c>
      <c r="AH145" s="762">
        <f t="shared" si="184"/>
        <v>37.718955993652344</v>
      </c>
      <c r="AI145" s="760">
        <f t="shared" si="185"/>
        <v>38.03997802734375</v>
      </c>
      <c r="AJ145" s="743">
        <f t="shared" si="185"/>
        <v>36.766433715820313</v>
      </c>
      <c r="AK145" s="743">
        <f t="shared" si="190"/>
        <v>35.949500410604742</v>
      </c>
      <c r="AL145" s="760">
        <f t="shared" si="186"/>
        <v>38.182102203369141</v>
      </c>
      <c r="AM145" s="761">
        <f t="shared" si="187"/>
        <v>38.152557373046875</v>
      </c>
      <c r="AN145" s="746">
        <f t="shared" si="191"/>
        <v>37.81208898632115</v>
      </c>
      <c r="AO145" s="743">
        <f t="shared" si="192"/>
        <v>36.356151814352778</v>
      </c>
      <c r="AP145" s="747">
        <f t="shared" si="193"/>
        <v>38.175323752894577</v>
      </c>
      <c r="AQ145" s="747">
        <f t="shared" si="188"/>
        <v>37.582207271840346</v>
      </c>
      <c r="AS145" s="743">
        <f t="shared" si="194"/>
        <v>37.582207271840353</v>
      </c>
    </row>
    <row r="146" spans="1:45">
      <c r="A146" s="742" t="s">
        <v>465</v>
      </c>
      <c r="B146" s="743"/>
      <c r="C146" s="742"/>
      <c r="D146" s="743">
        <f t="shared" ref="D146:AG146" si="198">IF(D140=0,0,D$23)</f>
        <v>0</v>
      </c>
      <c r="E146" s="743">
        <f t="shared" si="198"/>
        <v>0</v>
      </c>
      <c r="F146" s="743">
        <f t="shared" si="198"/>
        <v>0</v>
      </c>
      <c r="G146" s="743">
        <f t="shared" si="198"/>
        <v>0</v>
      </c>
      <c r="H146" s="743">
        <f t="shared" si="198"/>
        <v>0</v>
      </c>
      <c r="I146" s="743">
        <f t="shared" si="198"/>
        <v>0</v>
      </c>
      <c r="J146" s="743">
        <f t="shared" si="198"/>
        <v>0</v>
      </c>
      <c r="K146" s="743">
        <f t="shared" si="198"/>
        <v>0</v>
      </c>
      <c r="L146" s="743">
        <f t="shared" si="198"/>
        <v>0</v>
      </c>
      <c r="M146" s="743">
        <f t="shared" si="198"/>
        <v>0</v>
      </c>
      <c r="N146" s="743">
        <f t="shared" si="198"/>
        <v>0</v>
      </c>
      <c r="O146" s="743">
        <f t="shared" si="198"/>
        <v>0</v>
      </c>
      <c r="P146" s="743">
        <f t="shared" si="198"/>
        <v>0</v>
      </c>
      <c r="Q146" s="743">
        <f t="shared" si="198"/>
        <v>0</v>
      </c>
      <c r="R146" s="743">
        <f t="shared" si="198"/>
        <v>26.445428848266602</v>
      </c>
      <c r="S146" s="743">
        <f t="shared" si="198"/>
        <v>0</v>
      </c>
      <c r="T146" s="743">
        <f t="shared" si="198"/>
        <v>0</v>
      </c>
      <c r="U146" s="743">
        <f t="shared" si="198"/>
        <v>27.717781066894531</v>
      </c>
      <c r="V146" s="743">
        <f t="shared" si="198"/>
        <v>26.093448638916016</v>
      </c>
      <c r="W146" s="743">
        <f t="shared" si="198"/>
        <v>24.206035614013672</v>
      </c>
      <c r="X146" s="743">
        <f t="shared" si="198"/>
        <v>0</v>
      </c>
      <c r="Y146" s="743">
        <f t="shared" si="198"/>
        <v>27.381412506103516</v>
      </c>
      <c r="Z146" s="743">
        <f t="shared" si="198"/>
        <v>25.105766296386719</v>
      </c>
      <c r="AA146" s="743">
        <f t="shared" si="198"/>
        <v>0</v>
      </c>
      <c r="AB146" s="743">
        <f t="shared" si="198"/>
        <v>0</v>
      </c>
      <c r="AC146" s="743">
        <f t="shared" si="198"/>
        <v>24.173166275024414</v>
      </c>
      <c r="AD146" s="743">
        <f t="shared" si="198"/>
        <v>0</v>
      </c>
      <c r="AE146" s="743">
        <f t="shared" si="198"/>
        <v>0</v>
      </c>
      <c r="AF146" s="743">
        <f t="shared" si="198"/>
        <v>0</v>
      </c>
      <c r="AG146" s="744">
        <f t="shared" si="198"/>
        <v>0</v>
      </c>
      <c r="AH146" s="762">
        <f t="shared" si="184"/>
        <v>26.093448638916016</v>
      </c>
      <c r="AI146" s="760">
        <f t="shared" si="185"/>
        <v>27.381412506103516</v>
      </c>
      <c r="AJ146" s="743">
        <f t="shared" si="185"/>
        <v>25.105766296386719</v>
      </c>
      <c r="AK146" s="743">
        <f t="shared" si="190"/>
        <v>24.181476807673246</v>
      </c>
      <c r="AL146" s="760">
        <f t="shared" si="186"/>
        <v>26.445428848266602</v>
      </c>
      <c r="AM146" s="761">
        <f t="shared" si="187"/>
        <v>27.717781066894531</v>
      </c>
      <c r="AN146" s="746">
        <f t="shared" si="191"/>
        <v>26.467105013904206</v>
      </c>
      <c r="AO146" s="743">
        <f t="shared" si="192"/>
        <v>24.641567754700688</v>
      </c>
      <c r="AP146" s="747">
        <f t="shared" si="193"/>
        <v>26.737343758797063</v>
      </c>
      <c r="AQ146" s="747">
        <f t="shared" si="188"/>
        <v>26.132267245246737</v>
      </c>
      <c r="AS146" s="743">
        <f t="shared" si="194"/>
        <v>26.132267245246741</v>
      </c>
    </row>
    <row r="147" spans="1:45" ht="15" thickBot="1">
      <c r="A147" s="742" t="s">
        <v>419</v>
      </c>
      <c r="B147" s="743"/>
      <c r="C147" s="742"/>
      <c r="D147" s="743">
        <f t="shared" ref="D147:AG147" si="199">IF(D140=0,0,D$24)</f>
        <v>0</v>
      </c>
      <c r="E147" s="743">
        <f t="shared" si="199"/>
        <v>0</v>
      </c>
      <c r="F147" s="743">
        <f t="shared" si="199"/>
        <v>0</v>
      </c>
      <c r="G147" s="743">
        <f t="shared" si="199"/>
        <v>0</v>
      </c>
      <c r="H147" s="743">
        <f t="shared" si="199"/>
        <v>0</v>
      </c>
      <c r="I147" s="743">
        <f t="shared" si="199"/>
        <v>0</v>
      </c>
      <c r="J147" s="743">
        <f t="shared" si="199"/>
        <v>0</v>
      </c>
      <c r="K147" s="743">
        <f t="shared" si="199"/>
        <v>0</v>
      </c>
      <c r="L147" s="743">
        <f t="shared" si="199"/>
        <v>0</v>
      </c>
      <c r="M147" s="743">
        <f t="shared" si="199"/>
        <v>0</v>
      </c>
      <c r="N147" s="743">
        <f t="shared" si="199"/>
        <v>0</v>
      </c>
      <c r="O147" s="743">
        <f t="shared" si="199"/>
        <v>0</v>
      </c>
      <c r="P147" s="743">
        <f t="shared" si="199"/>
        <v>0</v>
      </c>
      <c r="Q147" s="743">
        <f t="shared" si="199"/>
        <v>0</v>
      </c>
      <c r="R147" s="743">
        <f t="shared" si="199"/>
        <v>37.219440460205078</v>
      </c>
      <c r="S147" s="743">
        <f t="shared" si="199"/>
        <v>0</v>
      </c>
      <c r="T147" s="743">
        <f t="shared" si="199"/>
        <v>0</v>
      </c>
      <c r="U147" s="743">
        <f t="shared" si="199"/>
        <v>36.353988647460938</v>
      </c>
      <c r="V147" s="743">
        <f t="shared" si="199"/>
        <v>36.554630279541016</v>
      </c>
      <c r="W147" s="743">
        <f t="shared" si="199"/>
        <v>36.015132904052734</v>
      </c>
      <c r="X147" s="743">
        <f t="shared" si="199"/>
        <v>0</v>
      </c>
      <c r="Y147" s="743">
        <f t="shared" si="199"/>
        <v>35.708717346191406</v>
      </c>
      <c r="Z147" s="743">
        <f t="shared" si="199"/>
        <v>36.275943756103516</v>
      </c>
      <c r="AA147" s="743">
        <f t="shared" si="199"/>
        <v>0</v>
      </c>
      <c r="AB147" s="743">
        <f t="shared" si="199"/>
        <v>0</v>
      </c>
      <c r="AC147" s="743">
        <f t="shared" si="199"/>
        <v>35.239398956298828</v>
      </c>
      <c r="AD147" s="743">
        <f t="shared" si="199"/>
        <v>0</v>
      </c>
      <c r="AE147" s="743">
        <f t="shared" si="199"/>
        <v>0</v>
      </c>
      <c r="AF147" s="743">
        <f t="shared" si="199"/>
        <v>0</v>
      </c>
      <c r="AG147" s="744">
        <f t="shared" si="199"/>
        <v>0</v>
      </c>
      <c r="AH147" s="762">
        <f t="shared" si="184"/>
        <v>36.554630279541016</v>
      </c>
      <c r="AI147" s="760">
        <f t="shared" si="185"/>
        <v>35.708717346191406</v>
      </c>
      <c r="AJ147" s="776">
        <f t="shared" si="185"/>
        <v>36.275943756103516</v>
      </c>
      <c r="AK147" s="776">
        <f t="shared" si="190"/>
        <v>35.43553196346776</v>
      </c>
      <c r="AL147" s="760">
        <f t="shared" si="186"/>
        <v>37.219440460205078</v>
      </c>
      <c r="AM147" s="761">
        <f t="shared" si="187"/>
        <v>36.353988647460938</v>
      </c>
      <c r="AN147" s="775">
        <f t="shared" si="191"/>
        <v>36.309219077966496</v>
      </c>
      <c r="AO147" s="776">
        <f t="shared" si="192"/>
        <v>35.853870441064224</v>
      </c>
      <c r="AP147" s="777">
        <f t="shared" si="193"/>
        <v>37.020880435090277</v>
      </c>
      <c r="AQ147" s="777">
        <f t="shared" si="188"/>
        <v>36.387798192163359</v>
      </c>
      <c r="AS147" s="743">
        <f t="shared" si="194"/>
        <v>36.387798192163366</v>
      </c>
    </row>
  </sheetData>
  <mergeCells count="17">
    <mergeCell ref="AN4:AP4"/>
    <mergeCell ref="AH5:AI5"/>
    <mergeCell ref="AJ5:AK5"/>
    <mergeCell ref="AL5:AM5"/>
    <mergeCell ref="D3:AG3"/>
    <mergeCell ref="AN3:AP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M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4"/>
  </sheetPr>
  <dimension ref="A1:AY183"/>
  <sheetViews>
    <sheetView zoomScale="55" zoomScaleNormal="55" workbookViewId="0">
      <pane xSplit="2" ySplit="39" topLeftCell="C43" activePane="bottomRight" state="frozen"/>
      <selection pane="bottomRight" activeCell="AM140" sqref="AM140:AM147"/>
      <selection pane="bottomLeft" activeCell="AM140" sqref="AM140:AM147"/>
      <selection pane="topRight" activeCell="AM140" sqref="AM140:AM147"/>
    </sheetView>
  </sheetViews>
  <sheetFormatPr defaultColWidth="8.85546875" defaultRowHeight="14.45"/>
  <cols>
    <col min="1" max="2" width="30.7109375" style="731" customWidth="1"/>
    <col min="3" max="3" width="9.7109375" style="731" customWidth="1"/>
    <col min="4" max="15" width="11.7109375" style="731" customWidth="1"/>
    <col min="16" max="16" width="12.28515625" style="731" bestFit="1" customWidth="1"/>
    <col min="17" max="17" width="11.7109375" style="731" customWidth="1"/>
    <col min="18" max="18" width="12.28515625" style="731" bestFit="1" customWidth="1"/>
    <col min="19" max="20" width="13.140625" style="731" customWidth="1"/>
    <col min="21" max="21" width="12.28515625" style="731" bestFit="1" customWidth="1"/>
    <col min="22" max="22" width="14.28515625" style="731" bestFit="1" customWidth="1"/>
    <col min="23" max="23" width="12.28515625" style="731" bestFit="1" customWidth="1"/>
    <col min="24" max="37" width="11.7109375" style="731" customWidth="1"/>
    <col min="38" max="38" width="14.140625" style="731" bestFit="1" customWidth="1"/>
    <col min="39" max="41" width="14.140625" style="731" customWidth="1"/>
    <col min="42" max="48" width="11.7109375" style="731" customWidth="1"/>
    <col min="49" max="49" width="14.7109375" style="731" customWidth="1"/>
    <col min="50" max="50" width="8.85546875" style="731"/>
    <col min="51" max="51" width="12.85546875" style="731" bestFit="1" customWidth="1"/>
    <col min="52" max="16384" width="8.85546875" style="731"/>
  </cols>
  <sheetData>
    <row r="1" spans="1:49" ht="17.45">
      <c r="A1" s="730" t="s">
        <v>430</v>
      </c>
      <c r="B1" s="730"/>
      <c r="C1" s="730"/>
      <c r="X1" s="731">
        <v>62738.51171875</v>
      </c>
      <c r="AA1" s="731">
        <v>70207.203125</v>
      </c>
      <c r="AB1" s="731">
        <v>78728.536071777344</v>
      </c>
      <c r="AD1" s="731">
        <v>38478.8203125</v>
      </c>
      <c r="AE1" s="731">
        <v>8283.2247314453125</v>
      </c>
    </row>
    <row r="2" spans="1:49" ht="18" thickBot="1">
      <c r="A2" s="730"/>
      <c r="B2" s="730"/>
      <c r="C2" s="730"/>
      <c r="AB2" s="731">
        <v>28268.092320063501</v>
      </c>
    </row>
    <row r="3" spans="1:49">
      <c r="D3" s="1384">
        <v>2024</v>
      </c>
      <c r="E3" s="1384"/>
      <c r="F3" s="1384"/>
      <c r="G3" s="1384"/>
      <c r="H3" s="1384"/>
      <c r="I3" s="1384"/>
      <c r="J3" s="1384"/>
      <c r="K3" s="1384"/>
      <c r="L3" s="1384"/>
      <c r="M3" s="1384"/>
      <c r="N3" s="1384"/>
      <c r="O3" s="1384"/>
      <c r="P3" s="1384"/>
      <c r="Q3" s="1384"/>
      <c r="R3" s="1384"/>
      <c r="S3" s="1384"/>
      <c r="T3" s="1384"/>
      <c r="U3" s="1384"/>
      <c r="V3" s="1384"/>
      <c r="W3" s="1384"/>
      <c r="X3" s="1384"/>
      <c r="Y3" s="1384"/>
      <c r="Z3" s="1384"/>
      <c r="AA3" s="1384"/>
      <c r="AB3" s="1384"/>
      <c r="AC3" s="1384"/>
      <c r="AD3" s="1384"/>
      <c r="AE3" s="1384"/>
      <c r="AF3" s="1384"/>
      <c r="AG3" s="1385"/>
      <c r="AH3" s="732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1386"/>
      <c r="AU3" s="1387"/>
      <c r="AV3" s="1388"/>
      <c r="AW3" s="734"/>
    </row>
    <row r="4" spans="1:49">
      <c r="A4" s="735" t="s">
        <v>431</v>
      </c>
      <c r="B4" s="735" t="s">
        <v>432</v>
      </c>
      <c r="C4" s="735" t="s">
        <v>113</v>
      </c>
      <c r="D4" s="1389" t="s">
        <v>433</v>
      </c>
      <c r="E4" s="1390"/>
      <c r="F4" s="1391"/>
      <c r="G4" s="1389" t="s">
        <v>434</v>
      </c>
      <c r="H4" s="1390"/>
      <c r="I4" s="1391"/>
      <c r="J4" s="1389" t="s">
        <v>435</v>
      </c>
      <c r="K4" s="1390"/>
      <c r="L4" s="1391"/>
      <c r="M4" s="1389" t="s">
        <v>436</v>
      </c>
      <c r="N4" s="1390"/>
      <c r="O4" s="1391"/>
      <c r="P4" s="1389" t="s">
        <v>437</v>
      </c>
      <c r="Q4" s="1390"/>
      <c r="R4" s="1391"/>
      <c r="S4" s="1389" t="s">
        <v>438</v>
      </c>
      <c r="T4" s="1390"/>
      <c r="U4" s="1391"/>
      <c r="V4" s="1389" t="s">
        <v>439</v>
      </c>
      <c r="W4" s="1390"/>
      <c r="X4" s="1391"/>
      <c r="Y4" s="1389" t="s">
        <v>440</v>
      </c>
      <c r="Z4" s="1390"/>
      <c r="AA4" s="1391"/>
      <c r="AB4" s="1389" t="s">
        <v>441</v>
      </c>
      <c r="AC4" s="1390"/>
      <c r="AD4" s="1391"/>
      <c r="AE4" s="1389" t="s">
        <v>442</v>
      </c>
      <c r="AF4" s="1390"/>
      <c r="AG4" s="1390"/>
      <c r="AH4" s="1392" t="s">
        <v>443</v>
      </c>
      <c r="AI4" s="1390"/>
      <c r="AJ4" s="1390"/>
      <c r="AK4" s="1390"/>
      <c r="AL4" s="1390"/>
      <c r="AM4" s="1390"/>
      <c r="AN4" s="1390"/>
      <c r="AO4" s="1390"/>
      <c r="AP4" s="1390"/>
      <c r="AQ4" s="1390"/>
      <c r="AR4" s="863"/>
      <c r="AS4" s="863"/>
      <c r="AT4" s="1392" t="s">
        <v>232</v>
      </c>
      <c r="AU4" s="1390"/>
      <c r="AV4" s="1393"/>
      <c r="AW4" s="815" t="s">
        <v>126</v>
      </c>
    </row>
    <row r="5" spans="1:49">
      <c r="A5" s="736" t="s">
        <v>444</v>
      </c>
      <c r="B5" s="737"/>
      <c r="C5" s="737"/>
      <c r="D5" s="738" t="s">
        <v>209</v>
      </c>
      <c r="E5" s="738" t="s">
        <v>208</v>
      </c>
      <c r="F5" s="738" t="s">
        <v>210</v>
      </c>
      <c r="G5" s="738" t="s">
        <v>209</v>
      </c>
      <c r="H5" s="738" t="s">
        <v>208</v>
      </c>
      <c r="I5" s="738" t="s">
        <v>210</v>
      </c>
      <c r="J5" s="738" t="s">
        <v>209</v>
      </c>
      <c r="K5" s="738" t="s">
        <v>208</v>
      </c>
      <c r="L5" s="738" t="s">
        <v>210</v>
      </c>
      <c r="M5" s="738" t="s">
        <v>209</v>
      </c>
      <c r="N5" s="738" t="s">
        <v>208</v>
      </c>
      <c r="O5" s="738" t="s">
        <v>210</v>
      </c>
      <c r="P5" s="738" t="s">
        <v>209</v>
      </c>
      <c r="Q5" s="738" t="s">
        <v>208</v>
      </c>
      <c r="R5" s="738" t="s">
        <v>210</v>
      </c>
      <c r="S5" s="738" t="s">
        <v>209</v>
      </c>
      <c r="T5" s="738" t="s">
        <v>208</v>
      </c>
      <c r="U5" s="738" t="s">
        <v>210</v>
      </c>
      <c r="V5" s="738" t="s">
        <v>209</v>
      </c>
      <c r="W5" s="738" t="s">
        <v>208</v>
      </c>
      <c r="X5" s="738" t="s">
        <v>210</v>
      </c>
      <c r="Y5" s="738" t="s">
        <v>209</v>
      </c>
      <c r="Z5" s="738" t="s">
        <v>208</v>
      </c>
      <c r="AA5" s="738" t="s">
        <v>210</v>
      </c>
      <c r="AB5" s="738" t="s">
        <v>209</v>
      </c>
      <c r="AC5" s="738" t="s">
        <v>208</v>
      </c>
      <c r="AD5" s="738" t="s">
        <v>210</v>
      </c>
      <c r="AE5" s="738" t="s">
        <v>209</v>
      </c>
      <c r="AF5" s="738" t="s">
        <v>208</v>
      </c>
      <c r="AG5" s="738" t="s">
        <v>210</v>
      </c>
      <c r="AH5" s="1382" t="s">
        <v>209</v>
      </c>
      <c r="AI5" s="1383"/>
      <c r="AJ5" s="864"/>
      <c r="AK5" s="864"/>
      <c r="AL5" s="1383" t="s">
        <v>208</v>
      </c>
      <c r="AM5" s="1383"/>
      <c r="AN5" s="864"/>
      <c r="AO5" s="864"/>
      <c r="AP5" s="1383" t="s">
        <v>210</v>
      </c>
      <c r="AQ5" s="1383"/>
      <c r="AR5" s="864"/>
      <c r="AS5" s="864"/>
      <c r="AT5" s="816" t="s">
        <v>209</v>
      </c>
      <c r="AU5" s="739" t="s">
        <v>208</v>
      </c>
      <c r="AV5" s="740" t="s">
        <v>210</v>
      </c>
      <c r="AW5" s="741"/>
    </row>
    <row r="6" spans="1:49" ht="13.15" hidden="1" customHeight="1">
      <c r="A6" s="742" t="s">
        <v>445</v>
      </c>
      <c r="B6" s="742"/>
      <c r="C6" s="742" t="s">
        <v>85</v>
      </c>
      <c r="D6" s="743">
        <v>230000</v>
      </c>
      <c r="E6" s="743"/>
      <c r="F6" s="743"/>
      <c r="G6" s="743">
        <v>215000</v>
      </c>
      <c r="H6" s="743"/>
      <c r="I6" s="743"/>
      <c r="J6" s="743">
        <v>230000</v>
      </c>
      <c r="K6" s="743"/>
      <c r="L6" s="743"/>
      <c r="M6" s="743">
        <v>220000</v>
      </c>
      <c r="N6" s="743"/>
      <c r="O6" s="743"/>
      <c r="P6" s="743">
        <v>255000</v>
      </c>
      <c r="Q6" s="743"/>
      <c r="R6" s="743"/>
      <c r="S6" s="743">
        <v>290000</v>
      </c>
      <c r="T6" s="743"/>
      <c r="U6" s="743"/>
      <c r="V6" s="743">
        <v>375000</v>
      </c>
      <c r="W6" s="743"/>
      <c r="X6" s="743"/>
      <c r="Y6" s="743">
        <v>395000</v>
      </c>
      <c r="Z6" s="743"/>
      <c r="AA6" s="743"/>
      <c r="AB6" s="743">
        <v>365000</v>
      </c>
      <c r="AC6" s="743"/>
      <c r="AD6" s="743"/>
      <c r="AE6" s="743">
        <v>345000</v>
      </c>
      <c r="AF6" s="743"/>
      <c r="AG6" s="744"/>
      <c r="AH6" s="745"/>
      <c r="AI6" s="743"/>
      <c r="AJ6" s="743"/>
      <c r="AK6" s="743"/>
      <c r="AL6" s="743"/>
      <c r="AM6" s="743"/>
      <c r="AN6" s="743"/>
      <c r="AO6" s="743"/>
      <c r="AP6" s="743"/>
      <c r="AQ6" s="744"/>
      <c r="AR6" s="865"/>
      <c r="AS6" s="865"/>
      <c r="AT6" s="746"/>
      <c r="AU6" s="743"/>
      <c r="AV6" s="747"/>
      <c r="AW6" s="747">
        <f>SUM(D6:AG6)</f>
        <v>2920000</v>
      </c>
    </row>
    <row r="7" spans="1:49" ht="13.15" hidden="1" customHeight="1">
      <c r="A7" s="742" t="s">
        <v>446</v>
      </c>
      <c r="B7" s="742"/>
      <c r="C7" s="742" t="s">
        <v>447</v>
      </c>
      <c r="D7" s="743">
        <v>1183.07</v>
      </c>
      <c r="E7" s="743"/>
      <c r="F7" s="743"/>
      <c r="G7" s="743">
        <v>1238.07</v>
      </c>
      <c r="H7" s="743"/>
      <c r="I7" s="743"/>
      <c r="J7" s="743">
        <v>1205.3</v>
      </c>
      <c r="K7" s="743"/>
      <c r="L7" s="743"/>
      <c r="M7" s="743">
        <v>1248.1199999999999</v>
      </c>
      <c r="N7" s="743"/>
      <c r="O7" s="743"/>
      <c r="P7" s="743">
        <v>1362.91</v>
      </c>
      <c r="Q7" s="743"/>
      <c r="R7" s="743"/>
      <c r="S7" s="743">
        <v>1363.64</v>
      </c>
      <c r="T7" s="743"/>
      <c r="U7" s="743"/>
      <c r="V7" s="743">
        <v>1457.41</v>
      </c>
      <c r="W7" s="743"/>
      <c r="X7" s="743"/>
      <c r="Y7" s="743">
        <v>1701.29</v>
      </c>
      <c r="Z7" s="743"/>
      <c r="AA7" s="743"/>
      <c r="AB7" s="743">
        <v>1831.32</v>
      </c>
      <c r="AC7" s="743"/>
      <c r="AD7" s="743"/>
      <c r="AE7" s="743">
        <v>2081.19</v>
      </c>
      <c r="AF7" s="743"/>
      <c r="AG7" s="744"/>
      <c r="AH7" s="745"/>
      <c r="AI7" s="743"/>
      <c r="AJ7" s="743"/>
      <c r="AK7" s="743"/>
      <c r="AL7" s="743"/>
      <c r="AM7" s="743"/>
      <c r="AN7" s="743"/>
      <c r="AO7" s="743"/>
      <c r="AP7" s="743"/>
      <c r="AQ7" s="744"/>
      <c r="AR7" s="865"/>
      <c r="AS7" s="865"/>
      <c r="AT7" s="746"/>
      <c r="AU7" s="743"/>
      <c r="AV7" s="747"/>
      <c r="AW7" s="747">
        <f>SUMPRODUCT(D6:AG6,D7:AG7)/AW6</f>
        <v>1519.888647260274</v>
      </c>
    </row>
    <row r="8" spans="1:49" ht="13.15" hidden="1" customHeight="1">
      <c r="A8" s="748" t="s">
        <v>448</v>
      </c>
      <c r="B8" s="748"/>
      <c r="C8" s="748" t="s">
        <v>85</v>
      </c>
      <c r="D8" s="748">
        <v>300000</v>
      </c>
      <c r="E8" s="748"/>
      <c r="F8" s="748"/>
      <c r="G8" s="748">
        <v>250000</v>
      </c>
      <c r="H8" s="748"/>
      <c r="I8" s="748"/>
      <c r="J8" s="748">
        <v>300000</v>
      </c>
      <c r="K8" s="748"/>
      <c r="L8" s="748"/>
      <c r="M8" s="748">
        <v>350000</v>
      </c>
      <c r="N8" s="748"/>
      <c r="O8" s="748"/>
      <c r="P8" s="748">
        <v>400000</v>
      </c>
      <c r="Q8" s="748"/>
      <c r="R8" s="748"/>
      <c r="S8" s="748">
        <v>500000</v>
      </c>
      <c r="T8" s="748"/>
      <c r="U8" s="748"/>
      <c r="V8" s="748">
        <v>590000</v>
      </c>
      <c r="W8" s="748"/>
      <c r="X8" s="748"/>
      <c r="Y8" s="748">
        <v>570000</v>
      </c>
      <c r="Z8" s="748"/>
      <c r="AA8" s="748"/>
      <c r="AB8" s="748">
        <v>540000</v>
      </c>
      <c r="AC8" s="748"/>
      <c r="AD8" s="748"/>
      <c r="AE8" s="748">
        <v>500000</v>
      </c>
      <c r="AF8" s="748"/>
      <c r="AG8" s="749"/>
      <c r="AH8" s="750"/>
      <c r="AI8" s="748"/>
      <c r="AJ8" s="748"/>
      <c r="AK8" s="748"/>
      <c r="AL8" s="748"/>
      <c r="AM8" s="748"/>
      <c r="AN8" s="748"/>
      <c r="AO8" s="748"/>
      <c r="AP8" s="748"/>
      <c r="AQ8" s="749"/>
      <c r="AR8" s="866"/>
      <c r="AS8" s="866"/>
      <c r="AT8" s="751"/>
      <c r="AU8" s="748"/>
      <c r="AV8" s="752"/>
      <c r="AW8" s="752">
        <f>SUM(D8:AG8)</f>
        <v>4300000</v>
      </c>
    </row>
    <row r="9" spans="1:49" ht="13.15" hidden="1" customHeight="1">
      <c r="A9" s="748" t="s">
        <v>449</v>
      </c>
      <c r="B9" s="748"/>
      <c r="C9" s="748" t="s">
        <v>447</v>
      </c>
      <c r="D9" s="748" t="e">
        <f>#REF!</f>
        <v>#REF!</v>
      </c>
      <c r="E9" s="748"/>
      <c r="F9" s="748"/>
      <c r="G9" s="748" t="e">
        <f>#REF!</f>
        <v>#REF!</v>
      </c>
      <c r="H9" s="748"/>
      <c r="I9" s="748"/>
      <c r="J9" s="748" t="e">
        <f>#REF!</f>
        <v>#REF!</v>
      </c>
      <c r="K9" s="748"/>
      <c r="L9" s="748"/>
      <c r="M9" s="748" t="e">
        <f>#REF!</f>
        <v>#REF!</v>
      </c>
      <c r="N9" s="748"/>
      <c r="O9" s="748"/>
      <c r="P9" s="748" t="e">
        <f>#REF!</f>
        <v>#REF!</v>
      </c>
      <c r="Q9" s="748"/>
      <c r="R9" s="748"/>
      <c r="S9" s="748" t="e">
        <f>#REF!</f>
        <v>#REF!</v>
      </c>
      <c r="T9" s="748"/>
      <c r="U9" s="748"/>
      <c r="V9" s="748" t="e">
        <f>#REF!</f>
        <v>#REF!</v>
      </c>
      <c r="W9" s="748"/>
      <c r="X9" s="748"/>
      <c r="Y9" s="748" t="e">
        <f>#REF!</f>
        <v>#REF!</v>
      </c>
      <c r="Z9" s="748"/>
      <c r="AA9" s="748"/>
      <c r="AB9" s="748" t="e">
        <f>#REF!</f>
        <v>#REF!</v>
      </c>
      <c r="AC9" s="748"/>
      <c r="AD9" s="748"/>
      <c r="AE9" s="748" t="e">
        <f>#REF!</f>
        <v>#REF!</v>
      </c>
      <c r="AF9" s="748"/>
      <c r="AG9" s="749"/>
      <c r="AH9" s="750"/>
      <c r="AI9" s="748"/>
      <c r="AJ9" s="748"/>
      <c r="AK9" s="748"/>
      <c r="AL9" s="748"/>
      <c r="AM9" s="748"/>
      <c r="AN9" s="748"/>
      <c r="AO9" s="748"/>
      <c r="AP9" s="748"/>
      <c r="AQ9" s="749"/>
      <c r="AR9" s="866"/>
      <c r="AS9" s="866"/>
      <c r="AT9" s="751"/>
      <c r="AU9" s="748"/>
      <c r="AV9" s="752"/>
      <c r="AW9" s="752" t="e">
        <f>SUMPRODUCT(D8:AG8,D9:AG9)/AW8</f>
        <v>#REF!</v>
      </c>
    </row>
    <row r="10" spans="1:49" ht="13.15" hidden="1" customHeight="1">
      <c r="A10" s="742" t="s">
        <v>450</v>
      </c>
      <c r="B10" s="742"/>
      <c r="C10" s="742" t="s">
        <v>85</v>
      </c>
      <c r="D10" s="743">
        <v>0</v>
      </c>
      <c r="E10" s="743"/>
      <c r="F10" s="743"/>
      <c r="G10" s="743">
        <v>0</v>
      </c>
      <c r="H10" s="743"/>
      <c r="I10" s="743"/>
      <c r="J10" s="743">
        <v>0</v>
      </c>
      <c r="K10" s="743"/>
      <c r="L10" s="743"/>
      <c r="M10" s="743">
        <v>0</v>
      </c>
      <c r="N10" s="743"/>
      <c r="O10" s="743"/>
      <c r="P10" s="743">
        <v>0</v>
      </c>
      <c r="Q10" s="743"/>
      <c r="R10" s="743"/>
      <c r="S10" s="743">
        <v>0</v>
      </c>
      <c r="T10" s="743"/>
      <c r="U10" s="743"/>
      <c r="V10" s="743">
        <v>0</v>
      </c>
      <c r="W10" s="743"/>
      <c r="X10" s="743"/>
      <c r="Y10" s="743">
        <v>37000</v>
      </c>
      <c r="Z10" s="743"/>
      <c r="AA10" s="743"/>
      <c r="AB10" s="743">
        <v>64999.999999997599</v>
      </c>
      <c r="AC10" s="743"/>
      <c r="AD10" s="743"/>
      <c r="AE10" s="743">
        <v>69999.999999999796</v>
      </c>
      <c r="AF10" s="743"/>
      <c r="AG10" s="744"/>
      <c r="AH10" s="745"/>
      <c r="AI10" s="743"/>
      <c r="AJ10" s="743"/>
      <c r="AK10" s="743"/>
      <c r="AL10" s="743"/>
      <c r="AM10" s="743"/>
      <c r="AN10" s="743"/>
      <c r="AO10" s="743"/>
      <c r="AP10" s="743"/>
      <c r="AQ10" s="744"/>
      <c r="AR10" s="865"/>
      <c r="AS10" s="865"/>
      <c r="AT10" s="746"/>
      <c r="AU10" s="743"/>
      <c r="AV10" s="747"/>
      <c r="AW10" s="747">
        <f>SUM(D10:AG10)</f>
        <v>171999.99999999738</v>
      </c>
    </row>
    <row r="11" spans="1:49" ht="13.15" hidden="1" customHeight="1">
      <c r="A11" s="742" t="s">
        <v>451</v>
      </c>
      <c r="B11" s="742"/>
      <c r="C11" s="742" t="s">
        <v>452</v>
      </c>
      <c r="D11" s="743">
        <v>0</v>
      </c>
      <c r="E11" s="743"/>
      <c r="F11" s="743"/>
      <c r="G11" s="743">
        <v>0</v>
      </c>
      <c r="H11" s="743"/>
      <c r="I11" s="743"/>
      <c r="J11" s="743">
        <v>0</v>
      </c>
      <c r="K11" s="743"/>
      <c r="L11" s="743"/>
      <c r="M11" s="743">
        <v>0</v>
      </c>
      <c r="N11" s="743"/>
      <c r="O11" s="743"/>
      <c r="P11" s="743">
        <v>0</v>
      </c>
      <c r="Q11" s="743"/>
      <c r="R11" s="743"/>
      <c r="S11" s="743">
        <v>0</v>
      </c>
      <c r="T11" s="743"/>
      <c r="U11" s="743"/>
      <c r="V11" s="743">
        <v>85000</v>
      </c>
      <c r="W11" s="743"/>
      <c r="X11" s="743"/>
      <c r="Y11" s="743">
        <v>190000</v>
      </c>
      <c r="Z11" s="743"/>
      <c r="AA11" s="743"/>
      <c r="AB11" s="743">
        <v>200000</v>
      </c>
      <c r="AC11" s="743"/>
      <c r="AD11" s="743"/>
      <c r="AE11" s="743">
        <v>200000</v>
      </c>
      <c r="AF11" s="743"/>
      <c r="AG11" s="744"/>
      <c r="AH11" s="745"/>
      <c r="AI11" s="743"/>
      <c r="AJ11" s="743"/>
      <c r="AK11" s="743"/>
      <c r="AL11" s="743"/>
      <c r="AM11" s="743"/>
      <c r="AN11" s="743"/>
      <c r="AO11" s="743"/>
      <c r="AP11" s="743"/>
      <c r="AQ11" s="744"/>
      <c r="AR11" s="865"/>
      <c r="AS11" s="865"/>
      <c r="AT11" s="746"/>
      <c r="AU11" s="743"/>
      <c r="AV11" s="747"/>
      <c r="AW11" s="747">
        <f>SUM(D11:AG11)</f>
        <v>675000</v>
      </c>
    </row>
    <row r="12" spans="1:49" ht="13.15" hidden="1" customHeight="1">
      <c r="A12" s="742" t="s">
        <v>453</v>
      </c>
      <c r="B12" s="742"/>
      <c r="C12" s="742" t="s">
        <v>85</v>
      </c>
      <c r="D12" s="743">
        <v>0</v>
      </c>
      <c r="E12" s="743"/>
      <c r="F12" s="743"/>
      <c r="G12" s="743">
        <v>0</v>
      </c>
      <c r="H12" s="743"/>
      <c r="I12" s="743"/>
      <c r="J12" s="743">
        <v>0</v>
      </c>
      <c r="K12" s="743"/>
      <c r="L12" s="743"/>
      <c r="M12" s="743">
        <v>0</v>
      </c>
      <c r="N12" s="743"/>
      <c r="O12" s="743"/>
      <c r="P12" s="743">
        <v>0</v>
      </c>
      <c r="Q12" s="743"/>
      <c r="R12" s="743"/>
      <c r="S12" s="743">
        <v>0</v>
      </c>
      <c r="T12" s="743"/>
      <c r="U12" s="743"/>
      <c r="V12" s="743">
        <v>0</v>
      </c>
      <c r="W12" s="743"/>
      <c r="X12" s="743"/>
      <c r="Y12" s="743">
        <v>0</v>
      </c>
      <c r="Z12" s="743"/>
      <c r="AA12" s="743"/>
      <c r="AB12" s="743">
        <v>75000</v>
      </c>
      <c r="AC12" s="743"/>
      <c r="AD12" s="743"/>
      <c r="AE12" s="743">
        <v>75000</v>
      </c>
      <c r="AF12" s="743"/>
      <c r="AG12" s="744"/>
      <c r="AH12" s="745"/>
      <c r="AI12" s="743"/>
      <c r="AJ12" s="743"/>
      <c r="AK12" s="743"/>
      <c r="AL12" s="743"/>
      <c r="AM12" s="743"/>
      <c r="AN12" s="743"/>
      <c r="AO12" s="743"/>
      <c r="AP12" s="743"/>
      <c r="AQ12" s="744"/>
      <c r="AR12" s="865"/>
      <c r="AS12" s="865"/>
      <c r="AT12" s="746"/>
      <c r="AU12" s="743"/>
      <c r="AV12" s="747"/>
      <c r="AW12" s="747">
        <f>SUM(D12:AG12)</f>
        <v>150000</v>
      </c>
    </row>
    <row r="13" spans="1:49" ht="13.15" hidden="1" customHeight="1">
      <c r="A13" s="742" t="s">
        <v>454</v>
      </c>
      <c r="B13" s="742"/>
      <c r="C13" s="742" t="s">
        <v>85</v>
      </c>
      <c r="D13" s="743">
        <v>0</v>
      </c>
      <c r="E13" s="743"/>
      <c r="F13" s="743"/>
      <c r="G13" s="743">
        <v>0</v>
      </c>
      <c r="H13" s="743"/>
      <c r="I13" s="743"/>
      <c r="J13" s="743">
        <v>0</v>
      </c>
      <c r="K13" s="743"/>
      <c r="L13" s="743"/>
      <c r="M13" s="743">
        <v>0</v>
      </c>
      <c r="N13" s="743"/>
      <c r="O13" s="743"/>
      <c r="P13" s="743">
        <v>0</v>
      </c>
      <c r="Q13" s="743"/>
      <c r="R13" s="743"/>
      <c r="S13" s="743">
        <v>0</v>
      </c>
      <c r="T13" s="743"/>
      <c r="U13" s="743"/>
      <c r="V13" s="743">
        <v>0</v>
      </c>
      <c r="W13" s="743"/>
      <c r="X13" s="743"/>
      <c r="Y13" s="743">
        <v>0</v>
      </c>
      <c r="Z13" s="743"/>
      <c r="AA13" s="743"/>
      <c r="AB13" s="743">
        <v>0</v>
      </c>
      <c r="AC13" s="743"/>
      <c r="AD13" s="743"/>
      <c r="AE13" s="743">
        <v>0</v>
      </c>
      <c r="AF13" s="743"/>
      <c r="AG13" s="744"/>
      <c r="AH13" s="745"/>
      <c r="AI13" s="743"/>
      <c r="AJ13" s="743"/>
      <c r="AK13" s="743"/>
      <c r="AL13" s="743"/>
      <c r="AM13" s="743"/>
      <c r="AN13" s="743"/>
      <c r="AO13" s="743"/>
      <c r="AP13" s="743"/>
      <c r="AQ13" s="744"/>
      <c r="AR13" s="865"/>
      <c r="AS13" s="865"/>
      <c r="AT13" s="746"/>
      <c r="AU13" s="743"/>
      <c r="AV13" s="747"/>
      <c r="AW13" s="747">
        <f>SUM(D13:AG13)</f>
        <v>0</v>
      </c>
    </row>
    <row r="14" spans="1:49" ht="13.15" hidden="1" customHeight="1">
      <c r="A14" s="742" t="s">
        <v>455</v>
      </c>
      <c r="B14" s="742"/>
      <c r="C14" s="742" t="s">
        <v>456</v>
      </c>
      <c r="D14" s="743">
        <f>IF(D10=0,0,D6/D10)</f>
        <v>0</v>
      </c>
      <c r="E14" s="743"/>
      <c r="F14" s="743"/>
      <c r="G14" s="743">
        <f>IF(G10=0,0,G6/G10)</f>
        <v>0</v>
      </c>
      <c r="H14" s="743"/>
      <c r="I14" s="743"/>
      <c r="J14" s="743">
        <f>IF(J10=0,0,J6/J10)</f>
        <v>0</v>
      </c>
      <c r="K14" s="743"/>
      <c r="L14" s="743"/>
      <c r="M14" s="743">
        <f>IF(M10=0,0,M6/M10)</f>
        <v>0</v>
      </c>
      <c r="N14" s="743"/>
      <c r="O14" s="743"/>
      <c r="P14" s="743">
        <f>IF(P10=0,0,P6/P10)</f>
        <v>0</v>
      </c>
      <c r="Q14" s="743"/>
      <c r="R14" s="743"/>
      <c r="S14" s="743">
        <f>IF(S10=0,0,S6/S10)</f>
        <v>0</v>
      </c>
      <c r="T14" s="743"/>
      <c r="U14" s="743"/>
      <c r="V14" s="743">
        <f>IF(V10=0,0,V6/V10)</f>
        <v>0</v>
      </c>
      <c r="W14" s="743"/>
      <c r="X14" s="743"/>
      <c r="Y14" s="743">
        <f>IF(Y10=0,0,Y6/Y10)</f>
        <v>10.675675675675675</v>
      </c>
      <c r="Z14" s="743"/>
      <c r="AA14" s="743"/>
      <c r="AB14" s="743">
        <f>IF(AB10=0,0,AB6/AB10)</f>
        <v>5.6153846153848228</v>
      </c>
      <c r="AC14" s="743"/>
      <c r="AD14" s="743"/>
      <c r="AE14" s="743">
        <f>IF(AE10=0,0,AE6/AE10)</f>
        <v>4.928571428571443</v>
      </c>
      <c r="AF14" s="743"/>
      <c r="AG14" s="744"/>
      <c r="AH14" s="745"/>
      <c r="AI14" s="743"/>
      <c r="AJ14" s="743"/>
      <c r="AK14" s="743"/>
      <c r="AL14" s="743"/>
      <c r="AM14" s="743"/>
      <c r="AN14" s="743"/>
      <c r="AO14" s="743"/>
      <c r="AP14" s="743"/>
      <c r="AQ14" s="744"/>
      <c r="AR14" s="865"/>
      <c r="AS14" s="865"/>
      <c r="AT14" s="746"/>
      <c r="AU14" s="743"/>
      <c r="AV14" s="747"/>
      <c r="AW14" s="747">
        <f>IF(AW10=0,0,AW6/AW10)</f>
        <v>16.976744186046769</v>
      </c>
    </row>
    <row r="15" spans="1:49" ht="13.15" hidden="1" customHeight="1">
      <c r="A15" s="742" t="s">
        <v>457</v>
      </c>
      <c r="B15" s="742"/>
      <c r="C15" s="742" t="s">
        <v>456</v>
      </c>
      <c r="D15" s="743">
        <f>IF(D13=0,0,D6/D13)</f>
        <v>0</v>
      </c>
      <c r="E15" s="743"/>
      <c r="F15" s="743"/>
      <c r="G15" s="743">
        <f>IF(G13=0,0,G6/G13)</f>
        <v>0</v>
      </c>
      <c r="H15" s="743"/>
      <c r="I15" s="743"/>
      <c r="J15" s="743">
        <f>IF(J13=0,0,J6/J13)</f>
        <v>0</v>
      </c>
      <c r="K15" s="743"/>
      <c r="L15" s="743"/>
      <c r="M15" s="743">
        <f>IF(M13=0,0,M6/M13)</f>
        <v>0</v>
      </c>
      <c r="N15" s="743"/>
      <c r="O15" s="743"/>
      <c r="P15" s="743">
        <f>IF(P13=0,0,P6/P13)</f>
        <v>0</v>
      </c>
      <c r="Q15" s="743"/>
      <c r="R15" s="743"/>
      <c r="S15" s="743">
        <f>IF(S13=0,0,S6/S13)</f>
        <v>0</v>
      </c>
      <c r="T15" s="743"/>
      <c r="U15" s="743"/>
      <c r="V15" s="743">
        <f>IF(V13=0,0,V6/V13)</f>
        <v>0</v>
      </c>
      <c r="W15" s="743"/>
      <c r="X15" s="743"/>
      <c r="Y15" s="743">
        <f>IF(Y13=0,0,Y6/Y13)</f>
        <v>0</v>
      </c>
      <c r="Z15" s="743"/>
      <c r="AA15" s="743"/>
      <c r="AB15" s="743">
        <f>IF(AB13=0,0,AB6/AB13)</f>
        <v>0</v>
      </c>
      <c r="AC15" s="743"/>
      <c r="AD15" s="743"/>
      <c r="AE15" s="743">
        <f>IF(AE13=0,0,AE6/AE13)</f>
        <v>0</v>
      </c>
      <c r="AF15" s="743"/>
      <c r="AG15" s="744"/>
      <c r="AH15" s="745"/>
      <c r="AI15" s="743"/>
      <c r="AJ15" s="743"/>
      <c r="AK15" s="743"/>
      <c r="AL15" s="743"/>
      <c r="AM15" s="743"/>
      <c r="AN15" s="743"/>
      <c r="AO15" s="743"/>
      <c r="AP15" s="743"/>
      <c r="AQ15" s="744"/>
      <c r="AR15" s="928"/>
      <c r="AS15" s="928"/>
      <c r="AT15" s="753"/>
      <c r="AU15" s="754"/>
      <c r="AV15" s="852"/>
      <c r="AW15" s="747">
        <f>IF(AW13=0,0,AW6/AW13)</f>
        <v>0</v>
      </c>
    </row>
    <row r="16" spans="1:49">
      <c r="A16" s="736" t="s">
        <v>458</v>
      </c>
      <c r="B16" s="737"/>
      <c r="C16" s="737"/>
      <c r="D16" s="738"/>
      <c r="E16" s="738"/>
      <c r="F16" s="738"/>
      <c r="G16" s="738"/>
      <c r="H16" s="738"/>
      <c r="I16" s="738"/>
      <c r="J16" s="738"/>
      <c r="K16" s="738"/>
      <c r="L16" s="738"/>
      <c r="M16" s="738"/>
      <c r="N16" s="738"/>
      <c r="O16" s="738"/>
      <c r="P16" s="738"/>
      <c r="Q16" s="738"/>
      <c r="R16" s="738"/>
      <c r="S16" s="738"/>
      <c r="T16" s="738"/>
      <c r="U16" s="738"/>
      <c r="V16" s="738"/>
      <c r="W16" s="738"/>
      <c r="X16" s="738"/>
      <c r="Y16" s="738"/>
      <c r="Z16" s="738"/>
      <c r="AA16" s="738"/>
      <c r="AB16" s="738"/>
      <c r="AC16" s="738"/>
      <c r="AD16" s="738"/>
      <c r="AE16" s="738"/>
      <c r="AF16" s="738"/>
      <c r="AG16" s="738"/>
      <c r="AH16" s="755"/>
      <c r="AI16" s="738"/>
      <c r="AJ16" s="738"/>
      <c r="AK16" s="738"/>
      <c r="AL16" s="738"/>
      <c r="AM16" s="738"/>
      <c r="AN16" s="738"/>
      <c r="AO16" s="738"/>
      <c r="AP16" s="738"/>
      <c r="AQ16" s="738"/>
      <c r="AR16" s="757"/>
      <c r="AS16" s="757"/>
      <c r="AT16" s="756"/>
      <c r="AU16" s="757"/>
      <c r="AV16" s="758"/>
      <c r="AW16" s="741"/>
    </row>
    <row r="17" spans="1:49">
      <c r="A17" s="742" t="s">
        <v>459</v>
      </c>
      <c r="B17" s="742"/>
      <c r="C17" s="759" t="s">
        <v>85</v>
      </c>
      <c r="D17" s="760">
        <v>41.25467586517334</v>
      </c>
      <c r="E17" s="760"/>
      <c r="F17" s="760">
        <v>786.41644287109375</v>
      </c>
      <c r="G17" s="760">
        <v>8443.7954406738281</v>
      </c>
      <c r="H17" s="760">
        <v>253.25772094726563</v>
      </c>
      <c r="I17" s="760">
        <v>11012.853881835938</v>
      </c>
      <c r="J17" s="760">
        <v>27898.5615234375</v>
      </c>
      <c r="K17" s="760">
        <v>3563.9980182647705</v>
      </c>
      <c r="L17" s="760">
        <v>22556.305149078369</v>
      </c>
      <c r="M17" s="760">
        <v>12851.991577148438</v>
      </c>
      <c r="N17" s="760">
        <v>5043.040283203125</v>
      </c>
      <c r="O17" s="760">
        <v>34421.875</v>
      </c>
      <c r="P17" s="760">
        <v>28755.70263671875</v>
      </c>
      <c r="Q17" s="760">
        <v>12664.288452148438</v>
      </c>
      <c r="R17" s="760">
        <v>49035.50390625</v>
      </c>
      <c r="S17" s="760">
        <v>43304.5615234375</v>
      </c>
      <c r="T17" s="760">
        <v>15865.309753417969</v>
      </c>
      <c r="U17" s="760">
        <v>66993.125</v>
      </c>
      <c r="V17" s="760">
        <v>95794.3203125</v>
      </c>
      <c r="W17" s="760">
        <v>22366.7578125</v>
      </c>
      <c r="X17" s="760">
        <v>74004.375</v>
      </c>
      <c r="Y17" s="760">
        <v>70194.8046875</v>
      </c>
      <c r="Z17" s="760">
        <v>29433.234375</v>
      </c>
      <c r="AA17" s="760">
        <v>33170.98046875</v>
      </c>
      <c r="AB17" s="760">
        <v>70194.8046875</v>
      </c>
      <c r="AC17" s="760">
        <v>29433.234375</v>
      </c>
      <c r="AD17" s="760">
        <v>33170.98046875</v>
      </c>
      <c r="AE17" s="760">
        <v>2524.28955078125</v>
      </c>
      <c r="AF17" s="760">
        <v>2271.705322265625</v>
      </c>
      <c r="AG17" s="761">
        <v>0</v>
      </c>
      <c r="AH17" s="762"/>
      <c r="AI17" s="760"/>
      <c r="AJ17" s="760"/>
      <c r="AK17" s="760"/>
      <c r="AL17" s="760"/>
      <c r="AM17" s="760"/>
      <c r="AN17" s="760"/>
      <c r="AO17" s="760"/>
      <c r="AP17" s="760"/>
      <c r="AQ17" s="761"/>
      <c r="AR17" s="867"/>
      <c r="AS17" s="867"/>
      <c r="AT17" s="762"/>
      <c r="AU17" s="760"/>
      <c r="AV17" s="763"/>
      <c r="AW17" s="764">
        <f>SUM(D17:AG17)</f>
        <v>806051.32804584503</v>
      </c>
    </row>
    <row r="18" spans="1:49">
      <c r="A18" s="742" t="s">
        <v>460</v>
      </c>
      <c r="B18" s="742"/>
      <c r="C18" s="759" t="s">
        <v>461</v>
      </c>
      <c r="D18" s="760">
        <v>4627.460693359375</v>
      </c>
      <c r="E18" s="760"/>
      <c r="F18" s="760">
        <v>4309.6787109375</v>
      </c>
      <c r="G18" s="760">
        <v>4813.30810546875</v>
      </c>
      <c r="H18" s="760">
        <v>4334.764404296875</v>
      </c>
      <c r="I18" s="760">
        <v>4276.688232421875</v>
      </c>
      <c r="J18" s="760">
        <v>4816.59423828125</v>
      </c>
      <c r="K18" s="760">
        <v>4383.390625</v>
      </c>
      <c r="L18" s="760">
        <v>4563.821044921875</v>
      </c>
      <c r="M18" s="760">
        <v>4801.04931640625</v>
      </c>
      <c r="N18" s="760">
        <v>4599.13525390625</v>
      </c>
      <c r="O18" s="760">
        <v>4807.71826171875</v>
      </c>
      <c r="P18" s="760">
        <v>4635.0439453125</v>
      </c>
      <c r="Q18" s="760">
        <v>4426.820068359375</v>
      </c>
      <c r="R18" s="760">
        <v>4582.828125</v>
      </c>
      <c r="S18" s="760">
        <v>4572.470703125</v>
      </c>
      <c r="T18" s="760">
        <v>4405.77734375</v>
      </c>
      <c r="U18" s="760">
        <v>4452.82763671875</v>
      </c>
      <c r="V18" s="760">
        <v>4385.88232421875</v>
      </c>
      <c r="W18" s="760">
        <v>4444.80810546875</v>
      </c>
      <c r="X18" s="760">
        <v>4287.044921875</v>
      </c>
      <c r="Y18" s="760">
        <v>4280.3125</v>
      </c>
      <c r="Z18" s="760">
        <v>4344.724609375</v>
      </c>
      <c r="AA18" s="760">
        <v>4338.39453125</v>
      </c>
      <c r="AB18" s="760">
        <v>4280.3125</v>
      </c>
      <c r="AC18" s="760">
        <v>4344.724609375</v>
      </c>
      <c r="AD18" s="760">
        <v>4338.39453125</v>
      </c>
      <c r="AE18" s="760">
        <v>4351.2998046875</v>
      </c>
      <c r="AF18" s="760">
        <v>4324.11083984375</v>
      </c>
      <c r="AG18" s="761">
        <v>0</v>
      </c>
      <c r="AH18" s="762"/>
      <c r="AI18" s="760"/>
      <c r="AJ18" s="760"/>
      <c r="AK18" s="760"/>
      <c r="AL18" s="760"/>
      <c r="AM18" s="760"/>
      <c r="AN18" s="760"/>
      <c r="AO18" s="760"/>
      <c r="AP18" s="760"/>
      <c r="AQ18" s="761"/>
      <c r="AR18" s="867"/>
      <c r="AS18" s="867"/>
      <c r="AT18" s="765"/>
      <c r="AU18" s="760"/>
      <c r="AV18" s="764"/>
      <c r="AW18" s="764"/>
    </row>
    <row r="19" spans="1:49" s="875" customFormat="1">
      <c r="A19" s="868" t="s">
        <v>462</v>
      </c>
      <c r="B19" s="868"/>
      <c r="C19" s="868" t="s">
        <v>461</v>
      </c>
      <c r="D19" s="869">
        <v>4060.99365234375</v>
      </c>
      <c r="E19" s="869"/>
      <c r="F19" s="869">
        <v>3703.010498046875</v>
      </c>
      <c r="G19" s="869">
        <v>4249.512451171875</v>
      </c>
      <c r="H19" s="869">
        <v>3581.5399169921875</v>
      </c>
      <c r="I19" s="869">
        <v>3773.1361083984375</v>
      </c>
      <c r="J19" s="869">
        <v>4191.3370361328125</v>
      </c>
      <c r="K19" s="869">
        <v>3645.114013671875</v>
      </c>
      <c r="L19" s="869">
        <v>3808.4456787109375</v>
      </c>
      <c r="M19" s="869">
        <v>3952.1885986328125</v>
      </c>
      <c r="N19" s="869">
        <v>3752.2564697265625</v>
      </c>
      <c r="O19" s="869">
        <v>3838.6923828125</v>
      </c>
      <c r="P19" s="869">
        <v>3885.462646484375</v>
      </c>
      <c r="Q19" s="869">
        <v>3742.4849853515625</v>
      </c>
      <c r="R19" s="869">
        <v>3819.82666015625</v>
      </c>
      <c r="S19" s="869">
        <v>3845.1129150390625</v>
      </c>
      <c r="T19" s="869">
        <v>3668.451171875</v>
      </c>
      <c r="U19" s="869">
        <v>3791.708251953125</v>
      </c>
      <c r="V19" s="869">
        <v>3672.816650390625</v>
      </c>
      <c r="W19" s="869">
        <v>3624.001708984375</v>
      </c>
      <c r="X19" s="869">
        <v>3631.414306640625</v>
      </c>
      <c r="Y19" s="869">
        <v>3650.5751953125</v>
      </c>
      <c r="Z19" s="869">
        <v>3597.056396484375</v>
      </c>
      <c r="AA19" s="869">
        <v>3679.520263671875</v>
      </c>
      <c r="AB19" s="869">
        <v>3650.5751953125</v>
      </c>
      <c r="AC19" s="869">
        <v>3597.056396484375</v>
      </c>
      <c r="AD19" s="869">
        <v>3679.520263671875</v>
      </c>
      <c r="AE19" s="869">
        <v>3817.045654296875</v>
      </c>
      <c r="AF19" s="869">
        <v>3607.2958984375</v>
      </c>
      <c r="AG19" s="870">
        <v>0</v>
      </c>
      <c r="AH19" s="871"/>
      <c r="AI19" s="869"/>
      <c r="AJ19" s="869"/>
      <c r="AK19" s="869"/>
      <c r="AL19" s="869"/>
      <c r="AM19" s="869"/>
      <c r="AN19" s="869"/>
      <c r="AO19" s="869"/>
      <c r="AP19" s="869"/>
      <c r="AQ19" s="870"/>
      <c r="AR19" s="872"/>
      <c r="AS19" s="872"/>
      <c r="AT19" s="873"/>
      <c r="AU19" s="869"/>
      <c r="AV19" s="874"/>
      <c r="AW19" s="874"/>
    </row>
    <row r="20" spans="1:49">
      <c r="A20" s="742" t="s">
        <v>420</v>
      </c>
      <c r="B20" s="742"/>
      <c r="C20" s="759" t="s">
        <v>463</v>
      </c>
      <c r="D20" s="760">
        <v>0.1056552566587925</v>
      </c>
      <c r="E20" s="760"/>
      <c r="F20" s="760">
        <v>0.1346127837896347</v>
      </c>
      <c r="G20" s="760">
        <v>0.11929383128881454</v>
      </c>
      <c r="H20" s="760">
        <v>0.15766575187444687</v>
      </c>
      <c r="I20" s="760">
        <v>0.13212698698043823</v>
      </c>
      <c r="J20" s="760">
        <v>0.11438345164060593</v>
      </c>
      <c r="K20" s="760">
        <v>0.16383859515190125</v>
      </c>
      <c r="L20" s="760">
        <v>0.14427722990512848</v>
      </c>
      <c r="M20" s="760">
        <v>0.11279426142573357</v>
      </c>
      <c r="N20" s="760">
        <v>0.1939636692404747</v>
      </c>
      <c r="O20" s="760">
        <v>0.16022680699825287</v>
      </c>
      <c r="P20" s="760">
        <v>0.110183946788311</v>
      </c>
      <c r="Q20" s="760">
        <v>0.22006995975971222</v>
      </c>
      <c r="R20" s="760">
        <v>0.14832572638988495</v>
      </c>
      <c r="S20" s="760">
        <v>0.11719160154461861</v>
      </c>
      <c r="T20" s="760">
        <v>0.19198840856552124</v>
      </c>
      <c r="U20" s="760">
        <v>0.14260807633399963</v>
      </c>
      <c r="V20" s="760">
        <v>0.11386600881814957</v>
      </c>
      <c r="W20" s="760">
        <v>0.1719403862953186</v>
      </c>
      <c r="X20" s="760">
        <v>0.1398918479681015</v>
      </c>
      <c r="Y20" s="760">
        <v>9.029320627450943E-2</v>
      </c>
      <c r="Z20" s="760">
        <v>0.16780418157577515</v>
      </c>
      <c r="AA20" s="760">
        <v>0.136100172996521</v>
      </c>
      <c r="AB20" s="760">
        <v>9.029320627450943E-2</v>
      </c>
      <c r="AC20" s="760">
        <v>0.16780418157577515</v>
      </c>
      <c r="AD20" s="760">
        <v>0.136100172996521</v>
      </c>
      <c r="AE20" s="760">
        <v>0.11249123513698578</v>
      </c>
      <c r="AF20" s="760">
        <v>0.17888084053993225</v>
      </c>
      <c r="AG20" s="761">
        <v>0</v>
      </c>
      <c r="AH20" s="762"/>
      <c r="AI20" s="760"/>
      <c r="AJ20" s="760"/>
      <c r="AK20" s="760"/>
      <c r="AL20" s="760"/>
      <c r="AM20" s="760"/>
      <c r="AN20" s="760"/>
      <c r="AO20" s="760"/>
      <c r="AP20" s="760"/>
      <c r="AQ20" s="761"/>
      <c r="AR20" s="867"/>
      <c r="AS20" s="867"/>
      <c r="AT20" s="765"/>
      <c r="AU20" s="760"/>
      <c r="AV20" s="764"/>
      <c r="AW20" s="764"/>
    </row>
    <row r="21" spans="1:49" s="875" customFormat="1">
      <c r="A21" s="868" t="s">
        <v>464</v>
      </c>
      <c r="B21" s="868"/>
      <c r="C21" s="868" t="s">
        <v>463</v>
      </c>
      <c r="D21" s="869">
        <v>6.0029177665710449</v>
      </c>
      <c r="E21" s="869"/>
      <c r="F21" s="869">
        <v>7.9580354690551758</v>
      </c>
      <c r="G21" s="869">
        <v>5.2232666015625</v>
      </c>
      <c r="H21" s="869">
        <v>12.717741966247559</v>
      </c>
      <c r="I21" s="869">
        <v>7.2856831550598145</v>
      </c>
      <c r="J21" s="869">
        <v>4.6758601665496826</v>
      </c>
      <c r="K21" s="869">
        <v>11.651052474975586</v>
      </c>
      <c r="L21" s="869">
        <v>7.0446691513061523</v>
      </c>
      <c r="M21" s="869">
        <v>5.6655375957489014</v>
      </c>
      <c r="N21" s="869">
        <v>9.7560925483703613</v>
      </c>
      <c r="O21" s="869">
        <v>7.353703498840332</v>
      </c>
      <c r="P21" s="869">
        <v>6.1128432750701904</v>
      </c>
      <c r="Q21" s="869">
        <v>10.884055614471436</v>
      </c>
      <c r="R21" s="869">
        <v>7.0677318572998047</v>
      </c>
      <c r="S21" s="869">
        <v>6.8337085247039795</v>
      </c>
      <c r="T21" s="869">
        <v>11.838062763214111</v>
      </c>
      <c r="U21" s="869">
        <v>7.1375036239624023</v>
      </c>
      <c r="V21" s="869">
        <v>8.9307069778442383</v>
      </c>
      <c r="W21" s="869">
        <v>11.624541282653809</v>
      </c>
      <c r="X21" s="869">
        <v>8.9272832870483398</v>
      </c>
      <c r="Y21" s="869">
        <v>8.7291669845581055</v>
      </c>
      <c r="Z21" s="869">
        <v>11.979596138000488</v>
      </c>
      <c r="AA21" s="869">
        <v>9.6160745620727539</v>
      </c>
      <c r="AB21" s="869">
        <v>8.7291669845581055</v>
      </c>
      <c r="AC21" s="869">
        <v>11.979596138000488</v>
      </c>
      <c r="AD21" s="869">
        <v>9.6160745620727539</v>
      </c>
      <c r="AE21" s="869">
        <v>7.3100566864013672</v>
      </c>
      <c r="AF21" s="869">
        <v>11.796771049499512</v>
      </c>
      <c r="AG21" s="870">
        <v>0</v>
      </c>
      <c r="AH21" s="871"/>
      <c r="AI21" s="869"/>
      <c r="AJ21" s="869"/>
      <c r="AK21" s="869"/>
      <c r="AL21" s="869"/>
      <c r="AM21" s="869"/>
      <c r="AN21" s="869"/>
      <c r="AO21" s="869"/>
      <c r="AP21" s="869"/>
      <c r="AQ21" s="870"/>
      <c r="AR21" s="872"/>
      <c r="AS21" s="872"/>
      <c r="AT21" s="873"/>
      <c r="AU21" s="869"/>
      <c r="AV21" s="874"/>
      <c r="AW21" s="874"/>
    </row>
    <row r="22" spans="1:49" s="875" customFormat="1">
      <c r="A22" s="868" t="s">
        <v>416</v>
      </c>
      <c r="B22" s="868"/>
      <c r="C22" s="869" t="s">
        <v>463</v>
      </c>
      <c r="D22" s="869">
        <v>38.028486251831055</v>
      </c>
      <c r="E22" s="869"/>
      <c r="F22" s="869">
        <v>37.671970367431641</v>
      </c>
      <c r="G22" s="869">
        <v>37.00830078125</v>
      </c>
      <c r="H22" s="869">
        <v>36.855377197265625</v>
      </c>
      <c r="I22" s="869">
        <v>37.073808670043945</v>
      </c>
      <c r="J22" s="869">
        <v>37.775630950927734</v>
      </c>
      <c r="K22" s="869">
        <v>36.946756362915039</v>
      </c>
      <c r="L22" s="869">
        <v>37.931100845336914</v>
      </c>
      <c r="M22" s="869">
        <v>38.425008773803711</v>
      </c>
      <c r="N22" s="869">
        <v>37.276157379150391</v>
      </c>
      <c r="O22" s="869">
        <v>37.957649230957031</v>
      </c>
      <c r="P22" s="869">
        <v>38.434902191162109</v>
      </c>
      <c r="Q22" s="869">
        <v>36.532934188842773</v>
      </c>
      <c r="R22" s="869">
        <v>38.605861663818359</v>
      </c>
      <c r="S22" s="869">
        <v>38.119588851928711</v>
      </c>
      <c r="T22" s="869">
        <v>36.523611068725586</v>
      </c>
      <c r="U22" s="869">
        <v>38.886619567871094</v>
      </c>
      <c r="V22" s="869">
        <v>37.687946319580078</v>
      </c>
      <c r="W22" s="869">
        <v>37.029930114746094</v>
      </c>
      <c r="X22" s="869">
        <v>38.726348876953125</v>
      </c>
      <c r="Y22" s="869">
        <v>37.757518768310547</v>
      </c>
      <c r="Z22" s="869">
        <v>36.866626739501953</v>
      </c>
      <c r="AA22" s="869">
        <v>37.91650390625</v>
      </c>
      <c r="AB22" s="869">
        <v>37.757518768310547</v>
      </c>
      <c r="AC22" s="869">
        <v>36.866626739501953</v>
      </c>
      <c r="AD22" s="869">
        <v>37.91650390625</v>
      </c>
      <c r="AE22" s="869">
        <v>37.535720825195313</v>
      </c>
      <c r="AF22" s="869">
        <v>36.702125549316406</v>
      </c>
      <c r="AG22" s="870">
        <v>0</v>
      </c>
      <c r="AH22" s="871"/>
      <c r="AI22" s="869"/>
      <c r="AJ22" s="869"/>
      <c r="AK22" s="869"/>
      <c r="AL22" s="869"/>
      <c r="AM22" s="869"/>
      <c r="AN22" s="869"/>
      <c r="AO22" s="869"/>
      <c r="AP22" s="869"/>
      <c r="AQ22" s="870"/>
      <c r="AR22" s="872"/>
      <c r="AS22" s="872"/>
      <c r="AT22" s="873"/>
      <c r="AU22" s="869"/>
      <c r="AV22" s="874"/>
      <c r="AW22" s="874">
        <f>SUMPRODUCT(D17:AG17,D22:AG22)/AW17</f>
        <v>37.90843986486135</v>
      </c>
    </row>
    <row r="23" spans="1:49">
      <c r="A23" s="742" t="s">
        <v>465</v>
      </c>
      <c r="B23" s="742"/>
      <c r="C23" s="760" t="s">
        <v>463</v>
      </c>
      <c r="D23" s="760">
        <v>29.250510215759277</v>
      </c>
      <c r="E23" s="760"/>
      <c r="F23" s="760">
        <v>27.711980819702148</v>
      </c>
      <c r="G23" s="760">
        <v>28.495513916015625</v>
      </c>
      <c r="H23" s="760">
        <v>23.58997631072998</v>
      </c>
      <c r="I23" s="760">
        <v>28.815773010253906</v>
      </c>
      <c r="J23" s="760">
        <v>28.307958602905273</v>
      </c>
      <c r="K23" s="760">
        <v>24.122374534606934</v>
      </c>
      <c r="L23" s="760">
        <v>25.785683631896973</v>
      </c>
      <c r="M23" s="760">
        <v>25.16157341003418</v>
      </c>
      <c r="N23" s="760">
        <v>23.149131774902344</v>
      </c>
      <c r="O23" s="760">
        <v>22.446985244750977</v>
      </c>
      <c r="P23" s="760">
        <v>26.611220359802246</v>
      </c>
      <c r="Q23" s="760">
        <v>24.960892677307129</v>
      </c>
      <c r="R23" s="760">
        <v>26.412843704223633</v>
      </c>
      <c r="S23" s="760">
        <v>26.482247352600098</v>
      </c>
      <c r="T23" s="760">
        <v>23.786274909973145</v>
      </c>
      <c r="U23" s="760">
        <v>28.298345565795898</v>
      </c>
      <c r="V23" s="760">
        <v>25.875955581665039</v>
      </c>
      <c r="W23" s="760">
        <v>22.734758377075195</v>
      </c>
      <c r="X23" s="760">
        <v>27.863252639770508</v>
      </c>
      <c r="Y23" s="760">
        <v>27.252420425415039</v>
      </c>
      <c r="Z23" s="760">
        <v>23.772018432617188</v>
      </c>
      <c r="AA23" s="760">
        <v>26.967010498046875</v>
      </c>
      <c r="AB23" s="760">
        <v>27.252420425415039</v>
      </c>
      <c r="AC23" s="760">
        <v>23.772018432617188</v>
      </c>
      <c r="AD23" s="760">
        <v>26.967010498046875</v>
      </c>
      <c r="AE23" s="760">
        <v>28.867856979370117</v>
      </c>
      <c r="AF23" s="760">
        <v>24.237470626831055</v>
      </c>
      <c r="AG23" s="761">
        <v>0</v>
      </c>
      <c r="AH23" s="762"/>
      <c r="AI23" s="760"/>
      <c r="AJ23" s="760"/>
      <c r="AK23" s="760"/>
      <c r="AL23" s="760"/>
      <c r="AM23" s="760"/>
      <c r="AN23" s="760"/>
      <c r="AO23" s="760"/>
      <c r="AP23" s="760"/>
      <c r="AQ23" s="761"/>
      <c r="AR23" s="867"/>
      <c r="AS23" s="867"/>
      <c r="AT23" s="765"/>
      <c r="AU23" s="760"/>
      <c r="AV23" s="764"/>
      <c r="AW23" s="764"/>
    </row>
    <row r="24" spans="1:49">
      <c r="A24" s="742" t="s">
        <v>419</v>
      </c>
      <c r="B24" s="742"/>
      <c r="C24" s="760" t="s">
        <v>463</v>
      </c>
      <c r="D24" s="760">
        <v>36.784984588623047</v>
      </c>
      <c r="E24" s="760"/>
      <c r="F24" s="760">
        <v>36.875621795654297</v>
      </c>
      <c r="G24" s="760">
        <v>37.09141731262207</v>
      </c>
      <c r="H24" s="760">
        <v>35.197698593139648</v>
      </c>
      <c r="I24" s="760">
        <v>36.548915863037109</v>
      </c>
      <c r="J24" s="760">
        <v>37.184999465942383</v>
      </c>
      <c r="K24" s="760">
        <v>35.40141487121582</v>
      </c>
      <c r="L24" s="760">
        <v>37.883380889892578</v>
      </c>
      <c r="M24" s="760">
        <v>38.067953109741211</v>
      </c>
      <c r="N24" s="760">
        <v>36.745702743530273</v>
      </c>
      <c r="O24" s="760">
        <v>39.065170288085938</v>
      </c>
      <c r="P24" s="760">
        <v>37.512180328369141</v>
      </c>
      <c r="Q24" s="760">
        <v>36.42683219909668</v>
      </c>
      <c r="R24" s="760">
        <v>37.768016815185547</v>
      </c>
      <c r="S24" s="760">
        <v>37.409595489501953</v>
      </c>
      <c r="T24" s="760">
        <v>36.269355773925781</v>
      </c>
      <c r="U24" s="760">
        <v>37.175022125244141</v>
      </c>
      <c r="V24" s="760">
        <v>36.646259307861328</v>
      </c>
      <c r="W24" s="760">
        <v>36.743991851806641</v>
      </c>
      <c r="X24" s="760">
        <v>37.020408630371094</v>
      </c>
      <c r="Y24" s="760">
        <v>36.197654724121094</v>
      </c>
      <c r="Z24" s="760">
        <v>36.8739013671875</v>
      </c>
      <c r="AA24" s="760">
        <v>37.516735076904297</v>
      </c>
      <c r="AB24" s="760">
        <v>36.197654724121094</v>
      </c>
      <c r="AC24" s="760">
        <v>36.8739013671875</v>
      </c>
      <c r="AD24" s="760">
        <v>37.516735076904297</v>
      </c>
      <c r="AE24" s="760">
        <v>36.288471221923828</v>
      </c>
      <c r="AF24" s="760">
        <v>36.717521667480469</v>
      </c>
      <c r="AG24" s="761">
        <v>0</v>
      </c>
      <c r="AH24" s="762"/>
      <c r="AI24" s="760"/>
      <c r="AJ24" s="760"/>
      <c r="AK24" s="760"/>
      <c r="AL24" s="760"/>
      <c r="AM24" s="760"/>
      <c r="AN24" s="760"/>
      <c r="AO24" s="760"/>
      <c r="AP24" s="760"/>
      <c r="AQ24" s="761"/>
      <c r="AR24" s="867"/>
      <c r="AS24" s="867"/>
      <c r="AT24" s="765"/>
      <c r="AU24" s="760"/>
      <c r="AV24" s="764"/>
      <c r="AW24" s="764"/>
    </row>
    <row r="25" spans="1:49" ht="13.15" hidden="1" customHeight="1">
      <c r="A25" s="743" t="s">
        <v>420</v>
      </c>
      <c r="B25" s="743"/>
      <c r="C25" s="742" t="s">
        <v>463</v>
      </c>
      <c r="D25" s="743"/>
      <c r="E25" s="743"/>
      <c r="F25" s="743"/>
      <c r="G25" s="743"/>
      <c r="H25" s="743"/>
      <c r="I25" s="743"/>
      <c r="J25" s="743"/>
      <c r="K25" s="743"/>
      <c r="L25" s="743"/>
      <c r="M25" s="743"/>
      <c r="N25" s="743"/>
      <c r="O25" s="743"/>
      <c r="P25" s="743"/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3"/>
      <c r="AD25" s="743"/>
      <c r="AE25" s="743"/>
      <c r="AF25" s="743"/>
      <c r="AG25" s="744"/>
      <c r="AH25" s="766"/>
      <c r="AI25" s="767"/>
      <c r="AJ25" s="767"/>
      <c r="AK25" s="767"/>
      <c r="AL25" s="767"/>
      <c r="AM25" s="767"/>
      <c r="AN25" s="767"/>
      <c r="AO25" s="767"/>
      <c r="AP25" s="767"/>
      <c r="AQ25" s="767"/>
      <c r="AR25" s="767"/>
      <c r="AS25" s="767"/>
      <c r="AT25" s="766"/>
      <c r="AU25" s="767"/>
      <c r="AV25" s="768"/>
      <c r="AW25" s="768"/>
    </row>
    <row r="26" spans="1:49" ht="13.15" hidden="1" customHeight="1">
      <c r="A26" s="743" t="s">
        <v>464</v>
      </c>
      <c r="B26" s="743"/>
      <c r="C26" s="742" t="s">
        <v>463</v>
      </c>
      <c r="D26" s="743"/>
      <c r="E26" s="743"/>
      <c r="F26" s="743"/>
      <c r="G26" s="743"/>
      <c r="H26" s="743"/>
      <c r="I26" s="743"/>
      <c r="J26" s="743"/>
      <c r="K26" s="743"/>
      <c r="L26" s="743"/>
      <c r="M26" s="743"/>
      <c r="N26" s="743"/>
      <c r="O26" s="743"/>
      <c r="P26" s="743"/>
      <c r="Q26" s="743"/>
      <c r="R26" s="743"/>
      <c r="S26" s="743"/>
      <c r="T26" s="743"/>
      <c r="U26" s="743"/>
      <c r="V26" s="743"/>
      <c r="W26" s="743"/>
      <c r="X26" s="743"/>
      <c r="Y26" s="743"/>
      <c r="Z26" s="743"/>
      <c r="AA26" s="743"/>
      <c r="AB26" s="743"/>
      <c r="AC26" s="743"/>
      <c r="AD26" s="743"/>
      <c r="AE26" s="743"/>
      <c r="AF26" s="743"/>
      <c r="AG26" s="744"/>
      <c r="AH26" s="766"/>
      <c r="AI26" s="767"/>
      <c r="AJ26" s="767"/>
      <c r="AK26" s="767"/>
      <c r="AL26" s="767"/>
      <c r="AM26" s="767"/>
      <c r="AN26" s="767"/>
      <c r="AO26" s="767"/>
      <c r="AP26" s="767"/>
      <c r="AQ26" s="767"/>
      <c r="AR26" s="767"/>
      <c r="AS26" s="767"/>
      <c r="AT26" s="766"/>
      <c r="AU26" s="767"/>
      <c r="AV26" s="768"/>
      <c r="AW26" s="768"/>
    </row>
    <row r="27" spans="1:49" ht="13.15" hidden="1" customHeight="1">
      <c r="A27" s="743" t="s">
        <v>466</v>
      </c>
      <c r="B27" s="743"/>
      <c r="C27" s="742" t="s">
        <v>463</v>
      </c>
      <c r="D27" s="743"/>
      <c r="E27" s="743"/>
      <c r="F27" s="743"/>
      <c r="G27" s="743"/>
      <c r="H27" s="743"/>
      <c r="I27" s="743"/>
      <c r="J27" s="743"/>
      <c r="K27" s="743"/>
      <c r="L27" s="743"/>
      <c r="M27" s="743"/>
      <c r="N27" s="743"/>
      <c r="O27" s="743"/>
      <c r="P27" s="743"/>
      <c r="Q27" s="743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4"/>
      <c r="AH27" s="766"/>
      <c r="AI27" s="767"/>
      <c r="AJ27" s="767"/>
      <c r="AK27" s="767"/>
      <c r="AL27" s="767"/>
      <c r="AM27" s="767"/>
      <c r="AN27" s="767"/>
      <c r="AO27" s="767"/>
      <c r="AP27" s="767"/>
      <c r="AQ27" s="767"/>
      <c r="AR27" s="767"/>
      <c r="AS27" s="767"/>
      <c r="AT27" s="766"/>
      <c r="AU27" s="767"/>
      <c r="AV27" s="768"/>
      <c r="AW27" s="768"/>
    </row>
    <row r="28" spans="1:49" ht="13.15" hidden="1" customHeight="1">
      <c r="A28" s="743" t="s">
        <v>416</v>
      </c>
      <c r="B28" s="743"/>
      <c r="C28" s="742" t="s">
        <v>463</v>
      </c>
      <c r="D28" s="743"/>
      <c r="E28" s="743"/>
      <c r="F28" s="743"/>
      <c r="G28" s="743"/>
      <c r="H28" s="743"/>
      <c r="I28" s="743"/>
      <c r="J28" s="743"/>
      <c r="K28" s="743"/>
      <c r="L28" s="743"/>
      <c r="M28" s="743"/>
      <c r="N28" s="743"/>
      <c r="O28" s="743"/>
      <c r="P28" s="743"/>
      <c r="Q28" s="743"/>
      <c r="R28" s="743"/>
      <c r="S28" s="743"/>
      <c r="T28" s="743"/>
      <c r="U28" s="743"/>
      <c r="V28" s="743"/>
      <c r="W28" s="743"/>
      <c r="X28" s="743"/>
      <c r="Y28" s="743"/>
      <c r="Z28" s="743"/>
      <c r="AA28" s="743"/>
      <c r="AB28" s="743"/>
      <c r="AC28" s="743"/>
      <c r="AD28" s="743"/>
      <c r="AE28" s="743"/>
      <c r="AF28" s="743"/>
      <c r="AG28" s="744"/>
      <c r="AH28" s="766"/>
      <c r="AI28" s="767"/>
      <c r="AJ28" s="767"/>
      <c r="AK28" s="767"/>
      <c r="AL28" s="767"/>
      <c r="AM28" s="767"/>
      <c r="AN28" s="767"/>
      <c r="AO28" s="767"/>
      <c r="AP28" s="767"/>
      <c r="AQ28" s="767"/>
      <c r="AR28" s="767"/>
      <c r="AS28" s="767"/>
      <c r="AT28" s="766"/>
      <c r="AU28" s="767"/>
      <c r="AV28" s="768"/>
      <c r="AW28" s="768"/>
    </row>
    <row r="29" spans="1:49" ht="13.15" hidden="1" customHeight="1">
      <c r="A29" s="742" t="s">
        <v>419</v>
      </c>
      <c r="B29" s="742"/>
      <c r="C29" s="742" t="s">
        <v>463</v>
      </c>
      <c r="D29" s="743"/>
      <c r="E29" s="743"/>
      <c r="F29" s="743"/>
      <c r="G29" s="743"/>
      <c r="H29" s="743"/>
      <c r="I29" s="743"/>
      <c r="J29" s="743"/>
      <c r="K29" s="743"/>
      <c r="L29" s="743"/>
      <c r="M29" s="743"/>
      <c r="N29" s="743"/>
      <c r="O29" s="743"/>
      <c r="P29" s="743"/>
      <c r="Q29" s="743"/>
      <c r="R29" s="743"/>
      <c r="S29" s="743"/>
      <c r="T29" s="743"/>
      <c r="U29" s="743"/>
      <c r="V29" s="743"/>
      <c r="W29" s="743"/>
      <c r="X29" s="743"/>
      <c r="Y29" s="743"/>
      <c r="Z29" s="743"/>
      <c r="AA29" s="743"/>
      <c r="AB29" s="743"/>
      <c r="AC29" s="743"/>
      <c r="AD29" s="743"/>
      <c r="AE29" s="743"/>
      <c r="AF29" s="743"/>
      <c r="AG29" s="744"/>
      <c r="AH29" s="766"/>
      <c r="AI29" s="767"/>
      <c r="AJ29" s="767"/>
      <c r="AK29" s="767"/>
      <c r="AL29" s="767"/>
      <c r="AM29" s="767"/>
      <c r="AN29" s="767"/>
      <c r="AO29" s="767"/>
      <c r="AP29" s="767"/>
      <c r="AQ29" s="767"/>
      <c r="AR29" s="767"/>
      <c r="AS29" s="767"/>
      <c r="AT29" s="766"/>
      <c r="AU29" s="767"/>
      <c r="AV29" s="768"/>
      <c r="AW29" s="768"/>
    </row>
    <row r="30" spans="1:49" ht="13.15" hidden="1" customHeight="1">
      <c r="AH30" s="766"/>
      <c r="AI30" s="767"/>
      <c r="AJ30" s="767"/>
      <c r="AK30" s="767"/>
      <c r="AL30" s="767"/>
      <c r="AM30" s="767"/>
      <c r="AN30" s="767"/>
      <c r="AO30" s="767"/>
      <c r="AP30" s="767"/>
      <c r="AQ30" s="767"/>
      <c r="AR30" s="767"/>
      <c r="AS30" s="767"/>
      <c r="AT30" s="766"/>
      <c r="AU30" s="767"/>
      <c r="AV30" s="768"/>
      <c r="AW30" s="768"/>
    </row>
    <row r="31" spans="1:49" ht="13.15" hidden="1" customHeight="1">
      <c r="A31" s="760" t="s">
        <v>467</v>
      </c>
      <c r="B31" s="760"/>
      <c r="C31" s="759" t="s">
        <v>85</v>
      </c>
      <c r="D31" s="760">
        <v>0</v>
      </c>
      <c r="E31" s="760"/>
      <c r="F31" s="760"/>
      <c r="G31" s="760">
        <v>0</v>
      </c>
      <c r="H31" s="760"/>
      <c r="I31" s="760"/>
      <c r="J31" s="760">
        <v>0</v>
      </c>
      <c r="K31" s="760"/>
      <c r="L31" s="760"/>
      <c r="M31" s="760">
        <v>0</v>
      </c>
      <c r="N31" s="760"/>
      <c r="O31" s="760"/>
      <c r="P31" s="760">
        <v>0</v>
      </c>
      <c r="Q31" s="760"/>
      <c r="R31" s="760"/>
      <c r="S31" s="760">
        <v>0</v>
      </c>
      <c r="T31" s="760"/>
      <c r="U31" s="760"/>
      <c r="V31" s="760">
        <f>V13</f>
        <v>0</v>
      </c>
      <c r="W31" s="760"/>
      <c r="X31" s="760"/>
      <c r="Y31" s="760">
        <f>Y13</f>
        <v>0</v>
      </c>
      <c r="Z31" s="760"/>
      <c r="AA31" s="760"/>
      <c r="AB31" s="760">
        <f>AB12</f>
        <v>75000</v>
      </c>
      <c r="AC31" s="760"/>
      <c r="AD31" s="760"/>
      <c r="AE31" s="760">
        <f>AE12</f>
        <v>75000</v>
      </c>
      <c r="AF31" s="760"/>
      <c r="AG31" s="761"/>
      <c r="AH31" s="769"/>
      <c r="AI31" s="770"/>
      <c r="AJ31" s="770"/>
      <c r="AK31" s="770"/>
      <c r="AL31" s="770"/>
      <c r="AM31" s="770"/>
      <c r="AN31" s="770"/>
      <c r="AO31" s="770"/>
      <c r="AP31" s="770"/>
      <c r="AQ31" s="770"/>
      <c r="AR31" s="770"/>
      <c r="AS31" s="770"/>
      <c r="AT31" s="769"/>
      <c r="AU31" s="770"/>
      <c r="AV31" s="771"/>
      <c r="AW31" s="768"/>
    </row>
    <row r="32" spans="1:49" ht="13.15" hidden="1" customHeight="1">
      <c r="A32" s="743" t="s">
        <v>468</v>
      </c>
      <c r="B32" s="743"/>
      <c r="C32" s="742" t="s">
        <v>447</v>
      </c>
      <c r="D32" s="743">
        <f t="shared" ref="D32:D37" si="0">IF(D31=0,0)</f>
        <v>0</v>
      </c>
      <c r="E32" s="743"/>
      <c r="F32" s="743"/>
      <c r="G32" s="743">
        <f t="shared" ref="G32:G37" si="1">IF(G31=0,0)</f>
        <v>0</v>
      </c>
      <c r="H32" s="743"/>
      <c r="I32" s="743"/>
      <c r="J32" s="743">
        <f t="shared" ref="J32:J37" si="2">IF(J31=0,0)</f>
        <v>0</v>
      </c>
      <c r="K32" s="743"/>
      <c r="L32" s="743"/>
      <c r="M32" s="743">
        <f t="shared" ref="M32:M37" si="3">IF(M31=0,0)</f>
        <v>0</v>
      </c>
      <c r="N32" s="743"/>
      <c r="O32" s="743"/>
      <c r="P32" s="743">
        <f t="shared" ref="P32:P37" si="4">IF(P31=0,0)</f>
        <v>0</v>
      </c>
      <c r="Q32" s="743"/>
      <c r="R32" s="743"/>
      <c r="S32" s="743">
        <f t="shared" ref="S32:S37" si="5">IF(S31=0,0)</f>
        <v>0</v>
      </c>
      <c r="T32" s="743"/>
      <c r="U32" s="743"/>
      <c r="V32" s="743">
        <f>IF(V31=0,0,#REF!)</f>
        <v>0</v>
      </c>
      <c r="W32" s="743"/>
      <c r="X32" s="743"/>
      <c r="Y32" s="743">
        <f>IF(Y31=0,0,#REF!)</f>
        <v>0</v>
      </c>
      <c r="Z32" s="743"/>
      <c r="AA32" s="743"/>
      <c r="AB32" s="743" t="e">
        <f>IF(AB31=0,0,#REF!)</f>
        <v>#REF!</v>
      </c>
      <c r="AC32" s="743"/>
      <c r="AD32" s="743"/>
      <c r="AE32" s="743" t="e">
        <f>IF(AE31=0,0,#REF!)</f>
        <v>#REF!</v>
      </c>
      <c r="AF32" s="743"/>
      <c r="AG32" s="744"/>
      <c r="AH32" s="766"/>
      <c r="AI32" s="767"/>
      <c r="AJ32" s="767"/>
      <c r="AK32" s="767"/>
      <c r="AL32" s="767"/>
      <c r="AM32" s="767"/>
      <c r="AN32" s="767"/>
      <c r="AO32" s="767"/>
      <c r="AP32" s="767"/>
      <c r="AQ32" s="767"/>
      <c r="AR32" s="767"/>
      <c r="AS32" s="767"/>
      <c r="AT32" s="766"/>
      <c r="AU32" s="767"/>
      <c r="AV32" s="768"/>
      <c r="AW32" s="768"/>
    </row>
    <row r="33" spans="1:49" ht="13.15" hidden="1" customHeight="1">
      <c r="A33" s="743" t="s">
        <v>420</v>
      </c>
      <c r="B33" s="743"/>
      <c r="C33" s="742" t="s">
        <v>463</v>
      </c>
      <c r="D33" s="743">
        <f t="shared" si="0"/>
        <v>0</v>
      </c>
      <c r="E33" s="743"/>
      <c r="F33" s="743"/>
      <c r="G33" s="743">
        <f t="shared" si="1"/>
        <v>0</v>
      </c>
      <c r="H33" s="743"/>
      <c r="I33" s="743"/>
      <c r="J33" s="743">
        <f t="shared" si="2"/>
        <v>0</v>
      </c>
      <c r="K33" s="743"/>
      <c r="L33" s="743"/>
      <c r="M33" s="743">
        <f t="shared" si="3"/>
        <v>0</v>
      </c>
      <c r="N33" s="743"/>
      <c r="O33" s="743"/>
      <c r="P33" s="743">
        <f t="shared" si="4"/>
        <v>0</v>
      </c>
      <c r="Q33" s="743"/>
      <c r="R33" s="743"/>
      <c r="S33" s="743">
        <f t="shared" si="5"/>
        <v>0</v>
      </c>
      <c r="T33" s="743"/>
      <c r="U33" s="743"/>
      <c r="V33" s="743">
        <f>IF(V32=0,0,#REF!)</f>
        <v>0</v>
      </c>
      <c r="W33" s="743"/>
      <c r="X33" s="743"/>
      <c r="Y33" s="743">
        <f>IF(Y32=0,0,#REF!)</f>
        <v>0</v>
      </c>
      <c r="Z33" s="743"/>
      <c r="AA33" s="743"/>
      <c r="AB33" s="743" t="e">
        <f>IF(AB32=0,0,#REF!)</f>
        <v>#REF!</v>
      </c>
      <c r="AC33" s="743"/>
      <c r="AD33" s="743"/>
      <c r="AE33" s="743" t="e">
        <f>IF(AE32=0,0,#REF!)</f>
        <v>#REF!</v>
      </c>
      <c r="AF33" s="743"/>
      <c r="AG33" s="744"/>
      <c r="AH33" s="766"/>
      <c r="AI33" s="767"/>
      <c r="AJ33" s="767"/>
      <c r="AK33" s="767"/>
      <c r="AL33" s="767"/>
      <c r="AM33" s="767"/>
      <c r="AN33" s="767"/>
      <c r="AO33" s="767"/>
      <c r="AP33" s="767"/>
      <c r="AQ33" s="767"/>
      <c r="AR33" s="767"/>
      <c r="AS33" s="767"/>
      <c r="AT33" s="766"/>
      <c r="AU33" s="767"/>
      <c r="AV33" s="768"/>
      <c r="AW33" s="768"/>
    </row>
    <row r="34" spans="1:49" ht="13.15" hidden="1" customHeight="1">
      <c r="A34" s="743" t="s">
        <v>464</v>
      </c>
      <c r="B34" s="743"/>
      <c r="C34" s="742" t="s">
        <v>463</v>
      </c>
      <c r="D34" s="743">
        <f t="shared" si="0"/>
        <v>0</v>
      </c>
      <c r="E34" s="743"/>
      <c r="F34" s="743"/>
      <c r="G34" s="743">
        <f t="shared" si="1"/>
        <v>0</v>
      </c>
      <c r="H34" s="743"/>
      <c r="I34" s="743"/>
      <c r="J34" s="743">
        <f t="shared" si="2"/>
        <v>0</v>
      </c>
      <c r="K34" s="743"/>
      <c r="L34" s="743"/>
      <c r="M34" s="743">
        <f t="shared" si="3"/>
        <v>0</v>
      </c>
      <c r="N34" s="743"/>
      <c r="O34" s="743"/>
      <c r="P34" s="743">
        <f t="shared" si="4"/>
        <v>0</v>
      </c>
      <c r="Q34" s="743"/>
      <c r="R34" s="743"/>
      <c r="S34" s="743">
        <f t="shared" si="5"/>
        <v>0</v>
      </c>
      <c r="T34" s="743"/>
      <c r="U34" s="743"/>
      <c r="V34" s="743">
        <f>IF(V33=0,0,#REF!)</f>
        <v>0</v>
      </c>
      <c r="W34" s="743"/>
      <c r="X34" s="743"/>
      <c r="Y34" s="743">
        <f>IF(Y33=0,0,#REF!)</f>
        <v>0</v>
      </c>
      <c r="Z34" s="743"/>
      <c r="AA34" s="743"/>
      <c r="AB34" s="743" t="e">
        <f>IF(AB33=0,0,#REF!)</f>
        <v>#REF!</v>
      </c>
      <c r="AC34" s="743"/>
      <c r="AD34" s="743"/>
      <c r="AE34" s="743" t="e">
        <f>IF(AE33=0,0,#REF!)</f>
        <v>#REF!</v>
      </c>
      <c r="AF34" s="743"/>
      <c r="AG34" s="744"/>
      <c r="AH34" s="766"/>
      <c r="AI34" s="767"/>
      <c r="AJ34" s="767"/>
      <c r="AK34" s="767"/>
      <c r="AL34" s="767"/>
      <c r="AM34" s="767"/>
      <c r="AN34" s="767"/>
      <c r="AO34" s="767"/>
      <c r="AP34" s="767"/>
      <c r="AQ34" s="767"/>
      <c r="AR34" s="767"/>
      <c r="AS34" s="767"/>
      <c r="AT34" s="766"/>
      <c r="AU34" s="767"/>
      <c r="AV34" s="768"/>
      <c r="AW34" s="768"/>
    </row>
    <row r="35" spans="1:49" ht="13.15" hidden="1" customHeight="1">
      <c r="A35" s="743" t="s">
        <v>466</v>
      </c>
      <c r="B35" s="743"/>
      <c r="C35" s="742" t="s">
        <v>463</v>
      </c>
      <c r="D35" s="743">
        <f t="shared" si="0"/>
        <v>0</v>
      </c>
      <c r="E35" s="743"/>
      <c r="F35" s="743"/>
      <c r="G35" s="743">
        <f t="shared" si="1"/>
        <v>0</v>
      </c>
      <c r="H35" s="743"/>
      <c r="I35" s="743"/>
      <c r="J35" s="743">
        <f t="shared" si="2"/>
        <v>0</v>
      </c>
      <c r="K35" s="743"/>
      <c r="L35" s="743"/>
      <c r="M35" s="743">
        <f t="shared" si="3"/>
        <v>0</v>
      </c>
      <c r="N35" s="743"/>
      <c r="O35" s="743"/>
      <c r="P35" s="743">
        <f t="shared" si="4"/>
        <v>0</v>
      </c>
      <c r="Q35" s="743"/>
      <c r="R35" s="743"/>
      <c r="S35" s="743">
        <f t="shared" si="5"/>
        <v>0</v>
      </c>
      <c r="T35" s="743"/>
      <c r="U35" s="743"/>
      <c r="V35" s="743">
        <f>IF(V34=0,0,#REF!)</f>
        <v>0</v>
      </c>
      <c r="W35" s="743"/>
      <c r="X35" s="743"/>
      <c r="Y35" s="743">
        <f>IF(Y34=0,0,#REF!)</f>
        <v>0</v>
      </c>
      <c r="Z35" s="743"/>
      <c r="AA35" s="743"/>
      <c r="AB35" s="743" t="e">
        <f>IF(AB34=0,0,#REF!)</f>
        <v>#REF!</v>
      </c>
      <c r="AC35" s="743"/>
      <c r="AD35" s="743"/>
      <c r="AE35" s="743" t="e">
        <f>IF(AE34=0,0,#REF!)</f>
        <v>#REF!</v>
      </c>
      <c r="AF35" s="743"/>
      <c r="AG35" s="744"/>
      <c r="AH35" s="766"/>
      <c r="AI35" s="767"/>
      <c r="AJ35" s="767"/>
      <c r="AK35" s="767"/>
      <c r="AL35" s="767"/>
      <c r="AM35" s="767"/>
      <c r="AN35" s="767"/>
      <c r="AO35" s="767"/>
      <c r="AP35" s="767"/>
      <c r="AQ35" s="767"/>
      <c r="AR35" s="767"/>
      <c r="AS35" s="767"/>
      <c r="AT35" s="766"/>
      <c r="AU35" s="767"/>
      <c r="AV35" s="768"/>
      <c r="AW35" s="768"/>
    </row>
    <row r="36" spans="1:49" ht="13.15" hidden="1" customHeight="1">
      <c r="A36" s="743" t="s">
        <v>416</v>
      </c>
      <c r="B36" s="743"/>
      <c r="C36" s="742" t="s">
        <v>463</v>
      </c>
      <c r="D36" s="743">
        <f t="shared" si="0"/>
        <v>0</v>
      </c>
      <c r="E36" s="743"/>
      <c r="F36" s="743"/>
      <c r="G36" s="743">
        <f t="shared" si="1"/>
        <v>0</v>
      </c>
      <c r="H36" s="743"/>
      <c r="I36" s="743"/>
      <c r="J36" s="743">
        <f t="shared" si="2"/>
        <v>0</v>
      </c>
      <c r="K36" s="743"/>
      <c r="L36" s="743"/>
      <c r="M36" s="743">
        <f t="shared" si="3"/>
        <v>0</v>
      </c>
      <c r="N36" s="743"/>
      <c r="O36" s="743"/>
      <c r="P36" s="743">
        <f t="shared" si="4"/>
        <v>0</v>
      </c>
      <c r="Q36" s="743"/>
      <c r="R36" s="743"/>
      <c r="S36" s="743">
        <f t="shared" si="5"/>
        <v>0</v>
      </c>
      <c r="T36" s="743"/>
      <c r="U36" s="743"/>
      <c r="V36" s="743">
        <f>IF(V35=0,0,#REF!)</f>
        <v>0</v>
      </c>
      <c r="W36" s="743"/>
      <c r="X36" s="743"/>
      <c r="Y36" s="743">
        <f>IF(Y35=0,0,#REF!)</f>
        <v>0</v>
      </c>
      <c r="Z36" s="743"/>
      <c r="AA36" s="743"/>
      <c r="AB36" s="743" t="e">
        <f>IF(AB35=0,0,#REF!)</f>
        <v>#REF!</v>
      </c>
      <c r="AC36" s="743"/>
      <c r="AD36" s="743"/>
      <c r="AE36" s="743" t="e">
        <f>IF(AE35=0,0,#REF!)</f>
        <v>#REF!</v>
      </c>
      <c r="AF36" s="743"/>
      <c r="AG36" s="744"/>
      <c r="AH36" s="766"/>
      <c r="AI36" s="767"/>
      <c r="AJ36" s="767"/>
      <c r="AK36" s="767"/>
      <c r="AL36" s="767"/>
      <c r="AM36" s="767"/>
      <c r="AN36" s="767"/>
      <c r="AO36" s="767"/>
      <c r="AP36" s="767"/>
      <c r="AQ36" s="767"/>
      <c r="AR36" s="767"/>
      <c r="AS36" s="767"/>
      <c r="AT36" s="766"/>
      <c r="AU36" s="767"/>
      <c r="AV36" s="768"/>
      <c r="AW36" s="768"/>
    </row>
    <row r="37" spans="1:49" ht="13.15" hidden="1" customHeight="1">
      <c r="A37" s="742" t="s">
        <v>419</v>
      </c>
      <c r="B37" s="742"/>
      <c r="C37" s="742" t="s">
        <v>463</v>
      </c>
      <c r="D37" s="743">
        <f t="shared" si="0"/>
        <v>0</v>
      </c>
      <c r="E37" s="743"/>
      <c r="F37" s="743"/>
      <c r="G37" s="743">
        <f t="shared" si="1"/>
        <v>0</v>
      </c>
      <c r="H37" s="743"/>
      <c r="I37" s="743"/>
      <c r="J37" s="743">
        <f t="shared" si="2"/>
        <v>0</v>
      </c>
      <c r="K37" s="743"/>
      <c r="L37" s="743"/>
      <c r="M37" s="743">
        <f t="shared" si="3"/>
        <v>0</v>
      </c>
      <c r="N37" s="743"/>
      <c r="O37" s="743"/>
      <c r="P37" s="743">
        <f t="shared" si="4"/>
        <v>0</v>
      </c>
      <c r="Q37" s="743"/>
      <c r="R37" s="743"/>
      <c r="S37" s="743">
        <f t="shared" si="5"/>
        <v>0</v>
      </c>
      <c r="T37" s="743"/>
      <c r="U37" s="743"/>
      <c r="V37" s="743">
        <f>IF(V36=0,0,#REF!)</f>
        <v>0</v>
      </c>
      <c r="W37" s="743"/>
      <c r="X37" s="743"/>
      <c r="Y37" s="743">
        <f>IF(Y36=0,0,#REF!)</f>
        <v>0</v>
      </c>
      <c r="Z37" s="743"/>
      <c r="AA37" s="743"/>
      <c r="AB37" s="743" t="e">
        <f>IF(AB36=0,0,#REF!)</f>
        <v>#REF!</v>
      </c>
      <c r="AC37" s="743"/>
      <c r="AD37" s="743"/>
      <c r="AE37" s="743" t="e">
        <f>IF(AE36=0,0,#REF!)</f>
        <v>#REF!</v>
      </c>
      <c r="AF37" s="743"/>
      <c r="AG37" s="744"/>
      <c r="AH37" s="766"/>
      <c r="AI37" s="767"/>
      <c r="AJ37" s="767"/>
      <c r="AK37" s="767"/>
      <c r="AL37" s="767"/>
      <c r="AM37" s="767"/>
      <c r="AN37" s="767"/>
      <c r="AO37" s="767"/>
      <c r="AP37" s="767"/>
      <c r="AQ37" s="767"/>
      <c r="AR37" s="767"/>
      <c r="AS37" s="767"/>
      <c r="AT37" s="766"/>
      <c r="AU37" s="767"/>
      <c r="AV37" s="768"/>
      <c r="AW37" s="768"/>
    </row>
    <row r="38" spans="1:49">
      <c r="A38" s="772"/>
      <c r="B38" s="772"/>
      <c r="C38" s="772"/>
      <c r="D38" s="767"/>
      <c r="E38" s="767"/>
      <c r="F38" s="773"/>
      <c r="G38" s="767"/>
      <c r="H38" s="767"/>
      <c r="I38" s="767"/>
      <c r="J38" s="767"/>
      <c r="K38" s="767"/>
      <c r="L38" s="767"/>
      <c r="M38" s="767"/>
      <c r="N38" s="767"/>
      <c r="O38" s="767"/>
      <c r="P38" s="767"/>
      <c r="Q38" s="767"/>
      <c r="R38" s="767"/>
      <c r="S38" s="767"/>
      <c r="T38" s="767"/>
      <c r="U38" s="767"/>
      <c r="V38" s="767"/>
      <c r="W38" s="767"/>
      <c r="X38" s="767"/>
      <c r="Y38" s="767"/>
      <c r="Z38" s="767"/>
      <c r="AA38" s="767"/>
      <c r="AB38" s="767"/>
      <c r="AC38" s="767"/>
      <c r="AD38" s="767"/>
      <c r="AE38" s="767"/>
      <c r="AF38" s="767"/>
      <c r="AG38" s="767"/>
      <c r="AH38" s="766"/>
      <c r="AI38" s="767"/>
      <c r="AJ38" s="767"/>
      <c r="AK38" s="767"/>
      <c r="AL38" s="767"/>
      <c r="AM38" s="767"/>
      <c r="AN38" s="767"/>
      <c r="AO38" s="767"/>
      <c r="AP38" s="767"/>
      <c r="AQ38" s="767"/>
      <c r="AR38" s="767"/>
      <c r="AS38" s="767"/>
      <c r="AT38" s="766"/>
      <c r="AU38" s="767"/>
      <c r="AV38" s="768"/>
      <c r="AW38" s="768"/>
    </row>
    <row r="39" spans="1:49">
      <c r="A39" s="772"/>
      <c r="B39" s="772"/>
      <c r="C39" s="772"/>
      <c r="D39" s="876">
        <f t="shared" ref="D39:AG39" si="6">SUM(D41,D50,D59,D68,D77,D86,D95,D104,D113,D122,D131,D140)</f>
        <v>0</v>
      </c>
      <c r="E39" s="876">
        <f t="shared" si="6"/>
        <v>0</v>
      </c>
      <c r="F39" s="876">
        <f t="shared" si="6"/>
        <v>0</v>
      </c>
      <c r="G39" s="876">
        <f t="shared" si="6"/>
        <v>0</v>
      </c>
      <c r="H39" s="876">
        <f t="shared" si="6"/>
        <v>0</v>
      </c>
      <c r="I39" s="876">
        <f t="shared" si="6"/>
        <v>0</v>
      </c>
      <c r="J39" s="876">
        <f t="shared" si="6"/>
        <v>13949.28076171875</v>
      </c>
      <c r="K39" s="876">
        <f t="shared" si="6"/>
        <v>0</v>
      </c>
      <c r="L39" s="876">
        <f t="shared" si="6"/>
        <v>11278.152574539185</v>
      </c>
      <c r="M39" s="876">
        <f t="shared" si="6"/>
        <v>6425.9957885742188</v>
      </c>
      <c r="N39" s="876">
        <f t="shared" si="6"/>
        <v>0</v>
      </c>
      <c r="O39" s="877">
        <f t="shared" si="6"/>
        <v>15528.256945903508</v>
      </c>
      <c r="P39" s="877">
        <f t="shared" si="6"/>
        <v>14377.851318359375</v>
      </c>
      <c r="Q39" s="877">
        <f t="shared" si="6"/>
        <v>6332.1442260742188</v>
      </c>
      <c r="R39" s="877">
        <f t="shared" si="6"/>
        <v>36776.6279296875</v>
      </c>
      <c r="S39" s="877">
        <f t="shared" si="6"/>
        <v>32478.421142578125</v>
      </c>
      <c r="T39" s="877">
        <f t="shared" si="6"/>
        <v>7932.6548767089844</v>
      </c>
      <c r="U39" s="876">
        <f t="shared" si="6"/>
        <v>53594.5</v>
      </c>
      <c r="V39" s="877">
        <f t="shared" si="6"/>
        <v>95794.3203125</v>
      </c>
      <c r="W39" s="877">
        <f t="shared" si="6"/>
        <v>22366.7578125</v>
      </c>
      <c r="X39" s="876">
        <f t="shared" si="6"/>
        <v>0</v>
      </c>
      <c r="Y39" s="876">
        <f t="shared" si="6"/>
        <v>46163.759435856125</v>
      </c>
      <c r="Z39" s="877">
        <f t="shared" si="6"/>
        <v>5886.6468750000004</v>
      </c>
      <c r="AA39" s="876">
        <f t="shared" si="6"/>
        <v>0</v>
      </c>
      <c r="AB39" s="876">
        <f t="shared" si="6"/>
        <v>0</v>
      </c>
      <c r="AC39" s="877">
        <f t="shared" si="6"/>
        <v>0</v>
      </c>
      <c r="AD39" s="876">
        <f t="shared" si="6"/>
        <v>0</v>
      </c>
      <c r="AE39" s="876">
        <f t="shared" si="6"/>
        <v>0</v>
      </c>
      <c r="AF39" s="877">
        <f t="shared" si="6"/>
        <v>0</v>
      </c>
      <c r="AG39" s="767">
        <f t="shared" si="6"/>
        <v>0</v>
      </c>
      <c r="AH39" s="766"/>
      <c r="AI39" s="767"/>
      <c r="AJ39" s="767"/>
      <c r="AK39" s="767"/>
      <c r="AL39" s="767"/>
      <c r="AM39" s="767"/>
      <c r="AN39" s="767"/>
      <c r="AO39" s="767"/>
      <c r="AP39" s="767"/>
      <c r="AQ39" s="767"/>
      <c r="AR39" s="767"/>
      <c r="AS39" s="767"/>
      <c r="AT39" s="766"/>
      <c r="AU39" s="767"/>
      <c r="AV39" s="768"/>
      <c r="AW39" s="768"/>
    </row>
    <row r="40" spans="1:49">
      <c r="AH40" s="766"/>
      <c r="AI40" s="767"/>
      <c r="AJ40" s="767"/>
      <c r="AK40" s="767"/>
      <c r="AL40" s="767"/>
      <c r="AM40" s="767"/>
      <c r="AN40" s="767"/>
      <c r="AO40" s="767"/>
      <c r="AP40" s="767"/>
      <c r="AQ40" s="767"/>
      <c r="AR40" s="767"/>
      <c r="AS40" s="767"/>
      <c r="AT40" s="766"/>
      <c r="AU40" s="767"/>
      <c r="AV40" s="768"/>
      <c r="AW40" s="768"/>
    </row>
    <row r="41" spans="1:49">
      <c r="A41" s="759" t="s">
        <v>469</v>
      </c>
      <c r="B41" s="774">
        <v>0</v>
      </c>
      <c r="C41" s="759" t="s">
        <v>85</v>
      </c>
      <c r="D41" s="760"/>
      <c r="E41" s="760"/>
      <c r="F41" s="760"/>
      <c r="G41" s="760"/>
      <c r="H41" s="760"/>
      <c r="I41" s="760"/>
      <c r="J41" s="760"/>
      <c r="K41" s="760"/>
      <c r="L41" s="760"/>
      <c r="M41" s="760"/>
      <c r="N41" s="760"/>
      <c r="O41" s="760"/>
      <c r="P41" s="760"/>
      <c r="Q41" s="760"/>
      <c r="R41" s="760"/>
      <c r="S41" s="760"/>
      <c r="T41" s="760"/>
      <c r="U41" s="760"/>
      <c r="V41" s="760">
        <v>0</v>
      </c>
      <c r="W41" s="760"/>
      <c r="X41" s="760"/>
      <c r="Y41" s="760">
        <v>0</v>
      </c>
      <c r="Z41" s="760"/>
      <c r="AA41" s="760"/>
      <c r="AB41" s="760">
        <v>0</v>
      </c>
      <c r="AC41" s="760"/>
      <c r="AD41" s="760"/>
      <c r="AE41" s="760">
        <v>0</v>
      </c>
      <c r="AF41" s="760"/>
      <c r="AG41" s="761"/>
      <c r="AH41" s="762"/>
      <c r="AI41" s="760"/>
      <c r="AJ41" s="760"/>
      <c r="AK41" s="760"/>
      <c r="AL41" s="760"/>
      <c r="AM41" s="760"/>
      <c r="AN41" s="760"/>
      <c r="AO41" s="761"/>
      <c r="AP41" s="761"/>
      <c r="AQ41" s="760"/>
      <c r="AR41" s="760"/>
      <c r="AS41" s="867"/>
      <c r="AT41" s="765"/>
      <c r="AU41" s="760"/>
      <c r="AV41" s="764"/>
      <c r="AW41" s="764">
        <f>SUM(D41:AG41)</f>
        <v>0</v>
      </c>
    </row>
    <row r="42" spans="1:49">
      <c r="A42" s="742" t="s">
        <v>460</v>
      </c>
      <c r="B42" s="759"/>
      <c r="C42" s="759"/>
      <c r="D42" s="743">
        <f>IF(D41=0,0,D$18)</f>
        <v>0</v>
      </c>
      <c r="E42" s="743">
        <f>IF(E41=0,0,E$18)</f>
        <v>0</v>
      </c>
      <c r="F42" s="743">
        <f>IF(F41=0,0,F$18)</f>
        <v>0</v>
      </c>
      <c r="G42" s="743">
        <f>IF(G41=0,0,G$18)</f>
        <v>0</v>
      </c>
      <c r="H42" s="743">
        <f>IF(H41=0,0,H$18)</f>
        <v>0</v>
      </c>
      <c r="I42" s="743">
        <f t="shared" ref="I42:AG42" si="7">IF(I41=0,0,I$18)</f>
        <v>0</v>
      </c>
      <c r="J42" s="743">
        <f t="shared" si="7"/>
        <v>0</v>
      </c>
      <c r="K42" s="743">
        <f t="shared" si="7"/>
        <v>0</v>
      </c>
      <c r="L42" s="743">
        <f t="shared" si="7"/>
        <v>0</v>
      </c>
      <c r="M42" s="743">
        <f t="shared" si="7"/>
        <v>0</v>
      </c>
      <c r="N42" s="743">
        <f t="shared" si="7"/>
        <v>0</v>
      </c>
      <c r="O42" s="743">
        <f t="shared" si="7"/>
        <v>0</v>
      </c>
      <c r="P42" s="743">
        <f t="shared" si="7"/>
        <v>0</v>
      </c>
      <c r="Q42" s="743">
        <f t="shared" si="7"/>
        <v>0</v>
      </c>
      <c r="R42" s="743">
        <f t="shared" si="7"/>
        <v>0</v>
      </c>
      <c r="S42" s="743">
        <f t="shared" si="7"/>
        <v>0</v>
      </c>
      <c r="T42" s="743">
        <f t="shared" si="7"/>
        <v>0</v>
      </c>
      <c r="U42" s="743">
        <f t="shared" si="7"/>
        <v>0</v>
      </c>
      <c r="V42" s="743">
        <f t="shared" si="7"/>
        <v>0</v>
      </c>
      <c r="W42" s="743">
        <f t="shared" si="7"/>
        <v>0</v>
      </c>
      <c r="X42" s="743">
        <f t="shared" si="7"/>
        <v>0</v>
      </c>
      <c r="Y42" s="743">
        <f t="shared" si="7"/>
        <v>0</v>
      </c>
      <c r="Z42" s="743">
        <f t="shared" si="7"/>
        <v>0</v>
      </c>
      <c r="AA42" s="743">
        <f t="shared" si="7"/>
        <v>0</v>
      </c>
      <c r="AB42" s="743">
        <f t="shared" si="7"/>
        <v>0</v>
      </c>
      <c r="AC42" s="743">
        <f t="shared" si="7"/>
        <v>0</v>
      </c>
      <c r="AD42" s="743">
        <f t="shared" si="7"/>
        <v>0</v>
      </c>
      <c r="AE42" s="743">
        <f t="shared" si="7"/>
        <v>0</v>
      </c>
      <c r="AF42" s="743">
        <f t="shared" si="7"/>
        <v>0</v>
      </c>
      <c r="AG42" s="744">
        <f t="shared" si="7"/>
        <v>0</v>
      </c>
      <c r="AH42" s="745"/>
      <c r="AI42" s="743"/>
      <c r="AJ42" s="743"/>
      <c r="AK42" s="743"/>
      <c r="AL42" s="743"/>
      <c r="AM42" s="743"/>
      <c r="AN42" s="743"/>
      <c r="AO42" s="744"/>
      <c r="AP42" s="744"/>
      <c r="AQ42" s="743"/>
      <c r="AR42" s="743"/>
      <c r="AS42" s="865"/>
      <c r="AT42" s="746"/>
      <c r="AU42" s="743"/>
      <c r="AV42" s="747"/>
      <c r="AW42" s="747" t="e">
        <f t="shared" ref="AW42:AW48" si="8">SUMPRODUCT(D$41:AG$41,D42:AG42)/AW$41</f>
        <v>#DIV/0!</v>
      </c>
    </row>
    <row r="43" spans="1:49">
      <c r="A43" s="742" t="s">
        <v>462</v>
      </c>
      <c r="B43" s="743"/>
      <c r="C43" s="742"/>
      <c r="D43" s="743">
        <f t="shared" ref="D43:AG43" si="9">IF(D41=0,0,D$19)</f>
        <v>0</v>
      </c>
      <c r="E43" s="743">
        <f t="shared" si="9"/>
        <v>0</v>
      </c>
      <c r="F43" s="743">
        <f t="shared" si="9"/>
        <v>0</v>
      </c>
      <c r="G43" s="743">
        <f t="shared" si="9"/>
        <v>0</v>
      </c>
      <c r="H43" s="743">
        <f t="shared" si="9"/>
        <v>0</v>
      </c>
      <c r="I43" s="743">
        <f t="shared" si="9"/>
        <v>0</v>
      </c>
      <c r="J43" s="743">
        <f t="shared" si="9"/>
        <v>0</v>
      </c>
      <c r="K43" s="743">
        <f t="shared" si="9"/>
        <v>0</v>
      </c>
      <c r="L43" s="743">
        <f t="shared" si="9"/>
        <v>0</v>
      </c>
      <c r="M43" s="743">
        <f t="shared" si="9"/>
        <v>0</v>
      </c>
      <c r="N43" s="743">
        <f t="shared" si="9"/>
        <v>0</v>
      </c>
      <c r="O43" s="743">
        <f t="shared" si="9"/>
        <v>0</v>
      </c>
      <c r="P43" s="743">
        <f t="shared" si="9"/>
        <v>0</v>
      </c>
      <c r="Q43" s="743">
        <f t="shared" si="9"/>
        <v>0</v>
      </c>
      <c r="R43" s="743">
        <f t="shared" si="9"/>
        <v>0</v>
      </c>
      <c r="S43" s="743">
        <f t="shared" si="9"/>
        <v>0</v>
      </c>
      <c r="T43" s="743">
        <f t="shared" si="9"/>
        <v>0</v>
      </c>
      <c r="U43" s="743">
        <f t="shared" si="9"/>
        <v>0</v>
      </c>
      <c r="V43" s="743">
        <f t="shared" si="9"/>
        <v>0</v>
      </c>
      <c r="W43" s="743">
        <f t="shared" si="9"/>
        <v>0</v>
      </c>
      <c r="X43" s="743">
        <f t="shared" si="9"/>
        <v>0</v>
      </c>
      <c r="Y43" s="743">
        <f t="shared" si="9"/>
        <v>0</v>
      </c>
      <c r="Z43" s="743">
        <f t="shared" si="9"/>
        <v>0</v>
      </c>
      <c r="AA43" s="743">
        <f t="shared" si="9"/>
        <v>0</v>
      </c>
      <c r="AB43" s="743">
        <f t="shared" si="9"/>
        <v>0</v>
      </c>
      <c r="AC43" s="743">
        <f t="shared" si="9"/>
        <v>0</v>
      </c>
      <c r="AD43" s="743">
        <f t="shared" si="9"/>
        <v>0</v>
      </c>
      <c r="AE43" s="743">
        <f t="shared" si="9"/>
        <v>0</v>
      </c>
      <c r="AF43" s="743">
        <f t="shared" si="9"/>
        <v>0</v>
      </c>
      <c r="AG43" s="744">
        <f t="shared" si="9"/>
        <v>0</v>
      </c>
      <c r="AH43" s="745"/>
      <c r="AI43" s="743"/>
      <c r="AJ43" s="743"/>
      <c r="AK43" s="743"/>
      <c r="AL43" s="743"/>
      <c r="AM43" s="743"/>
      <c r="AN43" s="743"/>
      <c r="AO43" s="744"/>
      <c r="AP43" s="744"/>
      <c r="AQ43" s="743"/>
      <c r="AR43" s="743"/>
      <c r="AS43" s="865"/>
      <c r="AT43" s="746"/>
      <c r="AU43" s="743"/>
      <c r="AV43" s="747"/>
      <c r="AW43" s="747" t="e">
        <f t="shared" si="8"/>
        <v>#DIV/0!</v>
      </c>
    </row>
    <row r="44" spans="1:49">
      <c r="A44" s="742" t="s">
        <v>420</v>
      </c>
      <c r="B44" s="743"/>
      <c r="C44" s="742"/>
      <c r="D44" s="743">
        <f t="shared" ref="D44:AG44" si="10">IF(D41=0,0,D$20)</f>
        <v>0</v>
      </c>
      <c r="E44" s="743">
        <f t="shared" si="10"/>
        <v>0</v>
      </c>
      <c r="F44" s="743">
        <f t="shared" si="10"/>
        <v>0</v>
      </c>
      <c r="G44" s="743">
        <f t="shared" si="10"/>
        <v>0</v>
      </c>
      <c r="H44" s="743">
        <f t="shared" si="10"/>
        <v>0</v>
      </c>
      <c r="I44" s="743">
        <f t="shared" si="10"/>
        <v>0</v>
      </c>
      <c r="J44" s="743">
        <f t="shared" si="10"/>
        <v>0</v>
      </c>
      <c r="K44" s="743">
        <f t="shared" si="10"/>
        <v>0</v>
      </c>
      <c r="L44" s="743">
        <f t="shared" si="10"/>
        <v>0</v>
      </c>
      <c r="M44" s="743">
        <f t="shared" si="10"/>
        <v>0</v>
      </c>
      <c r="N44" s="743">
        <f t="shared" si="10"/>
        <v>0</v>
      </c>
      <c r="O44" s="743">
        <f t="shared" si="10"/>
        <v>0</v>
      </c>
      <c r="P44" s="743">
        <f t="shared" si="10"/>
        <v>0</v>
      </c>
      <c r="Q44" s="743">
        <f t="shared" si="10"/>
        <v>0</v>
      </c>
      <c r="R44" s="743">
        <f t="shared" si="10"/>
        <v>0</v>
      </c>
      <c r="S44" s="743">
        <f t="shared" si="10"/>
        <v>0</v>
      </c>
      <c r="T44" s="743">
        <f t="shared" si="10"/>
        <v>0</v>
      </c>
      <c r="U44" s="743">
        <f t="shared" si="10"/>
        <v>0</v>
      </c>
      <c r="V44" s="743">
        <f t="shared" si="10"/>
        <v>0</v>
      </c>
      <c r="W44" s="743">
        <f t="shared" si="10"/>
        <v>0</v>
      </c>
      <c r="X44" s="743">
        <f t="shared" si="10"/>
        <v>0</v>
      </c>
      <c r="Y44" s="743">
        <f t="shared" si="10"/>
        <v>0</v>
      </c>
      <c r="Z44" s="743">
        <f t="shared" si="10"/>
        <v>0</v>
      </c>
      <c r="AA44" s="743">
        <f t="shared" si="10"/>
        <v>0</v>
      </c>
      <c r="AB44" s="743">
        <f t="shared" si="10"/>
        <v>0</v>
      </c>
      <c r="AC44" s="743">
        <f t="shared" si="10"/>
        <v>0</v>
      </c>
      <c r="AD44" s="743">
        <f t="shared" si="10"/>
        <v>0</v>
      </c>
      <c r="AE44" s="743">
        <f t="shared" si="10"/>
        <v>0</v>
      </c>
      <c r="AF44" s="743">
        <f t="shared" si="10"/>
        <v>0</v>
      </c>
      <c r="AG44" s="744">
        <f t="shared" si="10"/>
        <v>0</v>
      </c>
      <c r="AH44" s="745"/>
      <c r="AI44" s="743"/>
      <c r="AJ44" s="743"/>
      <c r="AK44" s="743"/>
      <c r="AL44" s="743"/>
      <c r="AM44" s="743"/>
      <c r="AN44" s="743"/>
      <c r="AO44" s="744"/>
      <c r="AP44" s="744"/>
      <c r="AQ44" s="743"/>
      <c r="AR44" s="743"/>
      <c r="AS44" s="865"/>
      <c r="AT44" s="746"/>
      <c r="AU44" s="743"/>
      <c r="AV44" s="747"/>
      <c r="AW44" s="747" t="e">
        <f t="shared" si="8"/>
        <v>#DIV/0!</v>
      </c>
    </row>
    <row r="45" spans="1:49">
      <c r="A45" s="742" t="s">
        <v>464</v>
      </c>
      <c r="B45" s="743"/>
      <c r="C45" s="742"/>
      <c r="D45" s="743">
        <f t="shared" ref="D45:AG45" si="11">IF(D41=0,0,D$21)</f>
        <v>0</v>
      </c>
      <c r="E45" s="743">
        <f t="shared" si="11"/>
        <v>0</v>
      </c>
      <c r="F45" s="743">
        <f t="shared" si="11"/>
        <v>0</v>
      </c>
      <c r="G45" s="743">
        <f t="shared" si="11"/>
        <v>0</v>
      </c>
      <c r="H45" s="743">
        <f t="shared" si="11"/>
        <v>0</v>
      </c>
      <c r="I45" s="743">
        <f t="shared" si="11"/>
        <v>0</v>
      </c>
      <c r="J45" s="743">
        <f t="shared" si="11"/>
        <v>0</v>
      </c>
      <c r="K45" s="743">
        <f t="shared" si="11"/>
        <v>0</v>
      </c>
      <c r="L45" s="743">
        <f t="shared" si="11"/>
        <v>0</v>
      </c>
      <c r="M45" s="743">
        <f t="shared" si="11"/>
        <v>0</v>
      </c>
      <c r="N45" s="743">
        <f t="shared" si="11"/>
        <v>0</v>
      </c>
      <c r="O45" s="743">
        <f t="shared" si="11"/>
        <v>0</v>
      </c>
      <c r="P45" s="743">
        <f t="shared" si="11"/>
        <v>0</v>
      </c>
      <c r="Q45" s="743">
        <f t="shared" si="11"/>
        <v>0</v>
      </c>
      <c r="R45" s="743">
        <f t="shared" si="11"/>
        <v>0</v>
      </c>
      <c r="S45" s="743">
        <f t="shared" si="11"/>
        <v>0</v>
      </c>
      <c r="T45" s="743">
        <f t="shared" si="11"/>
        <v>0</v>
      </c>
      <c r="U45" s="743">
        <f t="shared" si="11"/>
        <v>0</v>
      </c>
      <c r="V45" s="743">
        <f t="shared" si="11"/>
        <v>0</v>
      </c>
      <c r="W45" s="743">
        <f t="shared" si="11"/>
        <v>0</v>
      </c>
      <c r="X45" s="743">
        <f t="shared" si="11"/>
        <v>0</v>
      </c>
      <c r="Y45" s="743">
        <f t="shared" si="11"/>
        <v>0</v>
      </c>
      <c r="Z45" s="743">
        <f t="shared" si="11"/>
        <v>0</v>
      </c>
      <c r="AA45" s="743">
        <f t="shared" si="11"/>
        <v>0</v>
      </c>
      <c r="AB45" s="743">
        <f t="shared" si="11"/>
        <v>0</v>
      </c>
      <c r="AC45" s="743">
        <f t="shared" si="11"/>
        <v>0</v>
      </c>
      <c r="AD45" s="743">
        <f t="shared" si="11"/>
        <v>0</v>
      </c>
      <c r="AE45" s="743">
        <f t="shared" si="11"/>
        <v>0</v>
      </c>
      <c r="AF45" s="743">
        <f t="shared" si="11"/>
        <v>0</v>
      </c>
      <c r="AG45" s="744">
        <f t="shared" si="11"/>
        <v>0</v>
      </c>
      <c r="AH45" s="745"/>
      <c r="AI45" s="743"/>
      <c r="AJ45" s="743"/>
      <c r="AK45" s="743"/>
      <c r="AL45" s="743"/>
      <c r="AM45" s="743"/>
      <c r="AN45" s="743"/>
      <c r="AO45" s="744"/>
      <c r="AP45" s="744"/>
      <c r="AQ45" s="743"/>
      <c r="AR45" s="743"/>
      <c r="AS45" s="865"/>
      <c r="AT45" s="746"/>
      <c r="AU45" s="743"/>
      <c r="AV45" s="747"/>
      <c r="AW45" s="747" t="e">
        <f t="shared" si="8"/>
        <v>#DIV/0!</v>
      </c>
    </row>
    <row r="46" spans="1:49">
      <c r="A46" s="742" t="s">
        <v>416</v>
      </c>
      <c r="B46" s="743"/>
      <c r="C46" s="742"/>
      <c r="D46" s="743">
        <f>IF(D41=0,0,D$22)</f>
        <v>0</v>
      </c>
      <c r="E46" s="743">
        <f>IF(E41=0,0,E$22)</f>
        <v>0</v>
      </c>
      <c r="F46" s="743">
        <f>IF(F41=0,0,F$22)</f>
        <v>0</v>
      </c>
      <c r="G46" s="743">
        <f>IF(G41=0,0,G$22)</f>
        <v>0</v>
      </c>
      <c r="H46" s="743">
        <f>IF(H41=0,0,H$22)</f>
        <v>0</v>
      </c>
      <c r="I46" s="743">
        <f t="shared" ref="I46:AG46" si="12">IF(I41=0,0,I$22)</f>
        <v>0</v>
      </c>
      <c r="J46" s="743">
        <f t="shared" si="12"/>
        <v>0</v>
      </c>
      <c r="K46" s="743">
        <f t="shared" si="12"/>
        <v>0</v>
      </c>
      <c r="L46" s="743">
        <f t="shared" si="12"/>
        <v>0</v>
      </c>
      <c r="M46" s="743">
        <f t="shared" si="12"/>
        <v>0</v>
      </c>
      <c r="N46" s="743">
        <f t="shared" si="12"/>
        <v>0</v>
      </c>
      <c r="O46" s="743">
        <f t="shared" si="12"/>
        <v>0</v>
      </c>
      <c r="P46" s="743">
        <f t="shared" si="12"/>
        <v>0</v>
      </c>
      <c r="Q46" s="743">
        <f t="shared" si="12"/>
        <v>0</v>
      </c>
      <c r="R46" s="743">
        <f t="shared" si="12"/>
        <v>0</v>
      </c>
      <c r="S46" s="743">
        <f t="shared" si="12"/>
        <v>0</v>
      </c>
      <c r="T46" s="743">
        <f t="shared" si="12"/>
        <v>0</v>
      </c>
      <c r="U46" s="743">
        <f t="shared" si="12"/>
        <v>0</v>
      </c>
      <c r="V46" s="743">
        <f t="shared" si="12"/>
        <v>0</v>
      </c>
      <c r="W46" s="743">
        <f t="shared" si="12"/>
        <v>0</v>
      </c>
      <c r="X46" s="743">
        <f t="shared" si="12"/>
        <v>0</v>
      </c>
      <c r="Y46" s="743">
        <f t="shared" si="12"/>
        <v>0</v>
      </c>
      <c r="Z46" s="743">
        <f t="shared" si="12"/>
        <v>0</v>
      </c>
      <c r="AA46" s="743">
        <f t="shared" si="12"/>
        <v>0</v>
      </c>
      <c r="AB46" s="743">
        <f t="shared" si="12"/>
        <v>0</v>
      </c>
      <c r="AC46" s="743">
        <f t="shared" si="12"/>
        <v>0</v>
      </c>
      <c r="AD46" s="743">
        <f t="shared" si="12"/>
        <v>0</v>
      </c>
      <c r="AE46" s="743">
        <f t="shared" si="12"/>
        <v>0</v>
      </c>
      <c r="AF46" s="743">
        <f t="shared" si="12"/>
        <v>0</v>
      </c>
      <c r="AG46" s="744">
        <f t="shared" si="12"/>
        <v>0</v>
      </c>
      <c r="AH46" s="745"/>
      <c r="AI46" s="743"/>
      <c r="AJ46" s="743"/>
      <c r="AK46" s="743"/>
      <c r="AL46" s="743"/>
      <c r="AM46" s="743"/>
      <c r="AN46" s="743"/>
      <c r="AO46" s="744"/>
      <c r="AP46" s="744"/>
      <c r="AQ46" s="743"/>
      <c r="AR46" s="743"/>
      <c r="AS46" s="865"/>
      <c r="AT46" s="746"/>
      <c r="AU46" s="743"/>
      <c r="AV46" s="747"/>
      <c r="AW46" s="747" t="e">
        <f t="shared" si="8"/>
        <v>#DIV/0!</v>
      </c>
    </row>
    <row r="47" spans="1:49">
      <c r="A47" s="742" t="s">
        <v>465</v>
      </c>
      <c r="B47" s="743"/>
      <c r="C47" s="742"/>
      <c r="D47" s="743">
        <f>IF(D41=0,0,D$24)</f>
        <v>0</v>
      </c>
      <c r="E47" s="743">
        <f>IF(E41=0,0,E$24)</f>
        <v>0</v>
      </c>
      <c r="F47" s="743">
        <f>IF(F41=0,0,F$24)</f>
        <v>0</v>
      </c>
      <c r="G47" s="743">
        <f>IF(G41=0,0,G$24)</f>
        <v>0</v>
      </c>
      <c r="H47" s="743">
        <f>IF(H41=0,0,H$24)</f>
        <v>0</v>
      </c>
      <c r="I47" s="743">
        <f t="shared" ref="I47:AG47" si="13">IF(I41=0,0,I$24)</f>
        <v>0</v>
      </c>
      <c r="J47" s="743">
        <f t="shared" si="13"/>
        <v>0</v>
      </c>
      <c r="K47" s="743">
        <f t="shared" si="13"/>
        <v>0</v>
      </c>
      <c r="L47" s="743">
        <f t="shared" si="13"/>
        <v>0</v>
      </c>
      <c r="M47" s="743">
        <f t="shared" si="13"/>
        <v>0</v>
      </c>
      <c r="N47" s="743">
        <f t="shared" si="13"/>
        <v>0</v>
      </c>
      <c r="O47" s="743">
        <f t="shared" si="13"/>
        <v>0</v>
      </c>
      <c r="P47" s="743">
        <f t="shared" si="13"/>
        <v>0</v>
      </c>
      <c r="Q47" s="743">
        <f t="shared" si="13"/>
        <v>0</v>
      </c>
      <c r="R47" s="743">
        <f t="shared" si="13"/>
        <v>0</v>
      </c>
      <c r="S47" s="743">
        <f t="shared" si="13"/>
        <v>0</v>
      </c>
      <c r="T47" s="743">
        <f t="shared" si="13"/>
        <v>0</v>
      </c>
      <c r="U47" s="743">
        <f t="shared" si="13"/>
        <v>0</v>
      </c>
      <c r="V47" s="743">
        <f t="shared" si="13"/>
        <v>0</v>
      </c>
      <c r="W47" s="743">
        <f t="shared" si="13"/>
        <v>0</v>
      </c>
      <c r="X47" s="743">
        <f t="shared" si="13"/>
        <v>0</v>
      </c>
      <c r="Y47" s="743">
        <f t="shared" si="13"/>
        <v>0</v>
      </c>
      <c r="Z47" s="743">
        <f t="shared" si="13"/>
        <v>0</v>
      </c>
      <c r="AA47" s="743">
        <f t="shared" si="13"/>
        <v>0</v>
      </c>
      <c r="AB47" s="743">
        <f t="shared" si="13"/>
        <v>0</v>
      </c>
      <c r="AC47" s="743">
        <f t="shared" si="13"/>
        <v>0</v>
      </c>
      <c r="AD47" s="743">
        <f t="shared" si="13"/>
        <v>0</v>
      </c>
      <c r="AE47" s="743">
        <f t="shared" si="13"/>
        <v>0</v>
      </c>
      <c r="AF47" s="743">
        <f t="shared" si="13"/>
        <v>0</v>
      </c>
      <c r="AG47" s="744">
        <f t="shared" si="13"/>
        <v>0</v>
      </c>
      <c r="AH47" s="745"/>
      <c r="AI47" s="743"/>
      <c r="AJ47" s="743"/>
      <c r="AK47" s="743"/>
      <c r="AL47" s="743"/>
      <c r="AM47" s="743"/>
      <c r="AN47" s="743"/>
      <c r="AO47" s="744"/>
      <c r="AP47" s="744"/>
      <c r="AQ47" s="743"/>
      <c r="AR47" s="743"/>
      <c r="AS47" s="865"/>
      <c r="AT47" s="746"/>
      <c r="AU47" s="743"/>
      <c r="AV47" s="747"/>
      <c r="AW47" s="747" t="e">
        <f t="shared" si="8"/>
        <v>#DIV/0!</v>
      </c>
    </row>
    <row r="48" spans="1:49">
      <c r="A48" s="742" t="s">
        <v>419</v>
      </c>
      <c r="B48" s="743"/>
      <c r="C48" s="742"/>
      <c r="D48" s="743">
        <f>IF(D41=0,0,D$23)</f>
        <v>0</v>
      </c>
      <c r="E48" s="743">
        <f>IF(E41=0,0,E$23)</f>
        <v>0</v>
      </c>
      <c r="F48" s="743">
        <f>IF(F41=0,0,F$23)</f>
        <v>0</v>
      </c>
      <c r="G48" s="743">
        <f>IF(G41=0,0,G$23)</f>
        <v>0</v>
      </c>
      <c r="H48" s="743">
        <f>IF(H41=0,0,H$23)</f>
        <v>0</v>
      </c>
      <c r="I48" s="743">
        <f t="shared" ref="I48:AG48" si="14">IF(I41=0,0,I$23)</f>
        <v>0</v>
      </c>
      <c r="J48" s="743">
        <f t="shared" si="14"/>
        <v>0</v>
      </c>
      <c r="K48" s="743">
        <f t="shared" si="14"/>
        <v>0</v>
      </c>
      <c r="L48" s="743">
        <f t="shared" si="14"/>
        <v>0</v>
      </c>
      <c r="M48" s="743">
        <f t="shared" si="14"/>
        <v>0</v>
      </c>
      <c r="N48" s="743">
        <f t="shared" si="14"/>
        <v>0</v>
      </c>
      <c r="O48" s="743">
        <f t="shared" si="14"/>
        <v>0</v>
      </c>
      <c r="P48" s="743">
        <f t="shared" si="14"/>
        <v>0</v>
      </c>
      <c r="Q48" s="743">
        <f t="shared" si="14"/>
        <v>0</v>
      </c>
      <c r="R48" s="743">
        <f t="shared" si="14"/>
        <v>0</v>
      </c>
      <c r="S48" s="743">
        <f t="shared" si="14"/>
        <v>0</v>
      </c>
      <c r="T48" s="743">
        <f t="shared" si="14"/>
        <v>0</v>
      </c>
      <c r="U48" s="743">
        <f t="shared" si="14"/>
        <v>0</v>
      </c>
      <c r="V48" s="743">
        <f t="shared" si="14"/>
        <v>0</v>
      </c>
      <c r="W48" s="743">
        <f t="shared" si="14"/>
        <v>0</v>
      </c>
      <c r="X48" s="743">
        <f t="shared" si="14"/>
        <v>0</v>
      </c>
      <c r="Y48" s="743">
        <f t="shared" si="14"/>
        <v>0</v>
      </c>
      <c r="Z48" s="743">
        <f t="shared" si="14"/>
        <v>0</v>
      </c>
      <c r="AA48" s="743">
        <f t="shared" si="14"/>
        <v>0</v>
      </c>
      <c r="AB48" s="743">
        <f t="shared" si="14"/>
        <v>0</v>
      </c>
      <c r="AC48" s="743">
        <f t="shared" si="14"/>
        <v>0</v>
      </c>
      <c r="AD48" s="743">
        <f t="shared" si="14"/>
        <v>0</v>
      </c>
      <c r="AE48" s="743">
        <f t="shared" si="14"/>
        <v>0</v>
      </c>
      <c r="AF48" s="743">
        <f t="shared" si="14"/>
        <v>0</v>
      </c>
      <c r="AG48" s="744">
        <f t="shared" si="14"/>
        <v>0</v>
      </c>
      <c r="AH48" s="745"/>
      <c r="AI48" s="743"/>
      <c r="AJ48" s="743"/>
      <c r="AK48" s="743"/>
      <c r="AL48" s="743"/>
      <c r="AM48" s="743"/>
      <c r="AN48" s="743"/>
      <c r="AO48" s="744"/>
      <c r="AP48" s="744"/>
      <c r="AQ48" s="743"/>
      <c r="AR48" s="743"/>
      <c r="AS48" s="865"/>
      <c r="AT48" s="746"/>
      <c r="AU48" s="743"/>
      <c r="AV48" s="747"/>
      <c r="AW48" s="747" t="e">
        <f t="shared" si="8"/>
        <v>#DIV/0!</v>
      </c>
    </row>
    <row r="49" spans="1:51">
      <c r="AH49" s="766"/>
      <c r="AI49" s="767"/>
      <c r="AJ49" s="767"/>
      <c r="AK49" s="767"/>
      <c r="AL49" s="767"/>
      <c r="AM49" s="767"/>
      <c r="AN49" s="767"/>
      <c r="AO49" s="767"/>
      <c r="AP49" s="767"/>
      <c r="AQ49" s="767"/>
      <c r="AR49" s="767"/>
      <c r="AS49" s="767"/>
      <c r="AT49" s="766"/>
      <c r="AU49" s="767"/>
      <c r="AV49" s="768"/>
      <c r="AW49" s="768"/>
    </row>
    <row r="50" spans="1:51">
      <c r="A50" s="760" t="s">
        <v>470</v>
      </c>
      <c r="B50" s="774">
        <v>3215.9749784000005</v>
      </c>
      <c r="C50" s="759" t="s">
        <v>85</v>
      </c>
      <c r="D50" s="760"/>
      <c r="E50" s="760"/>
      <c r="F50" s="760"/>
      <c r="G50" s="760">
        <v>0</v>
      </c>
      <c r="H50" s="760">
        <v>0</v>
      </c>
      <c r="I50" s="760"/>
      <c r="J50" s="760"/>
      <c r="K50" s="760">
        <v>0</v>
      </c>
      <c r="L50" s="760"/>
      <c r="M50" s="760"/>
      <c r="N50" s="760"/>
      <c r="O50" s="760"/>
      <c r="P50" s="760"/>
      <c r="Q50" s="760"/>
      <c r="R50" s="760"/>
      <c r="S50" s="760"/>
      <c r="T50" s="760"/>
      <c r="U50" s="760"/>
      <c r="V50" s="760">
        <v>0</v>
      </c>
      <c r="W50" s="760"/>
      <c r="X50" s="760"/>
      <c r="Y50" s="760">
        <v>0</v>
      </c>
      <c r="Z50" s="760"/>
      <c r="AA50" s="760"/>
      <c r="AB50" s="760">
        <v>0</v>
      </c>
      <c r="AC50" s="760"/>
      <c r="AD50" s="760"/>
      <c r="AE50" s="760">
        <v>0</v>
      </c>
      <c r="AF50" s="760"/>
      <c r="AG50" s="761"/>
      <c r="AH50" s="762"/>
      <c r="AI50" s="760"/>
      <c r="AJ50" s="760"/>
      <c r="AK50" s="760"/>
      <c r="AL50" s="760">
        <f>H50</f>
        <v>0</v>
      </c>
      <c r="AM50" s="760">
        <f>K50</f>
        <v>0</v>
      </c>
      <c r="AN50" s="760"/>
      <c r="AO50" s="761"/>
      <c r="AP50" s="761"/>
      <c r="AQ50" s="760"/>
      <c r="AR50" s="760"/>
      <c r="AS50" s="867"/>
      <c r="AT50" s="765">
        <f>SUM(AH50:AI50)</f>
        <v>0</v>
      </c>
      <c r="AU50" s="760">
        <f>SUM(AL50:AM50)</f>
        <v>0</v>
      </c>
      <c r="AV50" s="764">
        <f>SUM(AP50:AQ50)</f>
        <v>0</v>
      </c>
      <c r="AW50" s="764">
        <f>SUM(D50:AG50)</f>
        <v>0</v>
      </c>
      <c r="AY50" s="731">
        <f>SUM(AT50:AV50)</f>
        <v>0</v>
      </c>
    </row>
    <row r="51" spans="1:51">
      <c r="A51" s="742" t="s">
        <v>460</v>
      </c>
      <c r="B51" s="760"/>
      <c r="C51" s="759"/>
      <c r="D51" s="743">
        <f>IF(D50=0,0,D$18)</f>
        <v>0</v>
      </c>
      <c r="E51" s="743">
        <f>IF(E50=0,0,E$18)</f>
        <v>0</v>
      </c>
      <c r="F51" s="743">
        <f>IF(F50=0,0,F$18)</f>
        <v>0</v>
      </c>
      <c r="G51" s="743">
        <f>IF(G50=0,0,G$18)</f>
        <v>0</v>
      </c>
      <c r="H51" s="743">
        <f>IF(H50=0,0,H$18)</f>
        <v>0</v>
      </c>
      <c r="I51" s="743">
        <f t="shared" ref="I51:AG51" si="15">IF(I50=0,0,I$18)</f>
        <v>0</v>
      </c>
      <c r="J51" s="743">
        <f t="shared" si="15"/>
        <v>0</v>
      </c>
      <c r="K51" s="743">
        <f t="shared" si="15"/>
        <v>0</v>
      </c>
      <c r="L51" s="743">
        <f t="shared" si="15"/>
        <v>0</v>
      </c>
      <c r="M51" s="743">
        <f t="shared" si="15"/>
        <v>0</v>
      </c>
      <c r="N51" s="743">
        <f t="shared" si="15"/>
        <v>0</v>
      </c>
      <c r="O51" s="743">
        <f t="shared" si="15"/>
        <v>0</v>
      </c>
      <c r="P51" s="743">
        <f t="shared" si="15"/>
        <v>0</v>
      </c>
      <c r="Q51" s="743">
        <f t="shared" si="15"/>
        <v>0</v>
      </c>
      <c r="R51" s="743">
        <f t="shared" si="15"/>
        <v>0</v>
      </c>
      <c r="S51" s="743">
        <f t="shared" si="15"/>
        <v>0</v>
      </c>
      <c r="T51" s="743">
        <f t="shared" si="15"/>
        <v>0</v>
      </c>
      <c r="U51" s="743">
        <f t="shared" si="15"/>
        <v>0</v>
      </c>
      <c r="V51" s="743">
        <f t="shared" si="15"/>
        <v>0</v>
      </c>
      <c r="W51" s="743">
        <f t="shared" si="15"/>
        <v>0</v>
      </c>
      <c r="X51" s="743">
        <f t="shared" si="15"/>
        <v>0</v>
      </c>
      <c r="Y51" s="743">
        <f t="shared" si="15"/>
        <v>0</v>
      </c>
      <c r="Z51" s="743">
        <f t="shared" si="15"/>
        <v>0</v>
      </c>
      <c r="AA51" s="743">
        <f t="shared" si="15"/>
        <v>0</v>
      </c>
      <c r="AB51" s="743">
        <f t="shared" si="15"/>
        <v>0</v>
      </c>
      <c r="AC51" s="743">
        <f t="shared" si="15"/>
        <v>0</v>
      </c>
      <c r="AD51" s="743">
        <f t="shared" si="15"/>
        <v>0</v>
      </c>
      <c r="AE51" s="743">
        <f t="shared" si="15"/>
        <v>0</v>
      </c>
      <c r="AF51" s="743">
        <f t="shared" si="15"/>
        <v>0</v>
      </c>
      <c r="AG51" s="744">
        <f t="shared" si="15"/>
        <v>0</v>
      </c>
      <c r="AH51" s="745"/>
      <c r="AI51" s="743"/>
      <c r="AJ51" s="743"/>
      <c r="AK51" s="743"/>
      <c r="AL51" s="760">
        <f t="shared" ref="AL51:AL57" si="16">H51</f>
        <v>0</v>
      </c>
      <c r="AM51" s="760">
        <f t="shared" ref="AM51:AM57" si="17">K51</f>
        <v>0</v>
      </c>
      <c r="AN51" s="760"/>
      <c r="AO51" s="761"/>
      <c r="AP51" s="744"/>
      <c r="AQ51" s="743"/>
      <c r="AR51" s="743"/>
      <c r="AS51" s="865"/>
      <c r="AT51" s="746">
        <f t="shared" ref="AT51:AT57" si="18">IF(AT$50=0,0,SUMPRODUCT(AH$50:AI$50,AH51:AI51)/AT$50)</f>
        <v>0</v>
      </c>
      <c r="AU51" s="743">
        <f t="shared" ref="AU51:AU57" si="19">IF(AU$50=0,0,SUMPRODUCT(AL$50:AM$50,AL51:AM51)/AU$50)</f>
        <v>0</v>
      </c>
      <c r="AV51" s="747">
        <f t="shared" ref="AV51:AV57" si="20">IF(AV$50=0,0,SUMPRODUCT(AP$50:AQ$50,AP51:AQ51)/AV$50)</f>
        <v>0</v>
      </c>
      <c r="AW51" s="747" t="e">
        <f t="shared" ref="AW51:AW57" si="21">SUMPRODUCT(D$50:AG$50,D51:AG51)/AW$50</f>
        <v>#DIV/0!</v>
      </c>
      <c r="AY51" s="743">
        <f>IF(AY$50=0,0,SUMPRODUCT(AT$50:AV$50,AT51:AV51)/AY$50)</f>
        <v>0</v>
      </c>
    </row>
    <row r="52" spans="1:51">
      <c r="A52" s="742" t="s">
        <v>462</v>
      </c>
      <c r="B52" s="743"/>
      <c r="C52" s="742"/>
      <c r="D52" s="743">
        <f t="shared" ref="D52:AG52" si="22">IF(D50=0,0,D$19)</f>
        <v>0</v>
      </c>
      <c r="E52" s="743">
        <f t="shared" si="22"/>
        <v>0</v>
      </c>
      <c r="F52" s="743">
        <f t="shared" si="22"/>
        <v>0</v>
      </c>
      <c r="G52" s="743">
        <f t="shared" si="22"/>
        <v>0</v>
      </c>
      <c r="H52" s="743">
        <f t="shared" si="22"/>
        <v>0</v>
      </c>
      <c r="I52" s="743">
        <f t="shared" si="22"/>
        <v>0</v>
      </c>
      <c r="J52" s="743">
        <f t="shared" si="22"/>
        <v>0</v>
      </c>
      <c r="K52" s="743">
        <f t="shared" si="22"/>
        <v>0</v>
      </c>
      <c r="L52" s="743">
        <f t="shared" si="22"/>
        <v>0</v>
      </c>
      <c r="M52" s="743">
        <f t="shared" si="22"/>
        <v>0</v>
      </c>
      <c r="N52" s="743">
        <f t="shared" si="22"/>
        <v>0</v>
      </c>
      <c r="O52" s="743">
        <f t="shared" si="22"/>
        <v>0</v>
      </c>
      <c r="P52" s="743">
        <f t="shared" si="22"/>
        <v>0</v>
      </c>
      <c r="Q52" s="743">
        <f t="shared" si="22"/>
        <v>0</v>
      </c>
      <c r="R52" s="743">
        <f t="shared" si="22"/>
        <v>0</v>
      </c>
      <c r="S52" s="743">
        <f t="shared" si="22"/>
        <v>0</v>
      </c>
      <c r="T52" s="743">
        <f t="shared" si="22"/>
        <v>0</v>
      </c>
      <c r="U52" s="743">
        <f t="shared" si="22"/>
        <v>0</v>
      </c>
      <c r="V52" s="743">
        <f t="shared" si="22"/>
        <v>0</v>
      </c>
      <c r="W52" s="743">
        <f t="shared" si="22"/>
        <v>0</v>
      </c>
      <c r="X52" s="743">
        <f t="shared" si="22"/>
        <v>0</v>
      </c>
      <c r="Y52" s="743">
        <f t="shared" si="22"/>
        <v>0</v>
      </c>
      <c r="Z52" s="743">
        <f t="shared" si="22"/>
        <v>0</v>
      </c>
      <c r="AA52" s="743">
        <f t="shared" si="22"/>
        <v>0</v>
      </c>
      <c r="AB52" s="743">
        <f t="shared" si="22"/>
        <v>0</v>
      </c>
      <c r="AC52" s="743">
        <f t="shared" si="22"/>
        <v>0</v>
      </c>
      <c r="AD52" s="743">
        <f t="shared" si="22"/>
        <v>0</v>
      </c>
      <c r="AE52" s="743">
        <f t="shared" si="22"/>
        <v>0</v>
      </c>
      <c r="AF52" s="743">
        <f t="shared" si="22"/>
        <v>0</v>
      </c>
      <c r="AG52" s="744">
        <f t="shared" si="22"/>
        <v>0</v>
      </c>
      <c r="AH52" s="745"/>
      <c r="AI52" s="743"/>
      <c r="AJ52" s="743"/>
      <c r="AK52" s="743"/>
      <c r="AL52" s="760">
        <f t="shared" si="16"/>
        <v>0</v>
      </c>
      <c r="AM52" s="760">
        <f t="shared" si="17"/>
        <v>0</v>
      </c>
      <c r="AN52" s="760"/>
      <c r="AO52" s="761"/>
      <c r="AP52" s="744"/>
      <c r="AQ52" s="743"/>
      <c r="AR52" s="743"/>
      <c r="AS52" s="865"/>
      <c r="AT52" s="746">
        <f t="shared" si="18"/>
        <v>0</v>
      </c>
      <c r="AU52" s="743">
        <f t="shared" si="19"/>
        <v>0</v>
      </c>
      <c r="AV52" s="747">
        <f t="shared" si="20"/>
        <v>0</v>
      </c>
      <c r="AW52" s="747" t="e">
        <f t="shared" si="21"/>
        <v>#DIV/0!</v>
      </c>
      <c r="AY52" s="743">
        <f t="shared" ref="AY52:AY57" si="23">IF(AY$50=0,0,SUMPRODUCT(AT$50:AV$50,AT52:AV52)/AY$50)</f>
        <v>0</v>
      </c>
    </row>
    <row r="53" spans="1:51">
      <c r="A53" s="742" t="s">
        <v>420</v>
      </c>
      <c r="B53" s="743"/>
      <c r="C53" s="742"/>
      <c r="D53" s="743">
        <f t="shared" ref="D53:AG53" si="24">IF(D50=0,0,D$20)</f>
        <v>0</v>
      </c>
      <c r="E53" s="743">
        <f t="shared" si="24"/>
        <v>0</v>
      </c>
      <c r="F53" s="743">
        <f t="shared" si="24"/>
        <v>0</v>
      </c>
      <c r="G53" s="743">
        <f t="shared" si="24"/>
        <v>0</v>
      </c>
      <c r="H53" s="743">
        <f t="shared" si="24"/>
        <v>0</v>
      </c>
      <c r="I53" s="743">
        <f t="shared" si="24"/>
        <v>0</v>
      </c>
      <c r="J53" s="743">
        <f t="shared" si="24"/>
        <v>0</v>
      </c>
      <c r="K53" s="743">
        <f t="shared" si="24"/>
        <v>0</v>
      </c>
      <c r="L53" s="743">
        <f t="shared" si="24"/>
        <v>0</v>
      </c>
      <c r="M53" s="743">
        <f t="shared" si="24"/>
        <v>0</v>
      </c>
      <c r="N53" s="743">
        <f t="shared" si="24"/>
        <v>0</v>
      </c>
      <c r="O53" s="743">
        <f t="shared" si="24"/>
        <v>0</v>
      </c>
      <c r="P53" s="743">
        <f t="shared" si="24"/>
        <v>0</v>
      </c>
      <c r="Q53" s="743">
        <f t="shared" si="24"/>
        <v>0</v>
      </c>
      <c r="R53" s="743">
        <f t="shared" si="24"/>
        <v>0</v>
      </c>
      <c r="S53" s="743">
        <f t="shared" si="24"/>
        <v>0</v>
      </c>
      <c r="T53" s="743">
        <f t="shared" si="24"/>
        <v>0</v>
      </c>
      <c r="U53" s="743">
        <f t="shared" si="24"/>
        <v>0</v>
      </c>
      <c r="V53" s="743">
        <f t="shared" si="24"/>
        <v>0</v>
      </c>
      <c r="W53" s="743">
        <f t="shared" si="24"/>
        <v>0</v>
      </c>
      <c r="X53" s="743">
        <f t="shared" si="24"/>
        <v>0</v>
      </c>
      <c r="Y53" s="743">
        <f t="shared" si="24"/>
        <v>0</v>
      </c>
      <c r="Z53" s="743">
        <f t="shared" si="24"/>
        <v>0</v>
      </c>
      <c r="AA53" s="743">
        <f t="shared" si="24"/>
        <v>0</v>
      </c>
      <c r="AB53" s="743">
        <f t="shared" si="24"/>
        <v>0</v>
      </c>
      <c r="AC53" s="743">
        <f t="shared" si="24"/>
        <v>0</v>
      </c>
      <c r="AD53" s="743">
        <f t="shared" si="24"/>
        <v>0</v>
      </c>
      <c r="AE53" s="743">
        <f t="shared" si="24"/>
        <v>0</v>
      </c>
      <c r="AF53" s="743">
        <f t="shared" si="24"/>
        <v>0</v>
      </c>
      <c r="AG53" s="744">
        <f t="shared" si="24"/>
        <v>0</v>
      </c>
      <c r="AH53" s="745"/>
      <c r="AI53" s="743"/>
      <c r="AJ53" s="743"/>
      <c r="AK53" s="743"/>
      <c r="AL53" s="760">
        <f t="shared" si="16"/>
        <v>0</v>
      </c>
      <c r="AM53" s="760">
        <f t="shared" si="17"/>
        <v>0</v>
      </c>
      <c r="AN53" s="760"/>
      <c r="AO53" s="761"/>
      <c r="AP53" s="744"/>
      <c r="AQ53" s="743"/>
      <c r="AR53" s="743"/>
      <c r="AS53" s="865"/>
      <c r="AT53" s="746">
        <f t="shared" si="18"/>
        <v>0</v>
      </c>
      <c r="AU53" s="743">
        <f t="shared" si="19"/>
        <v>0</v>
      </c>
      <c r="AV53" s="747">
        <f t="shared" si="20"/>
        <v>0</v>
      </c>
      <c r="AW53" s="747" t="e">
        <f t="shared" si="21"/>
        <v>#DIV/0!</v>
      </c>
      <c r="AY53" s="743">
        <f t="shared" si="23"/>
        <v>0</v>
      </c>
    </row>
    <row r="54" spans="1:51">
      <c r="A54" s="742" t="s">
        <v>464</v>
      </c>
      <c r="B54" s="743"/>
      <c r="C54" s="742"/>
      <c r="D54" s="743">
        <f t="shared" ref="D54:AG54" si="25">IF(D50=0,0,D$21)</f>
        <v>0</v>
      </c>
      <c r="E54" s="743">
        <f t="shared" si="25"/>
        <v>0</v>
      </c>
      <c r="F54" s="743">
        <f t="shared" si="25"/>
        <v>0</v>
      </c>
      <c r="G54" s="743">
        <f t="shared" si="25"/>
        <v>0</v>
      </c>
      <c r="H54" s="743">
        <f t="shared" si="25"/>
        <v>0</v>
      </c>
      <c r="I54" s="743">
        <f t="shared" si="25"/>
        <v>0</v>
      </c>
      <c r="J54" s="743">
        <f t="shared" si="25"/>
        <v>0</v>
      </c>
      <c r="K54" s="743">
        <f t="shared" si="25"/>
        <v>0</v>
      </c>
      <c r="L54" s="743">
        <f t="shared" si="25"/>
        <v>0</v>
      </c>
      <c r="M54" s="743">
        <f t="shared" si="25"/>
        <v>0</v>
      </c>
      <c r="N54" s="743">
        <f t="shared" si="25"/>
        <v>0</v>
      </c>
      <c r="O54" s="743">
        <f t="shared" si="25"/>
        <v>0</v>
      </c>
      <c r="P54" s="743">
        <f t="shared" si="25"/>
        <v>0</v>
      </c>
      <c r="Q54" s="743">
        <f t="shared" si="25"/>
        <v>0</v>
      </c>
      <c r="R54" s="743">
        <f t="shared" si="25"/>
        <v>0</v>
      </c>
      <c r="S54" s="743">
        <f t="shared" si="25"/>
        <v>0</v>
      </c>
      <c r="T54" s="743">
        <f t="shared" si="25"/>
        <v>0</v>
      </c>
      <c r="U54" s="743">
        <f t="shared" si="25"/>
        <v>0</v>
      </c>
      <c r="V54" s="743">
        <f t="shared" si="25"/>
        <v>0</v>
      </c>
      <c r="W54" s="743">
        <f t="shared" si="25"/>
        <v>0</v>
      </c>
      <c r="X54" s="743">
        <f t="shared" si="25"/>
        <v>0</v>
      </c>
      <c r="Y54" s="743">
        <f t="shared" si="25"/>
        <v>0</v>
      </c>
      <c r="Z54" s="743">
        <f t="shared" si="25"/>
        <v>0</v>
      </c>
      <c r="AA54" s="743">
        <f t="shared" si="25"/>
        <v>0</v>
      </c>
      <c r="AB54" s="743">
        <f t="shared" si="25"/>
        <v>0</v>
      </c>
      <c r="AC54" s="743">
        <f t="shared" si="25"/>
        <v>0</v>
      </c>
      <c r="AD54" s="743">
        <f t="shared" si="25"/>
        <v>0</v>
      </c>
      <c r="AE54" s="743">
        <f t="shared" si="25"/>
        <v>0</v>
      </c>
      <c r="AF54" s="743">
        <f t="shared" si="25"/>
        <v>0</v>
      </c>
      <c r="AG54" s="744">
        <f t="shared" si="25"/>
        <v>0</v>
      </c>
      <c r="AH54" s="745"/>
      <c r="AI54" s="743"/>
      <c r="AJ54" s="743"/>
      <c r="AK54" s="743"/>
      <c r="AL54" s="760">
        <f t="shared" si="16"/>
        <v>0</v>
      </c>
      <c r="AM54" s="760">
        <f t="shared" si="17"/>
        <v>0</v>
      </c>
      <c r="AN54" s="760"/>
      <c r="AO54" s="761"/>
      <c r="AP54" s="744"/>
      <c r="AQ54" s="743"/>
      <c r="AR54" s="743"/>
      <c r="AS54" s="865"/>
      <c r="AT54" s="746">
        <f t="shared" si="18"/>
        <v>0</v>
      </c>
      <c r="AU54" s="743">
        <f t="shared" si="19"/>
        <v>0</v>
      </c>
      <c r="AV54" s="747">
        <f t="shared" si="20"/>
        <v>0</v>
      </c>
      <c r="AW54" s="747" t="e">
        <f t="shared" si="21"/>
        <v>#DIV/0!</v>
      </c>
      <c r="AY54" s="743">
        <f t="shared" si="23"/>
        <v>0</v>
      </c>
    </row>
    <row r="55" spans="1:51">
      <c r="A55" s="742" t="s">
        <v>416</v>
      </c>
      <c r="B55" s="743"/>
      <c r="C55" s="742"/>
      <c r="D55" s="743">
        <f>IF(D50=0,0,D$22)</f>
        <v>0</v>
      </c>
      <c r="E55" s="743">
        <f t="shared" ref="E55:AG55" si="26">IF(E50=0,0,E$22)</f>
        <v>0</v>
      </c>
      <c r="F55" s="743">
        <f t="shared" si="26"/>
        <v>0</v>
      </c>
      <c r="G55" s="743">
        <f t="shared" si="26"/>
        <v>0</v>
      </c>
      <c r="H55" s="743">
        <f>IF(H50=0,0,H$22)</f>
        <v>0</v>
      </c>
      <c r="I55" s="743">
        <f t="shared" si="26"/>
        <v>0</v>
      </c>
      <c r="J55" s="743">
        <f t="shared" si="26"/>
        <v>0</v>
      </c>
      <c r="K55" s="743">
        <f t="shared" si="26"/>
        <v>0</v>
      </c>
      <c r="L55" s="743">
        <f t="shared" si="26"/>
        <v>0</v>
      </c>
      <c r="M55" s="743">
        <f t="shared" si="26"/>
        <v>0</v>
      </c>
      <c r="N55" s="743">
        <f t="shared" si="26"/>
        <v>0</v>
      </c>
      <c r="O55" s="743">
        <f t="shared" si="26"/>
        <v>0</v>
      </c>
      <c r="P55" s="743">
        <f t="shared" si="26"/>
        <v>0</v>
      </c>
      <c r="Q55" s="743">
        <f t="shared" si="26"/>
        <v>0</v>
      </c>
      <c r="R55" s="743">
        <f t="shared" si="26"/>
        <v>0</v>
      </c>
      <c r="S55" s="743">
        <f t="shared" si="26"/>
        <v>0</v>
      </c>
      <c r="T55" s="743">
        <f t="shared" si="26"/>
        <v>0</v>
      </c>
      <c r="U55" s="743">
        <f t="shared" si="26"/>
        <v>0</v>
      </c>
      <c r="V55" s="743">
        <f t="shared" si="26"/>
        <v>0</v>
      </c>
      <c r="W55" s="743">
        <f t="shared" si="26"/>
        <v>0</v>
      </c>
      <c r="X55" s="743">
        <f t="shared" si="26"/>
        <v>0</v>
      </c>
      <c r="Y55" s="743">
        <f t="shared" si="26"/>
        <v>0</v>
      </c>
      <c r="Z55" s="743">
        <f t="shared" si="26"/>
        <v>0</v>
      </c>
      <c r="AA55" s="743">
        <f t="shared" si="26"/>
        <v>0</v>
      </c>
      <c r="AB55" s="743">
        <f t="shared" si="26"/>
        <v>0</v>
      </c>
      <c r="AC55" s="743">
        <f t="shared" si="26"/>
        <v>0</v>
      </c>
      <c r="AD55" s="743">
        <f t="shared" si="26"/>
        <v>0</v>
      </c>
      <c r="AE55" s="743">
        <f t="shared" si="26"/>
        <v>0</v>
      </c>
      <c r="AF55" s="743">
        <f t="shared" si="26"/>
        <v>0</v>
      </c>
      <c r="AG55" s="744">
        <f t="shared" si="26"/>
        <v>0</v>
      </c>
      <c r="AH55" s="745"/>
      <c r="AI55" s="743"/>
      <c r="AJ55" s="743"/>
      <c r="AK55" s="743"/>
      <c r="AL55" s="760">
        <f t="shared" si="16"/>
        <v>0</v>
      </c>
      <c r="AM55" s="760">
        <f t="shared" si="17"/>
        <v>0</v>
      </c>
      <c r="AN55" s="760"/>
      <c r="AO55" s="761"/>
      <c r="AP55" s="744"/>
      <c r="AQ55" s="743"/>
      <c r="AR55" s="743"/>
      <c r="AS55" s="865"/>
      <c r="AT55" s="746">
        <f t="shared" si="18"/>
        <v>0</v>
      </c>
      <c r="AU55" s="743">
        <f t="shared" si="19"/>
        <v>0</v>
      </c>
      <c r="AV55" s="747">
        <f t="shared" si="20"/>
        <v>0</v>
      </c>
      <c r="AW55" s="747" t="e">
        <f t="shared" si="21"/>
        <v>#DIV/0!</v>
      </c>
      <c r="AY55" s="743">
        <f t="shared" si="23"/>
        <v>0</v>
      </c>
    </row>
    <row r="56" spans="1:51">
      <c r="A56" s="742" t="s">
        <v>465</v>
      </c>
      <c r="B56" s="743"/>
      <c r="C56" s="742"/>
      <c r="D56" s="743">
        <f>IF(D50=0,0,D$24)</f>
        <v>0</v>
      </c>
      <c r="E56" s="743">
        <f>IF(E50=0,0,E$24)</f>
        <v>0</v>
      </c>
      <c r="F56" s="743">
        <f>IF(F50=0,0,F$24)</f>
        <v>0</v>
      </c>
      <c r="G56" s="743">
        <f>IF(G50=0,0,G$24)</f>
        <v>0</v>
      </c>
      <c r="H56" s="743">
        <f>IF(H50=0,0,H$24)</f>
        <v>0</v>
      </c>
      <c r="I56" s="743">
        <f t="shared" ref="I56:AG56" si="27">IF(I50=0,0,I$24)</f>
        <v>0</v>
      </c>
      <c r="J56" s="743">
        <f t="shared" si="27"/>
        <v>0</v>
      </c>
      <c r="K56" s="743">
        <f t="shared" si="27"/>
        <v>0</v>
      </c>
      <c r="L56" s="743">
        <f t="shared" si="27"/>
        <v>0</v>
      </c>
      <c r="M56" s="743">
        <f t="shared" si="27"/>
        <v>0</v>
      </c>
      <c r="N56" s="743">
        <f t="shared" si="27"/>
        <v>0</v>
      </c>
      <c r="O56" s="743">
        <f t="shared" si="27"/>
        <v>0</v>
      </c>
      <c r="P56" s="743">
        <f t="shared" si="27"/>
        <v>0</v>
      </c>
      <c r="Q56" s="743">
        <f t="shared" si="27"/>
        <v>0</v>
      </c>
      <c r="R56" s="743">
        <f t="shared" si="27"/>
        <v>0</v>
      </c>
      <c r="S56" s="743">
        <f t="shared" si="27"/>
        <v>0</v>
      </c>
      <c r="T56" s="743">
        <f t="shared" si="27"/>
        <v>0</v>
      </c>
      <c r="U56" s="743">
        <f t="shared" si="27"/>
        <v>0</v>
      </c>
      <c r="V56" s="743">
        <f t="shared" si="27"/>
        <v>0</v>
      </c>
      <c r="W56" s="743">
        <f t="shared" si="27"/>
        <v>0</v>
      </c>
      <c r="X56" s="743">
        <f t="shared" si="27"/>
        <v>0</v>
      </c>
      <c r="Y56" s="743">
        <f t="shared" si="27"/>
        <v>0</v>
      </c>
      <c r="Z56" s="743">
        <f t="shared" si="27"/>
        <v>0</v>
      </c>
      <c r="AA56" s="743">
        <f t="shared" si="27"/>
        <v>0</v>
      </c>
      <c r="AB56" s="743">
        <f t="shared" si="27"/>
        <v>0</v>
      </c>
      <c r="AC56" s="743">
        <f t="shared" si="27"/>
        <v>0</v>
      </c>
      <c r="AD56" s="743">
        <f t="shared" si="27"/>
        <v>0</v>
      </c>
      <c r="AE56" s="743">
        <f t="shared" si="27"/>
        <v>0</v>
      </c>
      <c r="AF56" s="743">
        <f t="shared" si="27"/>
        <v>0</v>
      </c>
      <c r="AG56" s="744">
        <f t="shared" si="27"/>
        <v>0</v>
      </c>
      <c r="AH56" s="745"/>
      <c r="AI56" s="743"/>
      <c r="AJ56" s="743"/>
      <c r="AK56" s="743"/>
      <c r="AL56" s="760">
        <f t="shared" si="16"/>
        <v>0</v>
      </c>
      <c r="AM56" s="760">
        <f t="shared" si="17"/>
        <v>0</v>
      </c>
      <c r="AN56" s="760"/>
      <c r="AO56" s="761"/>
      <c r="AP56" s="744"/>
      <c r="AQ56" s="743"/>
      <c r="AR56" s="743"/>
      <c r="AS56" s="865"/>
      <c r="AT56" s="746">
        <f t="shared" si="18"/>
        <v>0</v>
      </c>
      <c r="AU56" s="743">
        <f t="shared" si="19"/>
        <v>0</v>
      </c>
      <c r="AV56" s="747">
        <f t="shared" si="20"/>
        <v>0</v>
      </c>
      <c r="AW56" s="747" t="e">
        <f t="shared" si="21"/>
        <v>#DIV/0!</v>
      </c>
      <c r="AY56" s="743">
        <f t="shared" si="23"/>
        <v>0</v>
      </c>
    </row>
    <row r="57" spans="1:51">
      <c r="A57" s="742" t="s">
        <v>419</v>
      </c>
      <c r="B57" s="743"/>
      <c r="C57" s="742"/>
      <c r="D57" s="743">
        <f>IF(D50=0,0,D$23)</f>
        <v>0</v>
      </c>
      <c r="E57" s="743">
        <f>IF(E50=0,0,E$23)</f>
        <v>0</v>
      </c>
      <c r="F57" s="743">
        <f>IF(F50=0,0,F$23)</f>
        <v>0</v>
      </c>
      <c r="G57" s="743">
        <f>IF(G50=0,0,G$23)</f>
        <v>0</v>
      </c>
      <c r="H57" s="743">
        <f>IF(H50=0,0,H$23)</f>
        <v>0</v>
      </c>
      <c r="I57" s="743">
        <f t="shared" ref="I57:AG57" si="28">IF(I50=0,0,I$23)</f>
        <v>0</v>
      </c>
      <c r="J57" s="743">
        <f t="shared" si="28"/>
        <v>0</v>
      </c>
      <c r="K57" s="743">
        <f t="shared" si="28"/>
        <v>0</v>
      </c>
      <c r="L57" s="743">
        <f t="shared" si="28"/>
        <v>0</v>
      </c>
      <c r="M57" s="743">
        <f t="shared" si="28"/>
        <v>0</v>
      </c>
      <c r="N57" s="743">
        <f t="shared" si="28"/>
        <v>0</v>
      </c>
      <c r="O57" s="743">
        <f t="shared" si="28"/>
        <v>0</v>
      </c>
      <c r="P57" s="743">
        <f t="shared" si="28"/>
        <v>0</v>
      </c>
      <c r="Q57" s="743">
        <f t="shared" si="28"/>
        <v>0</v>
      </c>
      <c r="R57" s="743">
        <f t="shared" si="28"/>
        <v>0</v>
      </c>
      <c r="S57" s="743">
        <f t="shared" si="28"/>
        <v>0</v>
      </c>
      <c r="T57" s="743">
        <f t="shared" si="28"/>
        <v>0</v>
      </c>
      <c r="U57" s="743">
        <f t="shared" si="28"/>
        <v>0</v>
      </c>
      <c r="V57" s="743">
        <f t="shared" si="28"/>
        <v>0</v>
      </c>
      <c r="W57" s="743">
        <f t="shared" si="28"/>
        <v>0</v>
      </c>
      <c r="X57" s="743">
        <f t="shared" si="28"/>
        <v>0</v>
      </c>
      <c r="Y57" s="743">
        <f t="shared" si="28"/>
        <v>0</v>
      </c>
      <c r="Z57" s="743">
        <f t="shared" si="28"/>
        <v>0</v>
      </c>
      <c r="AA57" s="743">
        <f t="shared" si="28"/>
        <v>0</v>
      </c>
      <c r="AB57" s="743">
        <f t="shared" si="28"/>
        <v>0</v>
      </c>
      <c r="AC57" s="743">
        <f t="shared" si="28"/>
        <v>0</v>
      </c>
      <c r="AD57" s="743">
        <f t="shared" si="28"/>
        <v>0</v>
      </c>
      <c r="AE57" s="743">
        <f t="shared" si="28"/>
        <v>0</v>
      </c>
      <c r="AF57" s="743">
        <f t="shared" si="28"/>
        <v>0</v>
      </c>
      <c r="AG57" s="744">
        <f t="shared" si="28"/>
        <v>0</v>
      </c>
      <c r="AH57" s="745"/>
      <c r="AI57" s="743"/>
      <c r="AJ57" s="743"/>
      <c r="AK57" s="743"/>
      <c r="AL57" s="760">
        <f t="shared" si="16"/>
        <v>0</v>
      </c>
      <c r="AM57" s="760">
        <f t="shared" si="17"/>
        <v>0</v>
      </c>
      <c r="AN57" s="760"/>
      <c r="AO57" s="761"/>
      <c r="AP57" s="744"/>
      <c r="AQ57" s="743"/>
      <c r="AR57" s="743"/>
      <c r="AS57" s="865"/>
      <c r="AT57" s="746">
        <f t="shared" si="18"/>
        <v>0</v>
      </c>
      <c r="AU57" s="743">
        <f t="shared" si="19"/>
        <v>0</v>
      </c>
      <c r="AV57" s="747">
        <f t="shared" si="20"/>
        <v>0</v>
      </c>
      <c r="AW57" s="747" t="e">
        <f t="shared" si="21"/>
        <v>#DIV/0!</v>
      </c>
      <c r="AY57" s="743">
        <f t="shared" si="23"/>
        <v>0</v>
      </c>
    </row>
    <row r="58" spans="1:51">
      <c r="AH58" s="766"/>
      <c r="AI58" s="767"/>
      <c r="AJ58" s="767"/>
      <c r="AK58" s="767"/>
      <c r="AL58" s="767"/>
      <c r="AM58" s="767"/>
      <c r="AN58" s="767"/>
      <c r="AO58" s="767"/>
      <c r="AP58" s="767"/>
      <c r="AQ58" s="743"/>
      <c r="AR58" s="743"/>
      <c r="AS58" s="767"/>
      <c r="AT58" s="766"/>
      <c r="AU58" s="767"/>
      <c r="AV58" s="768"/>
      <c r="AW58" s="768"/>
    </row>
    <row r="59" spans="1:51">
      <c r="A59" s="760" t="s">
        <v>471</v>
      </c>
      <c r="B59" s="774">
        <v>22664.0285276</v>
      </c>
      <c r="C59" s="759" t="s">
        <v>85</v>
      </c>
      <c r="D59" s="760"/>
      <c r="E59" s="760"/>
      <c r="F59" s="760"/>
      <c r="G59" s="760">
        <v>0</v>
      </c>
      <c r="H59" s="760">
        <v>0</v>
      </c>
      <c r="I59" s="760"/>
      <c r="J59" s="760"/>
      <c r="K59" s="760">
        <v>0</v>
      </c>
      <c r="L59" s="760"/>
      <c r="M59" s="760"/>
      <c r="N59" s="760">
        <v>0</v>
      </c>
      <c r="O59" s="760"/>
      <c r="P59" s="760">
        <v>0</v>
      </c>
      <c r="Q59" s="760"/>
      <c r="R59" s="760"/>
      <c r="S59" s="760"/>
      <c r="T59" s="760"/>
      <c r="U59" s="760"/>
      <c r="V59" s="760">
        <v>0</v>
      </c>
      <c r="W59" s="760"/>
      <c r="X59" s="760"/>
      <c r="Y59" s="760">
        <v>0</v>
      </c>
      <c r="Z59" s="760"/>
      <c r="AA59" s="760"/>
      <c r="AB59" s="760">
        <v>0</v>
      </c>
      <c r="AC59" s="760"/>
      <c r="AD59" s="760"/>
      <c r="AE59" s="760">
        <v>0</v>
      </c>
      <c r="AF59" s="760"/>
      <c r="AG59" s="761"/>
      <c r="AH59" s="762">
        <f>G59</f>
        <v>0</v>
      </c>
      <c r="AI59" s="760"/>
      <c r="AJ59" s="760"/>
      <c r="AK59" s="760"/>
      <c r="AL59" s="760">
        <f>H59</f>
        <v>0</v>
      </c>
      <c r="AM59" s="760">
        <f>K59</f>
        <v>0</v>
      </c>
      <c r="AN59" s="760"/>
      <c r="AO59" s="761"/>
      <c r="AP59" s="761"/>
      <c r="AQ59" s="760"/>
      <c r="AR59" s="760"/>
      <c r="AS59" s="867"/>
      <c r="AT59" s="765">
        <f>SUM(AH59:AI59)</f>
        <v>0</v>
      </c>
      <c r="AU59" s="760">
        <f>SUM(AL59:AM59)</f>
        <v>0</v>
      </c>
      <c r="AV59" s="764">
        <f>SUM(AP59:AQ59)</f>
        <v>0</v>
      </c>
      <c r="AW59" s="764">
        <f>SUM(D59:AG59)</f>
        <v>0</v>
      </c>
      <c r="AY59" s="731">
        <f>SUM(AT59:AV59)</f>
        <v>0</v>
      </c>
    </row>
    <row r="60" spans="1:51">
      <c r="A60" s="742" t="s">
        <v>460</v>
      </c>
      <c r="B60" s="760"/>
      <c r="C60" s="759"/>
      <c r="D60" s="743">
        <f>IF(D59=0,0,D$18)</f>
        <v>0</v>
      </c>
      <c r="E60" s="743">
        <f>IF(E59=0,0,E$18)</f>
        <v>0</v>
      </c>
      <c r="F60" s="743">
        <f>IF(F59=0,0,F$18)</f>
        <v>0</v>
      </c>
      <c r="G60" s="743">
        <f>IF(G59=0,0,G$18)</f>
        <v>0</v>
      </c>
      <c r="H60" s="743">
        <f>IF(H59=0,0,H$18)</f>
        <v>0</v>
      </c>
      <c r="I60" s="743">
        <f t="shared" ref="I60:AG60" si="29">IF(I59=0,0,I$18)</f>
        <v>0</v>
      </c>
      <c r="J60" s="743">
        <f t="shared" si="29"/>
        <v>0</v>
      </c>
      <c r="K60" s="743">
        <f t="shared" si="29"/>
        <v>0</v>
      </c>
      <c r="L60" s="743">
        <f t="shared" si="29"/>
        <v>0</v>
      </c>
      <c r="M60" s="743">
        <f t="shared" si="29"/>
        <v>0</v>
      </c>
      <c r="N60" s="743">
        <f t="shared" si="29"/>
        <v>0</v>
      </c>
      <c r="O60" s="743">
        <f t="shared" si="29"/>
        <v>0</v>
      </c>
      <c r="P60" s="743">
        <f t="shared" si="29"/>
        <v>0</v>
      </c>
      <c r="Q60" s="743">
        <f t="shared" si="29"/>
        <v>0</v>
      </c>
      <c r="R60" s="743">
        <f t="shared" si="29"/>
        <v>0</v>
      </c>
      <c r="S60" s="743">
        <f t="shared" si="29"/>
        <v>0</v>
      </c>
      <c r="T60" s="743">
        <f t="shared" si="29"/>
        <v>0</v>
      </c>
      <c r="U60" s="743">
        <f t="shared" si="29"/>
        <v>0</v>
      </c>
      <c r="V60" s="743">
        <f t="shared" si="29"/>
        <v>0</v>
      </c>
      <c r="W60" s="743">
        <f t="shared" si="29"/>
        <v>0</v>
      </c>
      <c r="X60" s="743">
        <f t="shared" si="29"/>
        <v>0</v>
      </c>
      <c r="Y60" s="743">
        <f t="shared" si="29"/>
        <v>0</v>
      </c>
      <c r="Z60" s="743">
        <f t="shared" si="29"/>
        <v>0</v>
      </c>
      <c r="AA60" s="743">
        <f t="shared" si="29"/>
        <v>0</v>
      </c>
      <c r="AB60" s="743">
        <f t="shared" si="29"/>
        <v>0</v>
      </c>
      <c r="AC60" s="743">
        <f t="shared" si="29"/>
        <v>0</v>
      </c>
      <c r="AD60" s="743">
        <f t="shared" si="29"/>
        <v>0</v>
      </c>
      <c r="AE60" s="743">
        <f t="shared" si="29"/>
        <v>0</v>
      </c>
      <c r="AF60" s="743">
        <f t="shared" si="29"/>
        <v>0</v>
      </c>
      <c r="AG60" s="744">
        <f t="shared" si="29"/>
        <v>0</v>
      </c>
      <c r="AH60" s="762">
        <f t="shared" ref="AH60:AH66" si="30">G60</f>
        <v>0</v>
      </c>
      <c r="AI60" s="743"/>
      <c r="AJ60" s="743"/>
      <c r="AK60" s="743"/>
      <c r="AL60" s="760">
        <f t="shared" ref="AL60:AL66" si="31">H60</f>
        <v>0</v>
      </c>
      <c r="AM60" s="760">
        <f t="shared" ref="AM60:AM66" si="32">K60</f>
        <v>0</v>
      </c>
      <c r="AN60" s="760"/>
      <c r="AO60" s="761"/>
      <c r="AP60" s="744"/>
      <c r="AQ60" s="743"/>
      <c r="AR60" s="743"/>
      <c r="AS60" s="865"/>
      <c r="AT60" s="746">
        <f t="shared" ref="AT60:AT66" si="33">IF(AT$59=0,0,SUMPRODUCT(AH$59:AI$59,AH60:AI60)/AT$59)</f>
        <v>0</v>
      </c>
      <c r="AU60" s="743">
        <f t="shared" ref="AU60:AU66" si="34">IF(AU$59=0,0,SUMPRODUCT(AL$59:AM$59,AL60:AM60)/AU$59)</f>
        <v>0</v>
      </c>
      <c r="AV60" s="747">
        <f t="shared" ref="AV60:AV66" si="35">IF(AV$59=0,0,SUMPRODUCT(AP$59:AQ$59,AP60:AQ60)/AV$59)</f>
        <v>0</v>
      </c>
      <c r="AW60" s="747" t="e">
        <f t="shared" ref="AW60:AW66" si="36">SUMPRODUCT(D$59:AG$59,D60:AG60)/AW$59</f>
        <v>#DIV/0!</v>
      </c>
      <c r="AY60" s="743">
        <f>IF(AY$59=0,0,SUMPRODUCT(AT$59:AV$59,AT60:AV60)/AY$59)</f>
        <v>0</v>
      </c>
    </row>
    <row r="61" spans="1:51">
      <c r="A61" s="742" t="s">
        <v>462</v>
      </c>
      <c r="B61" s="743"/>
      <c r="C61" s="742"/>
      <c r="D61" s="743">
        <f t="shared" ref="D61:AG61" si="37">IF(D59=0,0,D$19)</f>
        <v>0</v>
      </c>
      <c r="E61" s="743">
        <f t="shared" si="37"/>
        <v>0</v>
      </c>
      <c r="F61" s="743">
        <f t="shared" si="37"/>
        <v>0</v>
      </c>
      <c r="G61" s="743">
        <f t="shared" si="37"/>
        <v>0</v>
      </c>
      <c r="H61" s="743">
        <f t="shared" si="37"/>
        <v>0</v>
      </c>
      <c r="I61" s="743">
        <f t="shared" si="37"/>
        <v>0</v>
      </c>
      <c r="J61" s="743">
        <f t="shared" si="37"/>
        <v>0</v>
      </c>
      <c r="K61" s="743">
        <f t="shared" si="37"/>
        <v>0</v>
      </c>
      <c r="L61" s="743">
        <f t="shared" si="37"/>
        <v>0</v>
      </c>
      <c r="M61" s="743">
        <f t="shared" si="37"/>
        <v>0</v>
      </c>
      <c r="N61" s="743">
        <f t="shared" si="37"/>
        <v>0</v>
      </c>
      <c r="O61" s="743">
        <f t="shared" si="37"/>
        <v>0</v>
      </c>
      <c r="P61" s="743">
        <f t="shared" si="37"/>
        <v>0</v>
      </c>
      <c r="Q61" s="743">
        <f t="shared" si="37"/>
        <v>0</v>
      </c>
      <c r="R61" s="743">
        <f t="shared" si="37"/>
        <v>0</v>
      </c>
      <c r="S61" s="743">
        <f t="shared" si="37"/>
        <v>0</v>
      </c>
      <c r="T61" s="743">
        <f t="shared" si="37"/>
        <v>0</v>
      </c>
      <c r="U61" s="743">
        <f t="shared" si="37"/>
        <v>0</v>
      </c>
      <c r="V61" s="743">
        <f t="shared" si="37"/>
        <v>0</v>
      </c>
      <c r="W61" s="743">
        <f t="shared" si="37"/>
        <v>0</v>
      </c>
      <c r="X61" s="743">
        <f t="shared" si="37"/>
        <v>0</v>
      </c>
      <c r="Y61" s="743">
        <f t="shared" si="37"/>
        <v>0</v>
      </c>
      <c r="Z61" s="743">
        <f t="shared" si="37"/>
        <v>0</v>
      </c>
      <c r="AA61" s="743">
        <f t="shared" si="37"/>
        <v>0</v>
      </c>
      <c r="AB61" s="743">
        <f t="shared" si="37"/>
        <v>0</v>
      </c>
      <c r="AC61" s="743">
        <f t="shared" si="37"/>
        <v>0</v>
      </c>
      <c r="AD61" s="743">
        <f t="shared" si="37"/>
        <v>0</v>
      </c>
      <c r="AE61" s="743">
        <f t="shared" si="37"/>
        <v>0</v>
      </c>
      <c r="AF61" s="743">
        <f t="shared" si="37"/>
        <v>0</v>
      </c>
      <c r="AG61" s="744">
        <f t="shared" si="37"/>
        <v>0</v>
      </c>
      <c r="AH61" s="762">
        <f t="shared" si="30"/>
        <v>0</v>
      </c>
      <c r="AI61" s="743"/>
      <c r="AJ61" s="743"/>
      <c r="AK61" s="743"/>
      <c r="AL61" s="760">
        <f t="shared" si="31"/>
        <v>0</v>
      </c>
      <c r="AM61" s="760">
        <f t="shared" si="32"/>
        <v>0</v>
      </c>
      <c r="AN61" s="760"/>
      <c r="AO61" s="761"/>
      <c r="AP61" s="744"/>
      <c r="AQ61" s="743"/>
      <c r="AR61" s="743"/>
      <c r="AS61" s="865"/>
      <c r="AT61" s="746">
        <f t="shared" si="33"/>
        <v>0</v>
      </c>
      <c r="AU61" s="743">
        <f t="shared" si="34"/>
        <v>0</v>
      </c>
      <c r="AV61" s="747">
        <f t="shared" si="35"/>
        <v>0</v>
      </c>
      <c r="AW61" s="747" t="e">
        <f t="shared" si="36"/>
        <v>#DIV/0!</v>
      </c>
      <c r="AY61" s="743">
        <f t="shared" ref="AY61:AY66" si="38">IF(AY$59=0,0,SUMPRODUCT(AT$59:AV$59,AT61:AV61)/AY$59)</f>
        <v>0</v>
      </c>
    </row>
    <row r="62" spans="1:51">
      <c r="A62" s="742" t="s">
        <v>420</v>
      </c>
      <c r="B62" s="743"/>
      <c r="C62" s="742"/>
      <c r="D62" s="743">
        <f t="shared" ref="D62:AG62" si="39">IF(D59=0,0,D$20)</f>
        <v>0</v>
      </c>
      <c r="E62" s="743">
        <f t="shared" si="39"/>
        <v>0</v>
      </c>
      <c r="F62" s="743">
        <f t="shared" si="39"/>
        <v>0</v>
      </c>
      <c r="G62" s="743">
        <f t="shared" si="39"/>
        <v>0</v>
      </c>
      <c r="H62" s="743">
        <f t="shared" si="39"/>
        <v>0</v>
      </c>
      <c r="I62" s="743">
        <f t="shared" si="39"/>
        <v>0</v>
      </c>
      <c r="J62" s="743">
        <f t="shared" si="39"/>
        <v>0</v>
      </c>
      <c r="K62" s="743">
        <f t="shared" si="39"/>
        <v>0</v>
      </c>
      <c r="L62" s="743">
        <f t="shared" si="39"/>
        <v>0</v>
      </c>
      <c r="M62" s="743">
        <f t="shared" si="39"/>
        <v>0</v>
      </c>
      <c r="N62" s="743">
        <f t="shared" si="39"/>
        <v>0</v>
      </c>
      <c r="O62" s="743">
        <f t="shared" si="39"/>
        <v>0</v>
      </c>
      <c r="P62" s="743">
        <f t="shared" si="39"/>
        <v>0</v>
      </c>
      <c r="Q62" s="743">
        <f t="shared" si="39"/>
        <v>0</v>
      </c>
      <c r="R62" s="743">
        <f t="shared" si="39"/>
        <v>0</v>
      </c>
      <c r="S62" s="743">
        <f t="shared" si="39"/>
        <v>0</v>
      </c>
      <c r="T62" s="743">
        <f t="shared" si="39"/>
        <v>0</v>
      </c>
      <c r="U62" s="743">
        <f t="shared" si="39"/>
        <v>0</v>
      </c>
      <c r="V62" s="743">
        <f t="shared" si="39"/>
        <v>0</v>
      </c>
      <c r="W62" s="743">
        <f t="shared" si="39"/>
        <v>0</v>
      </c>
      <c r="X62" s="743">
        <f t="shared" si="39"/>
        <v>0</v>
      </c>
      <c r="Y62" s="743">
        <f t="shared" si="39"/>
        <v>0</v>
      </c>
      <c r="Z62" s="743">
        <f t="shared" si="39"/>
        <v>0</v>
      </c>
      <c r="AA62" s="743">
        <f t="shared" si="39"/>
        <v>0</v>
      </c>
      <c r="AB62" s="743">
        <f t="shared" si="39"/>
        <v>0</v>
      </c>
      <c r="AC62" s="743">
        <f t="shared" si="39"/>
        <v>0</v>
      </c>
      <c r="AD62" s="743">
        <f t="shared" si="39"/>
        <v>0</v>
      </c>
      <c r="AE62" s="743">
        <f t="shared" si="39"/>
        <v>0</v>
      </c>
      <c r="AF62" s="743">
        <f t="shared" si="39"/>
        <v>0</v>
      </c>
      <c r="AG62" s="744">
        <f t="shared" si="39"/>
        <v>0</v>
      </c>
      <c r="AH62" s="762">
        <f t="shared" si="30"/>
        <v>0</v>
      </c>
      <c r="AI62" s="743"/>
      <c r="AJ62" s="743"/>
      <c r="AK62" s="743"/>
      <c r="AL62" s="760">
        <f t="shared" si="31"/>
        <v>0</v>
      </c>
      <c r="AM62" s="760">
        <f t="shared" si="32"/>
        <v>0</v>
      </c>
      <c r="AN62" s="760"/>
      <c r="AO62" s="761"/>
      <c r="AP62" s="744"/>
      <c r="AQ62" s="743"/>
      <c r="AR62" s="743"/>
      <c r="AS62" s="865"/>
      <c r="AT62" s="746">
        <f t="shared" si="33"/>
        <v>0</v>
      </c>
      <c r="AU62" s="743">
        <f t="shared" si="34"/>
        <v>0</v>
      </c>
      <c r="AV62" s="747">
        <f t="shared" si="35"/>
        <v>0</v>
      </c>
      <c r="AW62" s="747" t="e">
        <f t="shared" si="36"/>
        <v>#DIV/0!</v>
      </c>
      <c r="AY62" s="743">
        <f t="shared" si="38"/>
        <v>0</v>
      </c>
    </row>
    <row r="63" spans="1:51">
      <c r="A63" s="742" t="s">
        <v>464</v>
      </c>
      <c r="B63" s="743"/>
      <c r="C63" s="742"/>
      <c r="D63" s="743">
        <f t="shared" ref="D63:AG63" si="40">IF(D59=0,0,D$21)</f>
        <v>0</v>
      </c>
      <c r="E63" s="743">
        <f t="shared" si="40"/>
        <v>0</v>
      </c>
      <c r="F63" s="743">
        <f t="shared" si="40"/>
        <v>0</v>
      </c>
      <c r="G63" s="743">
        <f t="shared" si="40"/>
        <v>0</v>
      </c>
      <c r="H63" s="743">
        <f t="shared" si="40"/>
        <v>0</v>
      </c>
      <c r="I63" s="743">
        <f t="shared" si="40"/>
        <v>0</v>
      </c>
      <c r="J63" s="743">
        <f t="shared" si="40"/>
        <v>0</v>
      </c>
      <c r="K63" s="743">
        <f t="shared" si="40"/>
        <v>0</v>
      </c>
      <c r="L63" s="743">
        <f t="shared" si="40"/>
        <v>0</v>
      </c>
      <c r="M63" s="743">
        <f t="shared" si="40"/>
        <v>0</v>
      </c>
      <c r="N63" s="743">
        <f t="shared" si="40"/>
        <v>0</v>
      </c>
      <c r="O63" s="743">
        <f t="shared" si="40"/>
        <v>0</v>
      </c>
      <c r="P63" s="743">
        <f t="shared" si="40"/>
        <v>0</v>
      </c>
      <c r="Q63" s="743">
        <f t="shared" si="40"/>
        <v>0</v>
      </c>
      <c r="R63" s="743">
        <f t="shared" si="40"/>
        <v>0</v>
      </c>
      <c r="S63" s="743">
        <f t="shared" si="40"/>
        <v>0</v>
      </c>
      <c r="T63" s="743">
        <f t="shared" si="40"/>
        <v>0</v>
      </c>
      <c r="U63" s="743">
        <f t="shared" si="40"/>
        <v>0</v>
      </c>
      <c r="V63" s="743">
        <f t="shared" si="40"/>
        <v>0</v>
      </c>
      <c r="W63" s="743">
        <f t="shared" si="40"/>
        <v>0</v>
      </c>
      <c r="X63" s="743">
        <f t="shared" si="40"/>
        <v>0</v>
      </c>
      <c r="Y63" s="743">
        <f t="shared" si="40"/>
        <v>0</v>
      </c>
      <c r="Z63" s="743">
        <f t="shared" si="40"/>
        <v>0</v>
      </c>
      <c r="AA63" s="743">
        <f t="shared" si="40"/>
        <v>0</v>
      </c>
      <c r="AB63" s="743">
        <f t="shared" si="40"/>
        <v>0</v>
      </c>
      <c r="AC63" s="743">
        <f t="shared" si="40"/>
        <v>0</v>
      </c>
      <c r="AD63" s="743">
        <f t="shared" si="40"/>
        <v>0</v>
      </c>
      <c r="AE63" s="743">
        <f t="shared" si="40"/>
        <v>0</v>
      </c>
      <c r="AF63" s="743">
        <f t="shared" si="40"/>
        <v>0</v>
      </c>
      <c r="AG63" s="744">
        <f t="shared" si="40"/>
        <v>0</v>
      </c>
      <c r="AH63" s="762">
        <f t="shared" si="30"/>
        <v>0</v>
      </c>
      <c r="AI63" s="743"/>
      <c r="AJ63" s="743"/>
      <c r="AK63" s="743"/>
      <c r="AL63" s="760">
        <f t="shared" si="31"/>
        <v>0</v>
      </c>
      <c r="AM63" s="760">
        <f t="shared" si="32"/>
        <v>0</v>
      </c>
      <c r="AN63" s="760"/>
      <c r="AO63" s="761"/>
      <c r="AP63" s="744"/>
      <c r="AQ63" s="743"/>
      <c r="AR63" s="743"/>
      <c r="AS63" s="865"/>
      <c r="AT63" s="746">
        <f t="shared" si="33"/>
        <v>0</v>
      </c>
      <c r="AU63" s="743">
        <f t="shared" si="34"/>
        <v>0</v>
      </c>
      <c r="AV63" s="747">
        <f t="shared" si="35"/>
        <v>0</v>
      </c>
      <c r="AW63" s="747" t="e">
        <f t="shared" si="36"/>
        <v>#DIV/0!</v>
      </c>
      <c r="AY63" s="743">
        <f t="shared" si="38"/>
        <v>0</v>
      </c>
    </row>
    <row r="64" spans="1:51">
      <c r="A64" s="742" t="s">
        <v>416</v>
      </c>
      <c r="B64" s="743"/>
      <c r="C64" s="742"/>
      <c r="D64" s="743">
        <f>IF(D59=0,0,D$22)</f>
        <v>0</v>
      </c>
      <c r="E64" s="743">
        <f>IF(E59=0,0,E$22)</f>
        <v>0</v>
      </c>
      <c r="F64" s="743">
        <f>IF(F59=0,0,F$22)</f>
        <v>0</v>
      </c>
      <c r="G64" s="743">
        <f>IF(G59=0,0,G$22)</f>
        <v>0</v>
      </c>
      <c r="H64" s="743">
        <f>IF(H59=0,0,H$22)</f>
        <v>0</v>
      </c>
      <c r="I64" s="743">
        <f t="shared" ref="I64:AG64" si="41">IF(I59=0,0,I$22)</f>
        <v>0</v>
      </c>
      <c r="J64" s="743">
        <f t="shared" si="41"/>
        <v>0</v>
      </c>
      <c r="K64" s="743">
        <f t="shared" si="41"/>
        <v>0</v>
      </c>
      <c r="L64" s="743">
        <f t="shared" si="41"/>
        <v>0</v>
      </c>
      <c r="M64" s="743">
        <f t="shared" si="41"/>
        <v>0</v>
      </c>
      <c r="N64" s="743">
        <f t="shared" si="41"/>
        <v>0</v>
      </c>
      <c r="O64" s="743">
        <f t="shared" si="41"/>
        <v>0</v>
      </c>
      <c r="P64" s="743">
        <f t="shared" si="41"/>
        <v>0</v>
      </c>
      <c r="Q64" s="743">
        <f t="shared" si="41"/>
        <v>0</v>
      </c>
      <c r="R64" s="743">
        <f t="shared" si="41"/>
        <v>0</v>
      </c>
      <c r="S64" s="743">
        <f t="shared" si="41"/>
        <v>0</v>
      </c>
      <c r="T64" s="743">
        <f t="shared" si="41"/>
        <v>0</v>
      </c>
      <c r="U64" s="743">
        <f t="shared" si="41"/>
        <v>0</v>
      </c>
      <c r="V64" s="743">
        <f t="shared" si="41"/>
        <v>0</v>
      </c>
      <c r="W64" s="743">
        <f t="shared" si="41"/>
        <v>0</v>
      </c>
      <c r="X64" s="743">
        <f t="shared" si="41"/>
        <v>0</v>
      </c>
      <c r="Y64" s="743">
        <f t="shared" si="41"/>
        <v>0</v>
      </c>
      <c r="Z64" s="743">
        <f t="shared" si="41"/>
        <v>0</v>
      </c>
      <c r="AA64" s="743">
        <f t="shared" si="41"/>
        <v>0</v>
      </c>
      <c r="AB64" s="743">
        <f t="shared" si="41"/>
        <v>0</v>
      </c>
      <c r="AC64" s="743">
        <f t="shared" si="41"/>
        <v>0</v>
      </c>
      <c r="AD64" s="743">
        <f t="shared" si="41"/>
        <v>0</v>
      </c>
      <c r="AE64" s="743">
        <f t="shared" si="41"/>
        <v>0</v>
      </c>
      <c r="AF64" s="743">
        <f t="shared" si="41"/>
        <v>0</v>
      </c>
      <c r="AG64" s="744">
        <f t="shared" si="41"/>
        <v>0</v>
      </c>
      <c r="AH64" s="762">
        <f t="shared" si="30"/>
        <v>0</v>
      </c>
      <c r="AI64" s="743"/>
      <c r="AJ64" s="743"/>
      <c r="AK64" s="743"/>
      <c r="AL64" s="760">
        <f t="shared" si="31"/>
        <v>0</v>
      </c>
      <c r="AM64" s="760">
        <f t="shared" si="32"/>
        <v>0</v>
      </c>
      <c r="AN64" s="760"/>
      <c r="AO64" s="761"/>
      <c r="AP64" s="744"/>
      <c r="AQ64" s="743"/>
      <c r="AR64" s="743"/>
      <c r="AS64" s="865"/>
      <c r="AT64" s="746">
        <f t="shared" si="33"/>
        <v>0</v>
      </c>
      <c r="AU64" s="743">
        <f t="shared" si="34"/>
        <v>0</v>
      </c>
      <c r="AV64" s="747">
        <f t="shared" si="35"/>
        <v>0</v>
      </c>
      <c r="AW64" s="747" t="e">
        <f t="shared" si="36"/>
        <v>#DIV/0!</v>
      </c>
      <c r="AY64" s="743">
        <f t="shared" si="38"/>
        <v>0</v>
      </c>
    </row>
    <row r="65" spans="1:51">
      <c r="A65" s="742" t="s">
        <v>465</v>
      </c>
      <c r="B65" s="743"/>
      <c r="C65" s="742"/>
      <c r="D65" s="743">
        <f>IF(D59=0,0,D$24)</f>
        <v>0</v>
      </c>
      <c r="E65" s="743">
        <f>IF(E59=0,0,E$24)</f>
        <v>0</v>
      </c>
      <c r="F65" s="743">
        <f>IF(F59=0,0,F$24)</f>
        <v>0</v>
      </c>
      <c r="G65" s="743">
        <f>IF(G59=0,0,G$24)</f>
        <v>0</v>
      </c>
      <c r="H65" s="743">
        <f>IF(H59=0,0,H$24)</f>
        <v>0</v>
      </c>
      <c r="I65" s="743">
        <f t="shared" ref="I65:AG65" si="42">IF(I59=0,0,I$24)</f>
        <v>0</v>
      </c>
      <c r="J65" s="743">
        <f t="shared" si="42"/>
        <v>0</v>
      </c>
      <c r="K65" s="743">
        <f t="shared" si="42"/>
        <v>0</v>
      </c>
      <c r="L65" s="743">
        <f t="shared" si="42"/>
        <v>0</v>
      </c>
      <c r="M65" s="743">
        <f t="shared" si="42"/>
        <v>0</v>
      </c>
      <c r="N65" s="743">
        <f t="shared" si="42"/>
        <v>0</v>
      </c>
      <c r="O65" s="743">
        <f t="shared" si="42"/>
        <v>0</v>
      </c>
      <c r="P65" s="743">
        <f t="shared" si="42"/>
        <v>0</v>
      </c>
      <c r="Q65" s="743">
        <f t="shared" si="42"/>
        <v>0</v>
      </c>
      <c r="R65" s="743">
        <f t="shared" si="42"/>
        <v>0</v>
      </c>
      <c r="S65" s="743">
        <f t="shared" si="42"/>
        <v>0</v>
      </c>
      <c r="T65" s="743">
        <f t="shared" si="42"/>
        <v>0</v>
      </c>
      <c r="U65" s="743">
        <f t="shared" si="42"/>
        <v>0</v>
      </c>
      <c r="V65" s="743">
        <f t="shared" si="42"/>
        <v>0</v>
      </c>
      <c r="W65" s="743">
        <f t="shared" si="42"/>
        <v>0</v>
      </c>
      <c r="X65" s="743">
        <f t="shared" si="42"/>
        <v>0</v>
      </c>
      <c r="Y65" s="743">
        <f t="shared" si="42"/>
        <v>0</v>
      </c>
      <c r="Z65" s="743">
        <f t="shared" si="42"/>
        <v>0</v>
      </c>
      <c r="AA65" s="743">
        <f t="shared" si="42"/>
        <v>0</v>
      </c>
      <c r="AB65" s="743">
        <f t="shared" si="42"/>
        <v>0</v>
      </c>
      <c r="AC65" s="743">
        <f t="shared" si="42"/>
        <v>0</v>
      </c>
      <c r="AD65" s="743">
        <f t="shared" si="42"/>
        <v>0</v>
      </c>
      <c r="AE65" s="743">
        <f t="shared" si="42"/>
        <v>0</v>
      </c>
      <c r="AF65" s="743">
        <f t="shared" si="42"/>
        <v>0</v>
      </c>
      <c r="AG65" s="744">
        <f t="shared" si="42"/>
        <v>0</v>
      </c>
      <c r="AH65" s="762">
        <f t="shared" si="30"/>
        <v>0</v>
      </c>
      <c r="AI65" s="743"/>
      <c r="AJ65" s="743"/>
      <c r="AK65" s="743"/>
      <c r="AL65" s="760">
        <f t="shared" si="31"/>
        <v>0</v>
      </c>
      <c r="AM65" s="760">
        <f t="shared" si="32"/>
        <v>0</v>
      </c>
      <c r="AN65" s="760"/>
      <c r="AO65" s="761"/>
      <c r="AP65" s="744"/>
      <c r="AQ65" s="743"/>
      <c r="AR65" s="743"/>
      <c r="AS65" s="865"/>
      <c r="AT65" s="746">
        <f t="shared" si="33"/>
        <v>0</v>
      </c>
      <c r="AU65" s="743">
        <f t="shared" si="34"/>
        <v>0</v>
      </c>
      <c r="AV65" s="747">
        <f t="shared" si="35"/>
        <v>0</v>
      </c>
      <c r="AW65" s="747" t="e">
        <f t="shared" si="36"/>
        <v>#DIV/0!</v>
      </c>
      <c r="AY65" s="743">
        <f t="shared" si="38"/>
        <v>0</v>
      </c>
    </row>
    <row r="66" spans="1:51">
      <c r="A66" s="742" t="s">
        <v>419</v>
      </c>
      <c r="B66" s="743"/>
      <c r="C66" s="742"/>
      <c r="D66" s="743">
        <f>IF(D59=0,0,D$23)</f>
        <v>0</v>
      </c>
      <c r="E66" s="743">
        <f>IF(E59=0,0,E$23)</f>
        <v>0</v>
      </c>
      <c r="F66" s="743">
        <f>IF(F59=0,0,F$23)</f>
        <v>0</v>
      </c>
      <c r="G66" s="743">
        <f>IF(G59=0,0,G$23)</f>
        <v>0</v>
      </c>
      <c r="H66" s="743">
        <f>IF(H59=0,0,H$23)</f>
        <v>0</v>
      </c>
      <c r="I66" s="743">
        <f t="shared" ref="I66:AG66" si="43">IF(I59=0,0,I$23)</f>
        <v>0</v>
      </c>
      <c r="J66" s="743">
        <f t="shared" si="43"/>
        <v>0</v>
      </c>
      <c r="K66" s="743">
        <f t="shared" si="43"/>
        <v>0</v>
      </c>
      <c r="L66" s="743">
        <f t="shared" si="43"/>
        <v>0</v>
      </c>
      <c r="M66" s="743">
        <f t="shared" si="43"/>
        <v>0</v>
      </c>
      <c r="N66" s="743">
        <f t="shared" si="43"/>
        <v>0</v>
      </c>
      <c r="O66" s="743">
        <f t="shared" si="43"/>
        <v>0</v>
      </c>
      <c r="P66" s="743">
        <f t="shared" si="43"/>
        <v>0</v>
      </c>
      <c r="Q66" s="743">
        <f t="shared" si="43"/>
        <v>0</v>
      </c>
      <c r="R66" s="743">
        <f t="shared" si="43"/>
        <v>0</v>
      </c>
      <c r="S66" s="743">
        <f t="shared" si="43"/>
        <v>0</v>
      </c>
      <c r="T66" s="743">
        <f t="shared" si="43"/>
        <v>0</v>
      </c>
      <c r="U66" s="743">
        <f t="shared" si="43"/>
        <v>0</v>
      </c>
      <c r="V66" s="743">
        <f t="shared" si="43"/>
        <v>0</v>
      </c>
      <c r="W66" s="743">
        <f t="shared" si="43"/>
        <v>0</v>
      </c>
      <c r="X66" s="743">
        <f t="shared" si="43"/>
        <v>0</v>
      </c>
      <c r="Y66" s="743">
        <f t="shared" si="43"/>
        <v>0</v>
      </c>
      <c r="Z66" s="743">
        <f t="shared" si="43"/>
        <v>0</v>
      </c>
      <c r="AA66" s="743">
        <f t="shared" si="43"/>
        <v>0</v>
      </c>
      <c r="AB66" s="743">
        <f t="shared" si="43"/>
        <v>0</v>
      </c>
      <c r="AC66" s="743">
        <f t="shared" si="43"/>
        <v>0</v>
      </c>
      <c r="AD66" s="743">
        <f t="shared" si="43"/>
        <v>0</v>
      </c>
      <c r="AE66" s="743">
        <f t="shared" si="43"/>
        <v>0</v>
      </c>
      <c r="AF66" s="743">
        <f t="shared" si="43"/>
        <v>0</v>
      </c>
      <c r="AG66" s="744">
        <f t="shared" si="43"/>
        <v>0</v>
      </c>
      <c r="AH66" s="762">
        <f t="shared" si="30"/>
        <v>0</v>
      </c>
      <c r="AI66" s="743"/>
      <c r="AJ66" s="743"/>
      <c r="AK66" s="743"/>
      <c r="AL66" s="760">
        <f t="shared" si="31"/>
        <v>0</v>
      </c>
      <c r="AM66" s="760">
        <f t="shared" si="32"/>
        <v>0</v>
      </c>
      <c r="AN66" s="760"/>
      <c r="AO66" s="761"/>
      <c r="AP66" s="744"/>
      <c r="AQ66" s="743"/>
      <c r="AR66" s="743"/>
      <c r="AS66" s="865"/>
      <c r="AT66" s="746">
        <f t="shared" si="33"/>
        <v>0</v>
      </c>
      <c r="AU66" s="743">
        <f t="shared" si="34"/>
        <v>0</v>
      </c>
      <c r="AV66" s="747">
        <f t="shared" si="35"/>
        <v>0</v>
      </c>
      <c r="AW66" s="747" t="e">
        <f t="shared" si="36"/>
        <v>#DIV/0!</v>
      </c>
      <c r="AY66" s="743">
        <f t="shared" si="38"/>
        <v>0</v>
      </c>
    </row>
    <row r="67" spans="1:51">
      <c r="AH67" s="766"/>
      <c r="AI67" s="767"/>
      <c r="AJ67" s="767"/>
      <c r="AK67" s="767"/>
      <c r="AL67" s="767"/>
      <c r="AM67" s="767"/>
      <c r="AN67" s="767"/>
      <c r="AO67" s="767"/>
      <c r="AP67" s="767"/>
      <c r="AQ67" s="743"/>
      <c r="AR67" s="743"/>
      <c r="AS67" s="767"/>
      <c r="AT67" s="766"/>
      <c r="AU67" s="767"/>
      <c r="AV67" s="768"/>
      <c r="AW67" s="768"/>
    </row>
    <row r="68" spans="1:51">
      <c r="A68" s="760" t="s">
        <v>472</v>
      </c>
      <c r="B68" s="774">
        <v>47256.337493999999</v>
      </c>
      <c r="C68" s="759" t="s">
        <v>85</v>
      </c>
      <c r="D68" s="760"/>
      <c r="E68" s="760"/>
      <c r="F68" s="760">
        <v>0</v>
      </c>
      <c r="G68" s="760">
        <v>0</v>
      </c>
      <c r="H68" s="760"/>
      <c r="I68" s="760">
        <v>0</v>
      </c>
      <c r="J68" s="760"/>
      <c r="K68" s="760">
        <v>0</v>
      </c>
      <c r="L68" s="760"/>
      <c r="M68" s="760">
        <v>0</v>
      </c>
      <c r="N68" s="760">
        <v>0</v>
      </c>
      <c r="O68" s="760"/>
      <c r="P68" s="760">
        <v>0</v>
      </c>
      <c r="Q68" s="760"/>
      <c r="R68" s="760"/>
      <c r="S68" s="760">
        <v>0</v>
      </c>
      <c r="T68" s="760"/>
      <c r="U68" s="760"/>
      <c r="V68" s="760">
        <v>0</v>
      </c>
      <c r="W68" s="760"/>
      <c r="X68" s="760"/>
      <c r="Y68" s="760">
        <v>0</v>
      </c>
      <c r="Z68" s="760"/>
      <c r="AA68" s="760"/>
      <c r="AB68" s="760">
        <v>0</v>
      </c>
      <c r="AC68" s="760"/>
      <c r="AD68" s="760"/>
      <c r="AE68" s="760">
        <v>0</v>
      </c>
      <c r="AF68" s="760"/>
      <c r="AG68" s="761"/>
      <c r="AH68" s="762">
        <f>G68</f>
        <v>0</v>
      </c>
      <c r="AI68" s="760"/>
      <c r="AJ68" s="760"/>
      <c r="AK68" s="760"/>
      <c r="AL68" s="760">
        <f>K68</f>
        <v>0</v>
      </c>
      <c r="AM68" s="760"/>
      <c r="AN68" s="760"/>
      <c r="AO68" s="761"/>
      <c r="AP68" s="761">
        <f>F68</f>
        <v>0</v>
      </c>
      <c r="AQ68" s="760">
        <f>I68</f>
        <v>0</v>
      </c>
      <c r="AR68" s="760"/>
      <c r="AS68" s="867"/>
      <c r="AT68" s="765">
        <f>SUM(AH68:AI68)</f>
        <v>0</v>
      </c>
      <c r="AU68" s="760">
        <f>SUM(AL68:AM68)</f>
        <v>0</v>
      </c>
      <c r="AV68" s="764">
        <f>SUM(AP68:AQ68)</f>
        <v>0</v>
      </c>
      <c r="AW68" s="764">
        <f>SUM(D68:AG68)</f>
        <v>0</v>
      </c>
      <c r="AY68" s="731">
        <f>SUM(AT68:AV68)</f>
        <v>0</v>
      </c>
    </row>
    <row r="69" spans="1:51">
      <c r="A69" s="742" t="s">
        <v>460</v>
      </c>
      <c r="B69" s="760"/>
      <c r="C69" s="759"/>
      <c r="D69" s="743">
        <f>IF(D68=0,0,D$18)</f>
        <v>0</v>
      </c>
      <c r="E69" s="743">
        <f>IF(E68=0,0,E$18)</f>
        <v>0</v>
      </c>
      <c r="F69" s="743">
        <f>IF(F68=0,0,F$18)</f>
        <v>0</v>
      </c>
      <c r="G69" s="743">
        <f>IF(G68=0,0,G$18)</f>
        <v>0</v>
      </c>
      <c r="H69" s="743">
        <f>IF(H68=0,0,H$18)</f>
        <v>0</v>
      </c>
      <c r="I69" s="743">
        <f t="shared" ref="I69:AG69" si="44">IF(I68=0,0,I$18)</f>
        <v>0</v>
      </c>
      <c r="J69" s="743">
        <f t="shared" si="44"/>
        <v>0</v>
      </c>
      <c r="K69" s="743">
        <f t="shared" si="44"/>
        <v>0</v>
      </c>
      <c r="L69" s="743">
        <f t="shared" si="44"/>
        <v>0</v>
      </c>
      <c r="M69" s="743">
        <f t="shared" si="44"/>
        <v>0</v>
      </c>
      <c r="N69" s="743">
        <f t="shared" si="44"/>
        <v>0</v>
      </c>
      <c r="O69" s="743">
        <f t="shared" si="44"/>
        <v>0</v>
      </c>
      <c r="P69" s="743">
        <f t="shared" si="44"/>
        <v>0</v>
      </c>
      <c r="Q69" s="743">
        <f t="shared" si="44"/>
        <v>0</v>
      </c>
      <c r="R69" s="743">
        <f t="shared" si="44"/>
        <v>0</v>
      </c>
      <c r="S69" s="743">
        <f t="shared" si="44"/>
        <v>0</v>
      </c>
      <c r="T69" s="743">
        <f t="shared" si="44"/>
        <v>0</v>
      </c>
      <c r="U69" s="743">
        <f t="shared" si="44"/>
        <v>0</v>
      </c>
      <c r="V69" s="743">
        <f t="shared" si="44"/>
        <v>0</v>
      </c>
      <c r="W69" s="743">
        <f t="shared" si="44"/>
        <v>0</v>
      </c>
      <c r="X69" s="743">
        <f t="shared" si="44"/>
        <v>0</v>
      </c>
      <c r="Y69" s="743">
        <f t="shared" si="44"/>
        <v>0</v>
      </c>
      <c r="Z69" s="743">
        <f t="shared" si="44"/>
        <v>0</v>
      </c>
      <c r="AA69" s="743">
        <f t="shared" si="44"/>
        <v>0</v>
      </c>
      <c r="AB69" s="743">
        <f t="shared" si="44"/>
        <v>0</v>
      </c>
      <c r="AC69" s="743">
        <f t="shared" si="44"/>
        <v>0</v>
      </c>
      <c r="AD69" s="743">
        <f t="shared" si="44"/>
        <v>0</v>
      </c>
      <c r="AE69" s="743">
        <f t="shared" si="44"/>
        <v>0</v>
      </c>
      <c r="AF69" s="743">
        <f t="shared" si="44"/>
        <v>0</v>
      </c>
      <c r="AG69" s="744">
        <f t="shared" si="44"/>
        <v>0</v>
      </c>
      <c r="AH69" s="762">
        <f t="shared" ref="AH69:AH75" si="45">G69</f>
        <v>0</v>
      </c>
      <c r="AI69" s="743"/>
      <c r="AJ69" s="743"/>
      <c r="AK69" s="743"/>
      <c r="AL69" s="760">
        <f t="shared" ref="AL69:AL75" si="46">K69</f>
        <v>0</v>
      </c>
      <c r="AM69" s="743"/>
      <c r="AN69" s="743"/>
      <c r="AO69" s="744"/>
      <c r="AP69" s="761">
        <f t="shared" ref="AP69:AP75" si="47">F69</f>
        <v>0</v>
      </c>
      <c r="AQ69" s="760">
        <f t="shared" ref="AQ69:AQ75" si="48">I69</f>
        <v>0</v>
      </c>
      <c r="AR69" s="760"/>
      <c r="AS69" s="867"/>
      <c r="AT69" s="746">
        <f t="shared" ref="AT69:AT75" si="49">IF(AT$68=0,0,SUMPRODUCT(AH$68:AI$68,AH69:AI69)/AT$68)</f>
        <v>0</v>
      </c>
      <c r="AU69" s="743">
        <f t="shared" ref="AU69:AU75" si="50">IF(AU$68=0,0,SUMPRODUCT(AL$68:AM$68,AL69:AM69)/AU$68)</f>
        <v>0</v>
      </c>
      <c r="AV69" s="747">
        <f t="shared" ref="AV69:AV75" si="51">IF(AV$68=0,0,SUMPRODUCT(AP$68:AQ$68,AP69:AQ69)/AV$68)</f>
        <v>0</v>
      </c>
      <c r="AW69" s="747" t="e">
        <f t="shared" ref="AW69:AW75" si="52">SUMPRODUCT(D$68:AG$68,D69:AG69)/AW$68</f>
        <v>#DIV/0!</v>
      </c>
      <c r="AY69" s="743">
        <f>IF(AY$68=0,0,SUMPRODUCT(AT$68:AV$68,AT69:AV69)/AY$68)</f>
        <v>0</v>
      </c>
    </row>
    <row r="70" spans="1:51">
      <c r="A70" s="742" t="s">
        <v>462</v>
      </c>
      <c r="B70" s="743"/>
      <c r="C70" s="742"/>
      <c r="D70" s="743">
        <f t="shared" ref="D70:AG70" si="53">IF(D68=0,0,D$19)</f>
        <v>0</v>
      </c>
      <c r="E70" s="743">
        <f t="shared" si="53"/>
        <v>0</v>
      </c>
      <c r="F70" s="743">
        <f t="shared" si="53"/>
        <v>0</v>
      </c>
      <c r="G70" s="743">
        <f t="shared" si="53"/>
        <v>0</v>
      </c>
      <c r="H70" s="743">
        <f t="shared" si="53"/>
        <v>0</v>
      </c>
      <c r="I70" s="743">
        <f t="shared" si="53"/>
        <v>0</v>
      </c>
      <c r="J70" s="743">
        <f t="shared" si="53"/>
        <v>0</v>
      </c>
      <c r="K70" s="743">
        <f t="shared" si="53"/>
        <v>0</v>
      </c>
      <c r="L70" s="743">
        <f t="shared" si="53"/>
        <v>0</v>
      </c>
      <c r="M70" s="743">
        <f t="shared" si="53"/>
        <v>0</v>
      </c>
      <c r="N70" s="743">
        <f t="shared" si="53"/>
        <v>0</v>
      </c>
      <c r="O70" s="743">
        <f t="shared" si="53"/>
        <v>0</v>
      </c>
      <c r="P70" s="743">
        <f t="shared" si="53"/>
        <v>0</v>
      </c>
      <c r="Q70" s="743">
        <f t="shared" si="53"/>
        <v>0</v>
      </c>
      <c r="R70" s="743">
        <f t="shared" si="53"/>
        <v>0</v>
      </c>
      <c r="S70" s="743">
        <f t="shared" si="53"/>
        <v>0</v>
      </c>
      <c r="T70" s="743">
        <f t="shared" si="53"/>
        <v>0</v>
      </c>
      <c r="U70" s="743">
        <f t="shared" si="53"/>
        <v>0</v>
      </c>
      <c r="V70" s="743">
        <f t="shared" si="53"/>
        <v>0</v>
      </c>
      <c r="W70" s="743">
        <f t="shared" si="53"/>
        <v>0</v>
      </c>
      <c r="X70" s="743">
        <f t="shared" si="53"/>
        <v>0</v>
      </c>
      <c r="Y70" s="743">
        <f t="shared" si="53"/>
        <v>0</v>
      </c>
      <c r="Z70" s="743">
        <f t="shared" si="53"/>
        <v>0</v>
      </c>
      <c r="AA70" s="743">
        <f t="shared" si="53"/>
        <v>0</v>
      </c>
      <c r="AB70" s="743">
        <f t="shared" si="53"/>
        <v>0</v>
      </c>
      <c r="AC70" s="743">
        <f t="shared" si="53"/>
        <v>0</v>
      </c>
      <c r="AD70" s="743">
        <f t="shared" si="53"/>
        <v>0</v>
      </c>
      <c r="AE70" s="743">
        <f t="shared" si="53"/>
        <v>0</v>
      </c>
      <c r="AF70" s="743">
        <f t="shared" si="53"/>
        <v>0</v>
      </c>
      <c r="AG70" s="744">
        <f t="shared" si="53"/>
        <v>0</v>
      </c>
      <c r="AH70" s="762">
        <f t="shared" si="45"/>
        <v>0</v>
      </c>
      <c r="AI70" s="743"/>
      <c r="AJ70" s="743"/>
      <c r="AK70" s="743"/>
      <c r="AL70" s="760">
        <f t="shared" si="46"/>
        <v>0</v>
      </c>
      <c r="AM70" s="743"/>
      <c r="AN70" s="743"/>
      <c r="AO70" s="744"/>
      <c r="AP70" s="761">
        <f t="shared" si="47"/>
        <v>0</v>
      </c>
      <c r="AQ70" s="760">
        <f t="shared" si="48"/>
        <v>0</v>
      </c>
      <c r="AR70" s="760"/>
      <c r="AS70" s="867"/>
      <c r="AT70" s="746">
        <f t="shared" si="49"/>
        <v>0</v>
      </c>
      <c r="AU70" s="743">
        <f t="shared" si="50"/>
        <v>0</v>
      </c>
      <c r="AV70" s="747">
        <f t="shared" si="51"/>
        <v>0</v>
      </c>
      <c r="AW70" s="747" t="e">
        <f t="shared" si="52"/>
        <v>#DIV/0!</v>
      </c>
      <c r="AY70" s="743">
        <f t="shared" ref="AY70:AY75" si="54">IF(AY$68=0,0,SUMPRODUCT(AT$68:AV$68,AT70:AV70)/AY$68)</f>
        <v>0</v>
      </c>
    </row>
    <row r="71" spans="1:51">
      <c r="A71" s="742" t="s">
        <v>420</v>
      </c>
      <c r="B71" s="743"/>
      <c r="C71" s="742"/>
      <c r="D71" s="743">
        <f t="shared" ref="D71:AG71" si="55">IF(D68=0,0,D$20)</f>
        <v>0</v>
      </c>
      <c r="E71" s="743">
        <f t="shared" si="55"/>
        <v>0</v>
      </c>
      <c r="F71" s="743">
        <f t="shared" si="55"/>
        <v>0</v>
      </c>
      <c r="G71" s="743">
        <f t="shared" si="55"/>
        <v>0</v>
      </c>
      <c r="H71" s="743">
        <f t="shared" si="55"/>
        <v>0</v>
      </c>
      <c r="I71" s="743">
        <f t="shared" si="55"/>
        <v>0</v>
      </c>
      <c r="J71" s="743">
        <f t="shared" si="55"/>
        <v>0</v>
      </c>
      <c r="K71" s="743">
        <f t="shared" si="55"/>
        <v>0</v>
      </c>
      <c r="L71" s="743">
        <f t="shared" si="55"/>
        <v>0</v>
      </c>
      <c r="M71" s="743">
        <f t="shared" si="55"/>
        <v>0</v>
      </c>
      <c r="N71" s="743">
        <f t="shared" si="55"/>
        <v>0</v>
      </c>
      <c r="O71" s="743">
        <f t="shared" si="55"/>
        <v>0</v>
      </c>
      <c r="P71" s="743">
        <f t="shared" si="55"/>
        <v>0</v>
      </c>
      <c r="Q71" s="743">
        <f t="shared" si="55"/>
        <v>0</v>
      </c>
      <c r="R71" s="743">
        <f t="shared" si="55"/>
        <v>0</v>
      </c>
      <c r="S71" s="743">
        <f t="shared" si="55"/>
        <v>0</v>
      </c>
      <c r="T71" s="743">
        <f t="shared" si="55"/>
        <v>0</v>
      </c>
      <c r="U71" s="743">
        <f t="shared" si="55"/>
        <v>0</v>
      </c>
      <c r="V71" s="743">
        <f t="shared" si="55"/>
        <v>0</v>
      </c>
      <c r="W71" s="743">
        <f t="shared" si="55"/>
        <v>0</v>
      </c>
      <c r="X71" s="743">
        <f t="shared" si="55"/>
        <v>0</v>
      </c>
      <c r="Y71" s="743">
        <f t="shared" si="55"/>
        <v>0</v>
      </c>
      <c r="Z71" s="743">
        <f t="shared" si="55"/>
        <v>0</v>
      </c>
      <c r="AA71" s="743">
        <f t="shared" si="55"/>
        <v>0</v>
      </c>
      <c r="AB71" s="743">
        <f t="shared" si="55"/>
        <v>0</v>
      </c>
      <c r="AC71" s="743">
        <f t="shared" si="55"/>
        <v>0</v>
      </c>
      <c r="AD71" s="743">
        <f t="shared" si="55"/>
        <v>0</v>
      </c>
      <c r="AE71" s="743">
        <f t="shared" si="55"/>
        <v>0</v>
      </c>
      <c r="AF71" s="743">
        <f t="shared" si="55"/>
        <v>0</v>
      </c>
      <c r="AG71" s="744">
        <f t="shared" si="55"/>
        <v>0</v>
      </c>
      <c r="AH71" s="762">
        <f t="shared" si="45"/>
        <v>0</v>
      </c>
      <c r="AI71" s="743"/>
      <c r="AJ71" s="743"/>
      <c r="AK71" s="743"/>
      <c r="AL71" s="760">
        <f t="shared" si="46"/>
        <v>0</v>
      </c>
      <c r="AM71" s="743"/>
      <c r="AN71" s="743"/>
      <c r="AO71" s="744"/>
      <c r="AP71" s="761">
        <f t="shared" si="47"/>
        <v>0</v>
      </c>
      <c r="AQ71" s="760">
        <f t="shared" si="48"/>
        <v>0</v>
      </c>
      <c r="AR71" s="760"/>
      <c r="AS71" s="867"/>
      <c r="AT71" s="746">
        <f t="shared" si="49"/>
        <v>0</v>
      </c>
      <c r="AU71" s="743">
        <f t="shared" si="50"/>
        <v>0</v>
      </c>
      <c r="AV71" s="747">
        <f t="shared" si="51"/>
        <v>0</v>
      </c>
      <c r="AW71" s="747" t="e">
        <f t="shared" si="52"/>
        <v>#DIV/0!</v>
      </c>
      <c r="AY71" s="743">
        <f t="shared" si="54"/>
        <v>0</v>
      </c>
    </row>
    <row r="72" spans="1:51">
      <c r="A72" s="742" t="s">
        <v>464</v>
      </c>
      <c r="B72" s="743"/>
      <c r="C72" s="742"/>
      <c r="D72" s="743">
        <f t="shared" ref="D72:AG72" si="56">IF(D68=0,0,D$21)</f>
        <v>0</v>
      </c>
      <c r="E72" s="743">
        <f t="shared" si="56"/>
        <v>0</v>
      </c>
      <c r="F72" s="743">
        <f t="shared" si="56"/>
        <v>0</v>
      </c>
      <c r="G72" s="743">
        <f t="shared" si="56"/>
        <v>0</v>
      </c>
      <c r="H72" s="743">
        <f t="shared" si="56"/>
        <v>0</v>
      </c>
      <c r="I72" s="743">
        <f t="shared" si="56"/>
        <v>0</v>
      </c>
      <c r="J72" s="743">
        <f t="shared" si="56"/>
        <v>0</v>
      </c>
      <c r="K72" s="743">
        <f t="shared" si="56"/>
        <v>0</v>
      </c>
      <c r="L72" s="743">
        <f t="shared" si="56"/>
        <v>0</v>
      </c>
      <c r="M72" s="743">
        <f t="shared" si="56"/>
        <v>0</v>
      </c>
      <c r="N72" s="743">
        <f t="shared" si="56"/>
        <v>0</v>
      </c>
      <c r="O72" s="743">
        <f t="shared" si="56"/>
        <v>0</v>
      </c>
      <c r="P72" s="743">
        <f t="shared" si="56"/>
        <v>0</v>
      </c>
      <c r="Q72" s="743">
        <f t="shared" si="56"/>
        <v>0</v>
      </c>
      <c r="R72" s="743">
        <f t="shared" si="56"/>
        <v>0</v>
      </c>
      <c r="S72" s="743">
        <f t="shared" si="56"/>
        <v>0</v>
      </c>
      <c r="T72" s="743">
        <f t="shared" si="56"/>
        <v>0</v>
      </c>
      <c r="U72" s="743">
        <f t="shared" si="56"/>
        <v>0</v>
      </c>
      <c r="V72" s="743">
        <f t="shared" si="56"/>
        <v>0</v>
      </c>
      <c r="W72" s="743">
        <f t="shared" si="56"/>
        <v>0</v>
      </c>
      <c r="X72" s="743">
        <f t="shared" si="56"/>
        <v>0</v>
      </c>
      <c r="Y72" s="743">
        <f t="shared" si="56"/>
        <v>0</v>
      </c>
      <c r="Z72" s="743">
        <f t="shared" si="56"/>
        <v>0</v>
      </c>
      <c r="AA72" s="743">
        <f t="shared" si="56"/>
        <v>0</v>
      </c>
      <c r="AB72" s="743">
        <f t="shared" si="56"/>
        <v>0</v>
      </c>
      <c r="AC72" s="743">
        <f t="shared" si="56"/>
        <v>0</v>
      </c>
      <c r="AD72" s="743">
        <f t="shared" si="56"/>
        <v>0</v>
      </c>
      <c r="AE72" s="743">
        <f t="shared" si="56"/>
        <v>0</v>
      </c>
      <c r="AF72" s="743">
        <f t="shared" si="56"/>
        <v>0</v>
      </c>
      <c r="AG72" s="744">
        <f t="shared" si="56"/>
        <v>0</v>
      </c>
      <c r="AH72" s="762">
        <f t="shared" si="45"/>
        <v>0</v>
      </c>
      <c r="AI72" s="743"/>
      <c r="AJ72" s="743"/>
      <c r="AK72" s="743"/>
      <c r="AL72" s="760">
        <f t="shared" si="46"/>
        <v>0</v>
      </c>
      <c r="AM72" s="743"/>
      <c r="AN72" s="743"/>
      <c r="AO72" s="744"/>
      <c r="AP72" s="761">
        <f t="shared" si="47"/>
        <v>0</v>
      </c>
      <c r="AQ72" s="760">
        <f t="shared" si="48"/>
        <v>0</v>
      </c>
      <c r="AR72" s="760"/>
      <c r="AS72" s="867"/>
      <c r="AT72" s="746">
        <f t="shared" si="49"/>
        <v>0</v>
      </c>
      <c r="AU72" s="743">
        <f t="shared" si="50"/>
        <v>0</v>
      </c>
      <c r="AV72" s="747">
        <f t="shared" si="51"/>
        <v>0</v>
      </c>
      <c r="AW72" s="747" t="e">
        <f t="shared" si="52"/>
        <v>#DIV/0!</v>
      </c>
      <c r="AY72" s="743">
        <f t="shared" si="54"/>
        <v>0</v>
      </c>
    </row>
    <row r="73" spans="1:51">
      <c r="A73" s="742" t="s">
        <v>416</v>
      </c>
      <c r="B73" s="743"/>
      <c r="C73" s="742"/>
      <c r="D73" s="743">
        <f>IF(D68=0,0,D$22)</f>
        <v>0</v>
      </c>
      <c r="E73" s="743">
        <f>IF(E68=0,0,E$22)</f>
        <v>0</v>
      </c>
      <c r="F73" s="743">
        <f>IF(F68=0,0,F$22)</f>
        <v>0</v>
      </c>
      <c r="G73" s="743">
        <f>IF(G68=0,0,G$22)</f>
        <v>0</v>
      </c>
      <c r="H73" s="743">
        <f>IF(H68=0,0,H$22)</f>
        <v>0</v>
      </c>
      <c r="I73" s="743">
        <f t="shared" ref="I73:AG73" si="57">IF(I68=0,0,I$22)</f>
        <v>0</v>
      </c>
      <c r="J73" s="743">
        <f t="shared" si="57"/>
        <v>0</v>
      </c>
      <c r="K73" s="743">
        <f t="shared" si="57"/>
        <v>0</v>
      </c>
      <c r="L73" s="743">
        <f t="shared" si="57"/>
        <v>0</v>
      </c>
      <c r="M73" s="743">
        <f t="shared" si="57"/>
        <v>0</v>
      </c>
      <c r="N73" s="743">
        <f t="shared" si="57"/>
        <v>0</v>
      </c>
      <c r="O73" s="743">
        <f t="shared" si="57"/>
        <v>0</v>
      </c>
      <c r="P73" s="743">
        <f t="shared" si="57"/>
        <v>0</v>
      </c>
      <c r="Q73" s="743">
        <f t="shared" si="57"/>
        <v>0</v>
      </c>
      <c r="R73" s="743">
        <f t="shared" si="57"/>
        <v>0</v>
      </c>
      <c r="S73" s="743">
        <f t="shared" si="57"/>
        <v>0</v>
      </c>
      <c r="T73" s="743">
        <f t="shared" si="57"/>
        <v>0</v>
      </c>
      <c r="U73" s="743">
        <f t="shared" si="57"/>
        <v>0</v>
      </c>
      <c r="V73" s="743">
        <f t="shared" si="57"/>
        <v>0</v>
      </c>
      <c r="W73" s="743">
        <f t="shared" si="57"/>
        <v>0</v>
      </c>
      <c r="X73" s="743">
        <f t="shared" si="57"/>
        <v>0</v>
      </c>
      <c r="Y73" s="743">
        <f t="shared" si="57"/>
        <v>0</v>
      </c>
      <c r="Z73" s="743">
        <f t="shared" si="57"/>
        <v>0</v>
      </c>
      <c r="AA73" s="743">
        <f t="shared" si="57"/>
        <v>0</v>
      </c>
      <c r="AB73" s="743">
        <f t="shared" si="57"/>
        <v>0</v>
      </c>
      <c r="AC73" s="743">
        <f t="shared" si="57"/>
        <v>0</v>
      </c>
      <c r="AD73" s="743">
        <f t="shared" si="57"/>
        <v>0</v>
      </c>
      <c r="AE73" s="743">
        <f t="shared" si="57"/>
        <v>0</v>
      </c>
      <c r="AF73" s="743">
        <f t="shared" si="57"/>
        <v>0</v>
      </c>
      <c r="AG73" s="744">
        <f t="shared" si="57"/>
        <v>0</v>
      </c>
      <c r="AH73" s="762">
        <f t="shared" si="45"/>
        <v>0</v>
      </c>
      <c r="AI73" s="743"/>
      <c r="AJ73" s="743"/>
      <c r="AK73" s="743"/>
      <c r="AL73" s="760">
        <f t="shared" si="46"/>
        <v>0</v>
      </c>
      <c r="AM73" s="743"/>
      <c r="AN73" s="743"/>
      <c r="AO73" s="744"/>
      <c r="AP73" s="761">
        <f t="shared" si="47"/>
        <v>0</v>
      </c>
      <c r="AQ73" s="760">
        <f t="shared" si="48"/>
        <v>0</v>
      </c>
      <c r="AR73" s="760"/>
      <c r="AS73" s="867"/>
      <c r="AT73" s="746">
        <f t="shared" si="49"/>
        <v>0</v>
      </c>
      <c r="AU73" s="743">
        <f t="shared" si="50"/>
        <v>0</v>
      </c>
      <c r="AV73" s="747">
        <f t="shared" si="51"/>
        <v>0</v>
      </c>
      <c r="AW73" s="747" t="e">
        <f t="shared" si="52"/>
        <v>#DIV/0!</v>
      </c>
      <c r="AY73" s="743">
        <f t="shared" si="54"/>
        <v>0</v>
      </c>
    </row>
    <row r="74" spans="1:51">
      <c r="A74" s="742" t="s">
        <v>465</v>
      </c>
      <c r="B74" s="743"/>
      <c r="C74" s="742"/>
      <c r="D74" s="743">
        <f>IF(D68=0,0,D$24)</f>
        <v>0</v>
      </c>
      <c r="E74" s="743">
        <f>IF(E68=0,0,E$24)</f>
        <v>0</v>
      </c>
      <c r="F74" s="743">
        <f>IF(F68=0,0,F$24)</f>
        <v>0</v>
      </c>
      <c r="G74" s="743">
        <f>IF(G68=0,0,G$24)</f>
        <v>0</v>
      </c>
      <c r="H74" s="743">
        <f>IF(H68=0,0,H$24)</f>
        <v>0</v>
      </c>
      <c r="I74" s="743">
        <f t="shared" ref="I74:AG74" si="58">IF(I68=0,0,I$24)</f>
        <v>0</v>
      </c>
      <c r="J74" s="743">
        <f t="shared" si="58"/>
        <v>0</v>
      </c>
      <c r="K74" s="743">
        <f t="shared" si="58"/>
        <v>0</v>
      </c>
      <c r="L74" s="743">
        <f t="shared" si="58"/>
        <v>0</v>
      </c>
      <c r="M74" s="743">
        <f t="shared" si="58"/>
        <v>0</v>
      </c>
      <c r="N74" s="743">
        <f t="shared" si="58"/>
        <v>0</v>
      </c>
      <c r="O74" s="743">
        <f t="shared" si="58"/>
        <v>0</v>
      </c>
      <c r="P74" s="743">
        <f t="shared" si="58"/>
        <v>0</v>
      </c>
      <c r="Q74" s="743">
        <f t="shared" si="58"/>
        <v>0</v>
      </c>
      <c r="R74" s="743">
        <f t="shared" si="58"/>
        <v>0</v>
      </c>
      <c r="S74" s="743">
        <f t="shared" si="58"/>
        <v>0</v>
      </c>
      <c r="T74" s="743">
        <f t="shared" si="58"/>
        <v>0</v>
      </c>
      <c r="U74" s="743">
        <f t="shared" si="58"/>
        <v>0</v>
      </c>
      <c r="V74" s="743">
        <f t="shared" si="58"/>
        <v>0</v>
      </c>
      <c r="W74" s="743">
        <f t="shared" si="58"/>
        <v>0</v>
      </c>
      <c r="X74" s="743">
        <f t="shared" si="58"/>
        <v>0</v>
      </c>
      <c r="Y74" s="743">
        <f t="shared" si="58"/>
        <v>0</v>
      </c>
      <c r="Z74" s="743">
        <f t="shared" si="58"/>
        <v>0</v>
      </c>
      <c r="AA74" s="743">
        <f t="shared" si="58"/>
        <v>0</v>
      </c>
      <c r="AB74" s="743">
        <f t="shared" si="58"/>
        <v>0</v>
      </c>
      <c r="AC74" s="743">
        <f t="shared" si="58"/>
        <v>0</v>
      </c>
      <c r="AD74" s="743">
        <f t="shared" si="58"/>
        <v>0</v>
      </c>
      <c r="AE74" s="743">
        <f t="shared" si="58"/>
        <v>0</v>
      </c>
      <c r="AF74" s="743">
        <f t="shared" si="58"/>
        <v>0</v>
      </c>
      <c r="AG74" s="744">
        <f t="shared" si="58"/>
        <v>0</v>
      </c>
      <c r="AH74" s="762">
        <f t="shared" si="45"/>
        <v>0</v>
      </c>
      <c r="AI74" s="743"/>
      <c r="AJ74" s="743"/>
      <c r="AK74" s="743"/>
      <c r="AL74" s="760">
        <f t="shared" si="46"/>
        <v>0</v>
      </c>
      <c r="AM74" s="743"/>
      <c r="AN74" s="743"/>
      <c r="AO74" s="744"/>
      <c r="AP74" s="761">
        <f t="shared" si="47"/>
        <v>0</v>
      </c>
      <c r="AQ74" s="760">
        <f t="shared" si="48"/>
        <v>0</v>
      </c>
      <c r="AR74" s="760"/>
      <c r="AS74" s="867"/>
      <c r="AT74" s="746">
        <f t="shared" si="49"/>
        <v>0</v>
      </c>
      <c r="AU74" s="743">
        <f t="shared" si="50"/>
        <v>0</v>
      </c>
      <c r="AV74" s="747">
        <f t="shared" si="51"/>
        <v>0</v>
      </c>
      <c r="AW74" s="747" t="e">
        <f t="shared" si="52"/>
        <v>#DIV/0!</v>
      </c>
      <c r="AY74" s="743">
        <f t="shared" si="54"/>
        <v>0</v>
      </c>
    </row>
    <row r="75" spans="1:51">
      <c r="A75" s="742" t="s">
        <v>419</v>
      </c>
      <c r="B75" s="743"/>
      <c r="C75" s="742"/>
      <c r="D75" s="743">
        <f>IF(D68=0,0,D$23)</f>
        <v>0</v>
      </c>
      <c r="E75" s="743">
        <f>IF(E68=0,0,E$23)</f>
        <v>0</v>
      </c>
      <c r="F75" s="743">
        <f>IF(F68=0,0,F$23)</f>
        <v>0</v>
      </c>
      <c r="G75" s="743">
        <f>IF(G68=0,0,G$23)</f>
        <v>0</v>
      </c>
      <c r="H75" s="743">
        <f>IF(H68=0,0,H$23)</f>
        <v>0</v>
      </c>
      <c r="I75" s="743">
        <f t="shared" ref="I75:AG75" si="59">IF(I68=0,0,I$23)</f>
        <v>0</v>
      </c>
      <c r="J75" s="743">
        <f t="shared" si="59"/>
        <v>0</v>
      </c>
      <c r="K75" s="743">
        <f t="shared" si="59"/>
        <v>0</v>
      </c>
      <c r="L75" s="743">
        <f t="shared" si="59"/>
        <v>0</v>
      </c>
      <c r="M75" s="743">
        <f t="shared" si="59"/>
        <v>0</v>
      </c>
      <c r="N75" s="743">
        <f t="shared" si="59"/>
        <v>0</v>
      </c>
      <c r="O75" s="743">
        <f t="shared" si="59"/>
        <v>0</v>
      </c>
      <c r="P75" s="743">
        <f t="shared" si="59"/>
        <v>0</v>
      </c>
      <c r="Q75" s="743">
        <f t="shared" si="59"/>
        <v>0</v>
      </c>
      <c r="R75" s="743">
        <f t="shared" si="59"/>
        <v>0</v>
      </c>
      <c r="S75" s="743">
        <f t="shared" si="59"/>
        <v>0</v>
      </c>
      <c r="T75" s="743">
        <f t="shared" si="59"/>
        <v>0</v>
      </c>
      <c r="U75" s="743">
        <f t="shared" si="59"/>
        <v>0</v>
      </c>
      <c r="V75" s="743">
        <f t="shared" si="59"/>
        <v>0</v>
      </c>
      <c r="W75" s="743">
        <f t="shared" si="59"/>
        <v>0</v>
      </c>
      <c r="X75" s="743">
        <f t="shared" si="59"/>
        <v>0</v>
      </c>
      <c r="Y75" s="743">
        <f t="shared" si="59"/>
        <v>0</v>
      </c>
      <c r="Z75" s="743">
        <f t="shared" si="59"/>
        <v>0</v>
      </c>
      <c r="AA75" s="743">
        <f t="shared" si="59"/>
        <v>0</v>
      </c>
      <c r="AB75" s="743">
        <f t="shared" si="59"/>
        <v>0</v>
      </c>
      <c r="AC75" s="743">
        <f t="shared" si="59"/>
        <v>0</v>
      </c>
      <c r="AD75" s="743">
        <f t="shared" si="59"/>
        <v>0</v>
      </c>
      <c r="AE75" s="743">
        <f t="shared" si="59"/>
        <v>0</v>
      </c>
      <c r="AF75" s="743">
        <f t="shared" si="59"/>
        <v>0</v>
      </c>
      <c r="AG75" s="744">
        <f t="shared" si="59"/>
        <v>0</v>
      </c>
      <c r="AH75" s="762">
        <f t="shared" si="45"/>
        <v>0</v>
      </c>
      <c r="AI75" s="743"/>
      <c r="AJ75" s="743"/>
      <c r="AK75" s="743"/>
      <c r="AL75" s="760">
        <f t="shared" si="46"/>
        <v>0</v>
      </c>
      <c r="AM75" s="743"/>
      <c r="AN75" s="743"/>
      <c r="AO75" s="744"/>
      <c r="AP75" s="761">
        <f t="shared" si="47"/>
        <v>0</v>
      </c>
      <c r="AQ75" s="760">
        <f t="shared" si="48"/>
        <v>0</v>
      </c>
      <c r="AR75" s="760"/>
      <c r="AS75" s="867"/>
      <c r="AT75" s="746">
        <f t="shared" si="49"/>
        <v>0</v>
      </c>
      <c r="AU75" s="743">
        <f t="shared" si="50"/>
        <v>0</v>
      </c>
      <c r="AV75" s="747">
        <f t="shared" si="51"/>
        <v>0</v>
      </c>
      <c r="AW75" s="747" t="e">
        <f t="shared" si="52"/>
        <v>#DIV/0!</v>
      </c>
      <c r="AY75" s="743">
        <f t="shared" si="54"/>
        <v>0</v>
      </c>
    </row>
    <row r="76" spans="1:51">
      <c r="AH76" s="766"/>
      <c r="AI76" s="767"/>
      <c r="AJ76" s="767"/>
      <c r="AK76" s="767"/>
      <c r="AL76" s="767"/>
      <c r="AM76" s="767"/>
      <c r="AN76" s="767"/>
      <c r="AO76" s="767"/>
      <c r="AP76" s="767"/>
      <c r="AQ76" s="743"/>
      <c r="AR76" s="743"/>
      <c r="AS76" s="767"/>
      <c r="AT76" s="766"/>
      <c r="AU76" s="767"/>
      <c r="AV76" s="768"/>
      <c r="AW76" s="768"/>
    </row>
    <row r="77" spans="1:51">
      <c r="A77" s="760" t="s">
        <v>473</v>
      </c>
      <c r="B77" s="774">
        <v>44731.467987233998</v>
      </c>
      <c r="C77" s="759" t="s">
        <v>85</v>
      </c>
      <c r="D77" s="760">
        <v>0</v>
      </c>
      <c r="E77" s="760"/>
      <c r="F77" s="760">
        <v>0</v>
      </c>
      <c r="G77" s="760">
        <v>0</v>
      </c>
      <c r="H77" s="760">
        <v>0</v>
      </c>
      <c r="I77" s="760"/>
      <c r="J77" s="760"/>
      <c r="K77" s="760">
        <v>0</v>
      </c>
      <c r="L77" s="760"/>
      <c r="M77" s="760"/>
      <c r="N77" s="760">
        <v>0</v>
      </c>
      <c r="O77" s="760"/>
      <c r="P77" s="760">
        <v>0</v>
      </c>
      <c r="Q77" s="760"/>
      <c r="R77" s="760"/>
      <c r="S77" s="760">
        <v>0</v>
      </c>
      <c r="T77" s="760"/>
      <c r="U77" s="760"/>
      <c r="V77" s="760">
        <v>0</v>
      </c>
      <c r="W77" s="760"/>
      <c r="X77" s="760"/>
      <c r="Y77" s="760">
        <v>0</v>
      </c>
      <c r="Z77" s="760"/>
      <c r="AA77" s="760"/>
      <c r="AB77" s="760">
        <v>0</v>
      </c>
      <c r="AC77" s="760"/>
      <c r="AD77" s="760"/>
      <c r="AE77" s="760">
        <v>0</v>
      </c>
      <c r="AF77" s="760"/>
      <c r="AG77" s="761"/>
      <c r="AH77" s="762">
        <f>D77</f>
        <v>0</v>
      </c>
      <c r="AI77" s="760">
        <f>G77</f>
        <v>0</v>
      </c>
      <c r="AJ77" s="760"/>
      <c r="AK77" s="760"/>
      <c r="AL77" s="760">
        <f>H77+K77</f>
        <v>0</v>
      </c>
      <c r="AM77" s="760">
        <f>N77</f>
        <v>0</v>
      </c>
      <c r="AN77" s="760"/>
      <c r="AO77" s="761"/>
      <c r="AP77" s="761"/>
      <c r="AQ77" s="760"/>
      <c r="AR77" s="760"/>
      <c r="AS77" s="867"/>
      <c r="AT77" s="765">
        <f>SUM(AH77:AI77)</f>
        <v>0</v>
      </c>
      <c r="AU77" s="760">
        <f>SUM(AL77:AM77)</f>
        <v>0</v>
      </c>
      <c r="AV77" s="764">
        <f>SUM(AP77:AQ77)</f>
        <v>0</v>
      </c>
      <c r="AW77" s="764">
        <f>SUM(D77:AG77)</f>
        <v>0</v>
      </c>
      <c r="AY77" s="731">
        <f>SUM(AT77:AV77)</f>
        <v>0</v>
      </c>
    </row>
    <row r="78" spans="1:51">
      <c r="A78" s="742" t="s">
        <v>460</v>
      </c>
      <c r="B78" s="760"/>
      <c r="C78" s="759"/>
      <c r="D78" s="743">
        <f t="shared" ref="D78:I78" si="60">IF(D77=0,0,D$18)</f>
        <v>0</v>
      </c>
      <c r="E78" s="743">
        <f t="shared" si="60"/>
        <v>0</v>
      </c>
      <c r="F78" s="743">
        <f t="shared" si="60"/>
        <v>0</v>
      </c>
      <c r="G78" s="743">
        <f t="shared" si="60"/>
        <v>0</v>
      </c>
      <c r="H78" s="743">
        <f t="shared" si="60"/>
        <v>0</v>
      </c>
      <c r="I78" s="743">
        <f t="shared" si="60"/>
        <v>0</v>
      </c>
      <c r="J78" s="743">
        <f t="shared" ref="J78:AG78" si="61">IF(J77=0,0,J$18)</f>
        <v>0</v>
      </c>
      <c r="K78" s="743">
        <f t="shared" si="61"/>
        <v>0</v>
      </c>
      <c r="L78" s="743">
        <f t="shared" si="61"/>
        <v>0</v>
      </c>
      <c r="M78" s="743">
        <f t="shared" si="61"/>
        <v>0</v>
      </c>
      <c r="N78" s="743">
        <f t="shared" si="61"/>
        <v>0</v>
      </c>
      <c r="O78" s="743">
        <f t="shared" si="61"/>
        <v>0</v>
      </c>
      <c r="P78" s="743">
        <f t="shared" si="61"/>
        <v>0</v>
      </c>
      <c r="Q78" s="743">
        <f t="shared" si="61"/>
        <v>0</v>
      </c>
      <c r="R78" s="743">
        <f t="shared" si="61"/>
        <v>0</v>
      </c>
      <c r="S78" s="743">
        <f t="shared" si="61"/>
        <v>0</v>
      </c>
      <c r="T78" s="743">
        <f t="shared" si="61"/>
        <v>0</v>
      </c>
      <c r="U78" s="743">
        <f t="shared" si="61"/>
        <v>0</v>
      </c>
      <c r="V78" s="743">
        <f t="shared" si="61"/>
        <v>0</v>
      </c>
      <c r="W78" s="743">
        <f t="shared" si="61"/>
        <v>0</v>
      </c>
      <c r="X78" s="743">
        <f t="shared" si="61"/>
        <v>0</v>
      </c>
      <c r="Y78" s="743">
        <f t="shared" si="61"/>
        <v>0</v>
      </c>
      <c r="Z78" s="743">
        <f t="shared" si="61"/>
        <v>0</v>
      </c>
      <c r="AA78" s="743">
        <f t="shared" si="61"/>
        <v>0</v>
      </c>
      <c r="AB78" s="743">
        <f t="shared" si="61"/>
        <v>0</v>
      </c>
      <c r="AC78" s="743">
        <f t="shared" si="61"/>
        <v>0</v>
      </c>
      <c r="AD78" s="743">
        <f t="shared" si="61"/>
        <v>0</v>
      </c>
      <c r="AE78" s="743">
        <f t="shared" si="61"/>
        <v>0</v>
      </c>
      <c r="AF78" s="743">
        <f t="shared" si="61"/>
        <v>0</v>
      </c>
      <c r="AG78" s="744">
        <f t="shared" si="61"/>
        <v>0</v>
      </c>
      <c r="AH78" s="762">
        <f t="shared" ref="AH78:AH84" si="62">D78</f>
        <v>0</v>
      </c>
      <c r="AI78" s="760">
        <f t="shared" ref="AI78:AI84" si="63">G78</f>
        <v>0</v>
      </c>
      <c r="AJ78" s="760"/>
      <c r="AK78" s="760"/>
      <c r="AL78" s="760">
        <f t="shared" ref="AL78:AL84" si="64">H78+K78</f>
        <v>0</v>
      </c>
      <c r="AM78" s="760">
        <f t="shared" ref="AM78:AM84" si="65">N78</f>
        <v>0</v>
      </c>
      <c r="AN78" s="760"/>
      <c r="AO78" s="761"/>
      <c r="AP78" s="761"/>
      <c r="AQ78" s="760"/>
      <c r="AR78" s="760"/>
      <c r="AS78" s="867"/>
      <c r="AT78" s="746">
        <f t="shared" ref="AT78:AT84" si="66">IF(AT$77=0,0,SUMPRODUCT(AH$77:AI$77,AH78:AI78)/AT$77)</f>
        <v>0</v>
      </c>
      <c r="AU78" s="743">
        <f t="shared" ref="AU78:AU84" si="67">IF(AU$77=0,0,SUMPRODUCT(AL$77:AM$77,AL78:AM78)/AU$77)</f>
        <v>0</v>
      </c>
      <c r="AV78" s="747">
        <f t="shared" ref="AV78:AV84" si="68">IF(AV$77=0,0,SUMPRODUCT(AP$77:AQ$77,AP78:AQ78)/AV$77)</f>
        <v>0</v>
      </c>
      <c r="AW78" s="747" t="e">
        <f t="shared" ref="AW78:AW84" si="69">SUMPRODUCT(D$77:AG$77,D78:AG78)/AW$77</f>
        <v>#DIV/0!</v>
      </c>
      <c r="AY78" s="743">
        <f>IF(AY$77=0,0,SUMPRODUCT(AT$77:AV$77,AT78:AV78)/AY$77)</f>
        <v>0</v>
      </c>
    </row>
    <row r="79" spans="1:51">
      <c r="A79" s="742" t="s">
        <v>462</v>
      </c>
      <c r="B79" s="743"/>
      <c r="C79" s="742"/>
      <c r="D79" s="743">
        <f t="shared" ref="D79:AG79" si="70">IF(D77=0,0,D$19)</f>
        <v>0</v>
      </c>
      <c r="E79" s="743">
        <f t="shared" si="70"/>
        <v>0</v>
      </c>
      <c r="F79" s="743">
        <f t="shared" si="70"/>
        <v>0</v>
      </c>
      <c r="G79" s="743">
        <f>IF(G77=0,0,G$19)</f>
        <v>0</v>
      </c>
      <c r="H79" s="743">
        <f t="shared" si="70"/>
        <v>0</v>
      </c>
      <c r="I79" s="743">
        <f>IF(I77=0,0,I$19)</f>
        <v>0</v>
      </c>
      <c r="J79" s="743">
        <f t="shared" si="70"/>
        <v>0</v>
      </c>
      <c r="K79" s="743">
        <f t="shared" si="70"/>
        <v>0</v>
      </c>
      <c r="L79" s="743">
        <f t="shared" si="70"/>
        <v>0</v>
      </c>
      <c r="M79" s="743">
        <f t="shared" si="70"/>
        <v>0</v>
      </c>
      <c r="N79" s="743">
        <f t="shared" si="70"/>
        <v>0</v>
      </c>
      <c r="O79" s="743">
        <f t="shared" si="70"/>
        <v>0</v>
      </c>
      <c r="P79" s="743">
        <f t="shared" si="70"/>
        <v>0</v>
      </c>
      <c r="Q79" s="743">
        <f t="shared" si="70"/>
        <v>0</v>
      </c>
      <c r="R79" s="743">
        <f t="shared" si="70"/>
        <v>0</v>
      </c>
      <c r="S79" s="743">
        <f t="shared" si="70"/>
        <v>0</v>
      </c>
      <c r="T79" s="743">
        <f t="shared" si="70"/>
        <v>0</v>
      </c>
      <c r="U79" s="743">
        <f t="shared" si="70"/>
        <v>0</v>
      </c>
      <c r="V79" s="743">
        <f t="shared" si="70"/>
        <v>0</v>
      </c>
      <c r="W79" s="743">
        <f t="shared" si="70"/>
        <v>0</v>
      </c>
      <c r="X79" s="743">
        <f t="shared" si="70"/>
        <v>0</v>
      </c>
      <c r="Y79" s="743">
        <f t="shared" si="70"/>
        <v>0</v>
      </c>
      <c r="Z79" s="743">
        <f t="shared" si="70"/>
        <v>0</v>
      </c>
      <c r="AA79" s="743">
        <f t="shared" si="70"/>
        <v>0</v>
      </c>
      <c r="AB79" s="743">
        <f t="shared" si="70"/>
        <v>0</v>
      </c>
      <c r="AC79" s="743">
        <f t="shared" si="70"/>
        <v>0</v>
      </c>
      <c r="AD79" s="743">
        <f t="shared" si="70"/>
        <v>0</v>
      </c>
      <c r="AE79" s="743">
        <f t="shared" si="70"/>
        <v>0</v>
      </c>
      <c r="AF79" s="743">
        <f t="shared" si="70"/>
        <v>0</v>
      </c>
      <c r="AG79" s="744">
        <f t="shared" si="70"/>
        <v>0</v>
      </c>
      <c r="AH79" s="762">
        <f t="shared" si="62"/>
        <v>0</v>
      </c>
      <c r="AI79" s="760">
        <f t="shared" si="63"/>
        <v>0</v>
      </c>
      <c r="AJ79" s="760"/>
      <c r="AK79" s="760"/>
      <c r="AL79" s="760">
        <f t="shared" si="64"/>
        <v>0</v>
      </c>
      <c r="AM79" s="760">
        <f t="shared" si="65"/>
        <v>0</v>
      </c>
      <c r="AN79" s="760"/>
      <c r="AO79" s="761"/>
      <c r="AP79" s="761"/>
      <c r="AQ79" s="760"/>
      <c r="AR79" s="760"/>
      <c r="AS79" s="867"/>
      <c r="AT79" s="746">
        <f t="shared" si="66"/>
        <v>0</v>
      </c>
      <c r="AU79" s="743">
        <f t="shared" si="67"/>
        <v>0</v>
      </c>
      <c r="AV79" s="747">
        <f t="shared" si="68"/>
        <v>0</v>
      </c>
      <c r="AW79" s="747" t="e">
        <f t="shared" si="69"/>
        <v>#DIV/0!</v>
      </c>
      <c r="AY79" s="743">
        <f t="shared" ref="AY79:AY84" si="71">IF(AY$77=0,0,SUMPRODUCT(AT$77:AV$77,AT79:AV79)/AY$77)</f>
        <v>0</v>
      </c>
    </row>
    <row r="80" spans="1:51">
      <c r="A80" s="742" t="s">
        <v>420</v>
      </c>
      <c r="B80" s="743"/>
      <c r="C80" s="742"/>
      <c r="D80" s="743">
        <f t="shared" ref="D80:AG80" si="72">IF(D77=0,0,D$20)</f>
        <v>0</v>
      </c>
      <c r="E80" s="743">
        <f t="shared" si="72"/>
        <v>0</v>
      </c>
      <c r="F80" s="743">
        <f t="shared" si="72"/>
        <v>0</v>
      </c>
      <c r="G80" s="743">
        <f>IF(G77=0,0,G$20)</f>
        <v>0</v>
      </c>
      <c r="H80" s="743">
        <f t="shared" si="72"/>
        <v>0</v>
      </c>
      <c r="I80" s="743">
        <f>IF(I77=0,0,I$20)</f>
        <v>0</v>
      </c>
      <c r="J80" s="743">
        <f t="shared" si="72"/>
        <v>0</v>
      </c>
      <c r="K80" s="743">
        <f t="shared" si="72"/>
        <v>0</v>
      </c>
      <c r="L80" s="743">
        <f t="shared" si="72"/>
        <v>0</v>
      </c>
      <c r="M80" s="743">
        <f t="shared" si="72"/>
        <v>0</v>
      </c>
      <c r="N80" s="743">
        <f t="shared" si="72"/>
        <v>0</v>
      </c>
      <c r="O80" s="743">
        <f t="shared" si="72"/>
        <v>0</v>
      </c>
      <c r="P80" s="743">
        <f t="shared" si="72"/>
        <v>0</v>
      </c>
      <c r="Q80" s="743">
        <f t="shared" si="72"/>
        <v>0</v>
      </c>
      <c r="R80" s="743">
        <f t="shared" si="72"/>
        <v>0</v>
      </c>
      <c r="S80" s="743">
        <f t="shared" si="72"/>
        <v>0</v>
      </c>
      <c r="T80" s="743">
        <f t="shared" si="72"/>
        <v>0</v>
      </c>
      <c r="U80" s="743">
        <f t="shared" si="72"/>
        <v>0</v>
      </c>
      <c r="V80" s="743">
        <f t="shared" si="72"/>
        <v>0</v>
      </c>
      <c r="W80" s="743">
        <f t="shared" si="72"/>
        <v>0</v>
      </c>
      <c r="X80" s="743">
        <f t="shared" si="72"/>
        <v>0</v>
      </c>
      <c r="Y80" s="743">
        <f t="shared" si="72"/>
        <v>0</v>
      </c>
      <c r="Z80" s="743">
        <f t="shared" si="72"/>
        <v>0</v>
      </c>
      <c r="AA80" s="743">
        <f t="shared" si="72"/>
        <v>0</v>
      </c>
      <c r="AB80" s="743">
        <f t="shared" si="72"/>
        <v>0</v>
      </c>
      <c r="AC80" s="743">
        <f t="shared" si="72"/>
        <v>0</v>
      </c>
      <c r="AD80" s="743">
        <f t="shared" si="72"/>
        <v>0</v>
      </c>
      <c r="AE80" s="743">
        <f t="shared" si="72"/>
        <v>0</v>
      </c>
      <c r="AF80" s="743">
        <f t="shared" si="72"/>
        <v>0</v>
      </c>
      <c r="AG80" s="744">
        <f t="shared" si="72"/>
        <v>0</v>
      </c>
      <c r="AH80" s="762">
        <f t="shared" si="62"/>
        <v>0</v>
      </c>
      <c r="AI80" s="760">
        <f t="shared" si="63"/>
        <v>0</v>
      </c>
      <c r="AJ80" s="760"/>
      <c r="AK80" s="760"/>
      <c r="AL80" s="760">
        <f t="shared" si="64"/>
        <v>0</v>
      </c>
      <c r="AM80" s="760">
        <f t="shared" si="65"/>
        <v>0</v>
      </c>
      <c r="AN80" s="760"/>
      <c r="AO80" s="761"/>
      <c r="AP80" s="761"/>
      <c r="AQ80" s="760"/>
      <c r="AR80" s="760"/>
      <c r="AS80" s="867"/>
      <c r="AT80" s="746">
        <f t="shared" si="66"/>
        <v>0</v>
      </c>
      <c r="AU80" s="743">
        <f t="shared" si="67"/>
        <v>0</v>
      </c>
      <c r="AV80" s="747">
        <f t="shared" si="68"/>
        <v>0</v>
      </c>
      <c r="AW80" s="747" t="e">
        <f t="shared" si="69"/>
        <v>#DIV/0!</v>
      </c>
      <c r="AY80" s="743">
        <f t="shared" si="71"/>
        <v>0</v>
      </c>
    </row>
    <row r="81" spans="1:51">
      <c r="A81" s="742" t="s">
        <v>464</v>
      </c>
      <c r="B81" s="743"/>
      <c r="C81" s="742"/>
      <c r="D81" s="743">
        <f t="shared" ref="D81:AG81" si="73">IF(D77=0,0,D$21)</f>
        <v>0</v>
      </c>
      <c r="E81" s="743">
        <f t="shared" si="73"/>
        <v>0</v>
      </c>
      <c r="F81" s="743">
        <f t="shared" si="73"/>
        <v>0</v>
      </c>
      <c r="G81" s="743">
        <f>IF(G77=0,0,G$21)</f>
        <v>0</v>
      </c>
      <c r="H81" s="743">
        <f t="shared" si="73"/>
        <v>0</v>
      </c>
      <c r="I81" s="743">
        <f>IF(I77=0,0,I$21)</f>
        <v>0</v>
      </c>
      <c r="J81" s="743">
        <f t="shared" si="73"/>
        <v>0</v>
      </c>
      <c r="K81" s="743">
        <f t="shared" si="73"/>
        <v>0</v>
      </c>
      <c r="L81" s="743">
        <f t="shared" si="73"/>
        <v>0</v>
      </c>
      <c r="M81" s="743">
        <f t="shared" si="73"/>
        <v>0</v>
      </c>
      <c r="N81" s="743">
        <f t="shared" si="73"/>
        <v>0</v>
      </c>
      <c r="O81" s="743">
        <f t="shared" si="73"/>
        <v>0</v>
      </c>
      <c r="P81" s="743">
        <f t="shared" si="73"/>
        <v>0</v>
      </c>
      <c r="Q81" s="743">
        <f t="shared" si="73"/>
        <v>0</v>
      </c>
      <c r="R81" s="743">
        <f t="shared" si="73"/>
        <v>0</v>
      </c>
      <c r="S81" s="743">
        <f t="shared" si="73"/>
        <v>0</v>
      </c>
      <c r="T81" s="743">
        <f t="shared" si="73"/>
        <v>0</v>
      </c>
      <c r="U81" s="743">
        <f t="shared" si="73"/>
        <v>0</v>
      </c>
      <c r="V81" s="743">
        <f t="shared" si="73"/>
        <v>0</v>
      </c>
      <c r="W81" s="743">
        <f t="shared" si="73"/>
        <v>0</v>
      </c>
      <c r="X81" s="743">
        <f t="shared" si="73"/>
        <v>0</v>
      </c>
      <c r="Y81" s="743">
        <f t="shared" si="73"/>
        <v>0</v>
      </c>
      <c r="Z81" s="743">
        <f t="shared" si="73"/>
        <v>0</v>
      </c>
      <c r="AA81" s="743">
        <f t="shared" si="73"/>
        <v>0</v>
      </c>
      <c r="AB81" s="743">
        <f t="shared" si="73"/>
        <v>0</v>
      </c>
      <c r="AC81" s="743">
        <f t="shared" si="73"/>
        <v>0</v>
      </c>
      <c r="AD81" s="743">
        <f t="shared" si="73"/>
        <v>0</v>
      </c>
      <c r="AE81" s="743">
        <f t="shared" si="73"/>
        <v>0</v>
      </c>
      <c r="AF81" s="743">
        <f t="shared" si="73"/>
        <v>0</v>
      </c>
      <c r="AG81" s="744">
        <f t="shared" si="73"/>
        <v>0</v>
      </c>
      <c r="AH81" s="762">
        <f t="shared" si="62"/>
        <v>0</v>
      </c>
      <c r="AI81" s="760">
        <f t="shared" si="63"/>
        <v>0</v>
      </c>
      <c r="AJ81" s="760"/>
      <c r="AK81" s="760"/>
      <c r="AL81" s="760">
        <f t="shared" si="64"/>
        <v>0</v>
      </c>
      <c r="AM81" s="760">
        <f t="shared" si="65"/>
        <v>0</v>
      </c>
      <c r="AN81" s="760"/>
      <c r="AO81" s="761"/>
      <c r="AP81" s="761"/>
      <c r="AQ81" s="760"/>
      <c r="AR81" s="760"/>
      <c r="AS81" s="867"/>
      <c r="AT81" s="746">
        <f t="shared" si="66"/>
        <v>0</v>
      </c>
      <c r="AU81" s="743">
        <f t="shared" si="67"/>
        <v>0</v>
      </c>
      <c r="AV81" s="747">
        <f t="shared" si="68"/>
        <v>0</v>
      </c>
      <c r="AW81" s="747" t="e">
        <f t="shared" si="69"/>
        <v>#DIV/0!</v>
      </c>
      <c r="AY81" s="743">
        <f t="shared" si="71"/>
        <v>0</v>
      </c>
    </row>
    <row r="82" spans="1:51">
      <c r="A82" s="742" t="s">
        <v>416</v>
      </c>
      <c r="B82" s="743"/>
      <c r="C82" s="742"/>
      <c r="D82" s="743">
        <f t="shared" ref="D82:I82" si="74">IF(D77=0,0,D$22)</f>
        <v>0</v>
      </c>
      <c r="E82" s="743">
        <f t="shared" si="74"/>
        <v>0</v>
      </c>
      <c r="F82" s="743">
        <f t="shared" si="74"/>
        <v>0</v>
      </c>
      <c r="G82" s="743">
        <f t="shared" si="74"/>
        <v>0</v>
      </c>
      <c r="H82" s="743">
        <f t="shared" si="74"/>
        <v>0</v>
      </c>
      <c r="I82" s="743">
        <f t="shared" si="74"/>
        <v>0</v>
      </c>
      <c r="J82" s="743">
        <f t="shared" ref="J82:AG82" si="75">IF(J77=0,0,J$22)</f>
        <v>0</v>
      </c>
      <c r="K82" s="743">
        <f t="shared" si="75"/>
        <v>0</v>
      </c>
      <c r="L82" s="743">
        <f t="shared" si="75"/>
        <v>0</v>
      </c>
      <c r="M82" s="743">
        <f t="shared" si="75"/>
        <v>0</v>
      </c>
      <c r="N82" s="743">
        <f t="shared" si="75"/>
        <v>0</v>
      </c>
      <c r="O82" s="743">
        <f t="shared" si="75"/>
        <v>0</v>
      </c>
      <c r="P82" s="743">
        <f t="shared" si="75"/>
        <v>0</v>
      </c>
      <c r="Q82" s="743">
        <f t="shared" si="75"/>
        <v>0</v>
      </c>
      <c r="R82" s="743">
        <f t="shared" si="75"/>
        <v>0</v>
      </c>
      <c r="S82" s="743">
        <f t="shared" si="75"/>
        <v>0</v>
      </c>
      <c r="T82" s="743">
        <f t="shared" si="75"/>
        <v>0</v>
      </c>
      <c r="U82" s="743">
        <f t="shared" si="75"/>
        <v>0</v>
      </c>
      <c r="V82" s="743">
        <f t="shared" si="75"/>
        <v>0</v>
      </c>
      <c r="W82" s="743">
        <f t="shared" si="75"/>
        <v>0</v>
      </c>
      <c r="X82" s="743">
        <f t="shared" si="75"/>
        <v>0</v>
      </c>
      <c r="Y82" s="743">
        <f t="shared" si="75"/>
        <v>0</v>
      </c>
      <c r="Z82" s="743">
        <f t="shared" si="75"/>
        <v>0</v>
      </c>
      <c r="AA82" s="743">
        <f t="shared" si="75"/>
        <v>0</v>
      </c>
      <c r="AB82" s="743">
        <f t="shared" si="75"/>
        <v>0</v>
      </c>
      <c r="AC82" s="743">
        <f t="shared" si="75"/>
        <v>0</v>
      </c>
      <c r="AD82" s="743">
        <f t="shared" si="75"/>
        <v>0</v>
      </c>
      <c r="AE82" s="743">
        <f t="shared" si="75"/>
        <v>0</v>
      </c>
      <c r="AF82" s="743">
        <f t="shared" si="75"/>
        <v>0</v>
      </c>
      <c r="AG82" s="744">
        <f t="shared" si="75"/>
        <v>0</v>
      </c>
      <c r="AH82" s="762">
        <f t="shared" si="62"/>
        <v>0</v>
      </c>
      <c r="AI82" s="760">
        <f t="shared" si="63"/>
        <v>0</v>
      </c>
      <c r="AJ82" s="760"/>
      <c r="AK82" s="760"/>
      <c r="AL82" s="760">
        <f t="shared" si="64"/>
        <v>0</v>
      </c>
      <c r="AM82" s="760">
        <f t="shared" si="65"/>
        <v>0</v>
      </c>
      <c r="AN82" s="760"/>
      <c r="AO82" s="761"/>
      <c r="AP82" s="761"/>
      <c r="AQ82" s="760"/>
      <c r="AR82" s="760"/>
      <c r="AS82" s="867"/>
      <c r="AT82" s="746">
        <f t="shared" si="66"/>
        <v>0</v>
      </c>
      <c r="AU82" s="743">
        <f t="shared" si="67"/>
        <v>0</v>
      </c>
      <c r="AV82" s="747">
        <f t="shared" si="68"/>
        <v>0</v>
      </c>
      <c r="AW82" s="747" t="e">
        <f t="shared" si="69"/>
        <v>#DIV/0!</v>
      </c>
      <c r="AY82" s="743">
        <f t="shared" si="71"/>
        <v>0</v>
      </c>
    </row>
    <row r="83" spans="1:51">
      <c r="A83" s="742" t="s">
        <v>465</v>
      </c>
      <c r="B83" s="743"/>
      <c r="C83" s="742"/>
      <c r="D83" s="743">
        <f t="shared" ref="D83:I83" si="76">IF(D77=0,0,D$24)</f>
        <v>0</v>
      </c>
      <c r="E83" s="743">
        <f t="shared" si="76"/>
        <v>0</v>
      </c>
      <c r="F83" s="743">
        <f t="shared" si="76"/>
        <v>0</v>
      </c>
      <c r="G83" s="743">
        <f t="shared" si="76"/>
        <v>0</v>
      </c>
      <c r="H83" s="743">
        <f t="shared" si="76"/>
        <v>0</v>
      </c>
      <c r="I83" s="743">
        <f t="shared" si="76"/>
        <v>0</v>
      </c>
      <c r="J83" s="743">
        <f t="shared" ref="J83:AG83" si="77">IF(J77=0,0,J$24)</f>
        <v>0</v>
      </c>
      <c r="K83" s="743">
        <f t="shared" si="77"/>
        <v>0</v>
      </c>
      <c r="L83" s="743">
        <f t="shared" si="77"/>
        <v>0</v>
      </c>
      <c r="M83" s="743">
        <f t="shared" si="77"/>
        <v>0</v>
      </c>
      <c r="N83" s="743">
        <f t="shared" si="77"/>
        <v>0</v>
      </c>
      <c r="O83" s="743">
        <f t="shared" si="77"/>
        <v>0</v>
      </c>
      <c r="P83" s="743">
        <f t="shared" si="77"/>
        <v>0</v>
      </c>
      <c r="Q83" s="743">
        <f t="shared" si="77"/>
        <v>0</v>
      </c>
      <c r="R83" s="743">
        <f t="shared" si="77"/>
        <v>0</v>
      </c>
      <c r="S83" s="743">
        <f t="shared" si="77"/>
        <v>0</v>
      </c>
      <c r="T83" s="743">
        <f t="shared" si="77"/>
        <v>0</v>
      </c>
      <c r="U83" s="743">
        <f t="shared" si="77"/>
        <v>0</v>
      </c>
      <c r="V83" s="743">
        <f t="shared" si="77"/>
        <v>0</v>
      </c>
      <c r="W83" s="743">
        <f t="shared" si="77"/>
        <v>0</v>
      </c>
      <c r="X83" s="743">
        <f t="shared" si="77"/>
        <v>0</v>
      </c>
      <c r="Y83" s="743">
        <f t="shared" si="77"/>
        <v>0</v>
      </c>
      <c r="Z83" s="743">
        <f t="shared" si="77"/>
        <v>0</v>
      </c>
      <c r="AA83" s="743">
        <f t="shared" si="77"/>
        <v>0</v>
      </c>
      <c r="AB83" s="743">
        <f t="shared" si="77"/>
        <v>0</v>
      </c>
      <c r="AC83" s="743">
        <f t="shared" si="77"/>
        <v>0</v>
      </c>
      <c r="AD83" s="743">
        <f t="shared" si="77"/>
        <v>0</v>
      </c>
      <c r="AE83" s="743">
        <f t="shared" si="77"/>
        <v>0</v>
      </c>
      <c r="AF83" s="743">
        <f t="shared" si="77"/>
        <v>0</v>
      </c>
      <c r="AG83" s="744">
        <f t="shared" si="77"/>
        <v>0</v>
      </c>
      <c r="AH83" s="762">
        <f t="shared" si="62"/>
        <v>0</v>
      </c>
      <c r="AI83" s="760">
        <f t="shared" si="63"/>
        <v>0</v>
      </c>
      <c r="AJ83" s="760"/>
      <c r="AK83" s="760"/>
      <c r="AL83" s="760">
        <f t="shared" si="64"/>
        <v>0</v>
      </c>
      <c r="AM83" s="760">
        <f t="shared" si="65"/>
        <v>0</v>
      </c>
      <c r="AN83" s="760"/>
      <c r="AO83" s="761"/>
      <c r="AP83" s="761"/>
      <c r="AQ83" s="760"/>
      <c r="AR83" s="760"/>
      <c r="AS83" s="867"/>
      <c r="AT83" s="746">
        <f t="shared" si="66"/>
        <v>0</v>
      </c>
      <c r="AU83" s="743">
        <f t="shared" si="67"/>
        <v>0</v>
      </c>
      <c r="AV83" s="747">
        <f t="shared" si="68"/>
        <v>0</v>
      </c>
      <c r="AW83" s="747" t="e">
        <f t="shared" si="69"/>
        <v>#DIV/0!</v>
      </c>
      <c r="AY83" s="743">
        <f t="shared" si="71"/>
        <v>0</v>
      </c>
    </row>
    <row r="84" spans="1:51">
      <c r="A84" s="742" t="s">
        <v>419</v>
      </c>
      <c r="B84" s="743"/>
      <c r="C84" s="742"/>
      <c r="D84" s="743">
        <f t="shared" ref="D84:I84" si="78">IF(D77=0,0,D$23)</f>
        <v>0</v>
      </c>
      <c r="E84" s="743">
        <f t="shared" si="78"/>
        <v>0</v>
      </c>
      <c r="F84" s="743">
        <f t="shared" si="78"/>
        <v>0</v>
      </c>
      <c r="G84" s="743">
        <f t="shared" si="78"/>
        <v>0</v>
      </c>
      <c r="H84" s="743">
        <f t="shared" si="78"/>
        <v>0</v>
      </c>
      <c r="I84" s="743">
        <f t="shared" si="78"/>
        <v>0</v>
      </c>
      <c r="J84" s="743">
        <f t="shared" ref="J84:AG84" si="79">IF(J77=0,0,J$23)</f>
        <v>0</v>
      </c>
      <c r="K84" s="743">
        <f t="shared" si="79"/>
        <v>0</v>
      </c>
      <c r="L84" s="743">
        <f t="shared" si="79"/>
        <v>0</v>
      </c>
      <c r="M84" s="743">
        <f t="shared" si="79"/>
        <v>0</v>
      </c>
      <c r="N84" s="743">
        <f t="shared" si="79"/>
        <v>0</v>
      </c>
      <c r="O84" s="743">
        <f t="shared" si="79"/>
        <v>0</v>
      </c>
      <c r="P84" s="743">
        <f t="shared" si="79"/>
        <v>0</v>
      </c>
      <c r="Q84" s="743">
        <f t="shared" si="79"/>
        <v>0</v>
      </c>
      <c r="R84" s="743">
        <f t="shared" si="79"/>
        <v>0</v>
      </c>
      <c r="S84" s="743">
        <f t="shared" si="79"/>
        <v>0</v>
      </c>
      <c r="T84" s="743">
        <f t="shared" si="79"/>
        <v>0</v>
      </c>
      <c r="U84" s="743">
        <f t="shared" si="79"/>
        <v>0</v>
      </c>
      <c r="V84" s="743">
        <f t="shared" si="79"/>
        <v>0</v>
      </c>
      <c r="W84" s="743">
        <f t="shared" si="79"/>
        <v>0</v>
      </c>
      <c r="X84" s="743">
        <f t="shared" si="79"/>
        <v>0</v>
      </c>
      <c r="Y84" s="743">
        <f t="shared" si="79"/>
        <v>0</v>
      </c>
      <c r="Z84" s="743">
        <f t="shared" si="79"/>
        <v>0</v>
      </c>
      <c r="AA84" s="743">
        <f t="shared" si="79"/>
        <v>0</v>
      </c>
      <c r="AB84" s="743">
        <f t="shared" si="79"/>
        <v>0</v>
      </c>
      <c r="AC84" s="743">
        <f t="shared" si="79"/>
        <v>0</v>
      </c>
      <c r="AD84" s="743">
        <f t="shared" si="79"/>
        <v>0</v>
      </c>
      <c r="AE84" s="743">
        <f t="shared" si="79"/>
        <v>0</v>
      </c>
      <c r="AF84" s="743">
        <f t="shared" si="79"/>
        <v>0</v>
      </c>
      <c r="AG84" s="744">
        <f t="shared" si="79"/>
        <v>0</v>
      </c>
      <c r="AH84" s="762">
        <f t="shared" si="62"/>
        <v>0</v>
      </c>
      <c r="AI84" s="760">
        <f t="shared" si="63"/>
        <v>0</v>
      </c>
      <c r="AJ84" s="760"/>
      <c r="AK84" s="760"/>
      <c r="AL84" s="760">
        <f t="shared" si="64"/>
        <v>0</v>
      </c>
      <c r="AM84" s="760">
        <f t="shared" si="65"/>
        <v>0</v>
      </c>
      <c r="AN84" s="760"/>
      <c r="AO84" s="761"/>
      <c r="AP84" s="761"/>
      <c r="AQ84" s="760"/>
      <c r="AR84" s="760"/>
      <c r="AS84" s="867"/>
      <c r="AT84" s="746">
        <f t="shared" si="66"/>
        <v>0</v>
      </c>
      <c r="AU84" s="743">
        <f t="shared" si="67"/>
        <v>0</v>
      </c>
      <c r="AV84" s="747">
        <f t="shared" si="68"/>
        <v>0</v>
      </c>
      <c r="AW84" s="747" t="e">
        <f t="shared" si="69"/>
        <v>#DIV/0!</v>
      </c>
      <c r="AY84" s="743">
        <f t="shared" si="71"/>
        <v>0</v>
      </c>
    </row>
    <row r="85" spans="1:51">
      <c r="AH85" s="766"/>
      <c r="AI85" s="767"/>
      <c r="AJ85" s="767"/>
      <c r="AK85" s="767"/>
      <c r="AL85" s="767"/>
      <c r="AM85" s="767"/>
      <c r="AN85" s="767"/>
      <c r="AO85" s="767"/>
      <c r="AP85" s="767"/>
      <c r="AQ85" s="743"/>
      <c r="AR85" s="743"/>
      <c r="AS85" s="767"/>
      <c r="AT85" s="766"/>
      <c r="AU85" s="767"/>
      <c r="AV85" s="768"/>
      <c r="AW85" s="768"/>
    </row>
    <row r="86" spans="1:51">
      <c r="A86" s="760" t="s">
        <v>474</v>
      </c>
      <c r="B86" s="774">
        <v>79169.025263899995</v>
      </c>
      <c r="C86" s="759" t="s">
        <v>85</v>
      </c>
      <c r="D86" s="760"/>
      <c r="E86" s="760"/>
      <c r="F86" s="760">
        <v>0</v>
      </c>
      <c r="G86" s="760">
        <v>0</v>
      </c>
      <c r="H86" s="760"/>
      <c r="I86" s="760"/>
      <c r="J86" s="760">
        <v>0</v>
      </c>
      <c r="K86" s="760">
        <v>0</v>
      </c>
      <c r="L86" s="760">
        <v>0</v>
      </c>
      <c r="M86" s="760"/>
      <c r="N86" s="760">
        <v>0</v>
      </c>
      <c r="O86" s="760"/>
      <c r="P86" s="760"/>
      <c r="Q86" s="760"/>
      <c r="R86" s="760"/>
      <c r="S86" s="760">
        <v>0</v>
      </c>
      <c r="T86" s="760"/>
      <c r="U86" s="760"/>
      <c r="V86" s="760">
        <v>0</v>
      </c>
      <c r="W86" s="760"/>
      <c r="X86" s="760"/>
      <c r="Y86" s="760">
        <v>0</v>
      </c>
      <c r="Z86" s="760"/>
      <c r="AA86" s="760"/>
      <c r="AB86" s="760">
        <v>0</v>
      </c>
      <c r="AC86" s="760"/>
      <c r="AD86" s="760"/>
      <c r="AE86" s="760">
        <v>0</v>
      </c>
      <c r="AF86" s="760"/>
      <c r="AG86" s="761"/>
      <c r="AH86" s="762">
        <f>G86</f>
        <v>0</v>
      </c>
      <c r="AI86" s="760">
        <f>J86</f>
        <v>0</v>
      </c>
      <c r="AJ86" s="760"/>
      <c r="AK86" s="760"/>
      <c r="AL86" s="760">
        <f>K86</f>
        <v>0</v>
      </c>
      <c r="AM86" s="760">
        <f>N86</f>
        <v>0</v>
      </c>
      <c r="AN86" s="760"/>
      <c r="AO86" s="761"/>
      <c r="AP86" s="761">
        <f>F86</f>
        <v>0</v>
      </c>
      <c r="AQ86" s="760"/>
      <c r="AR86" s="760"/>
      <c r="AS86" s="867"/>
      <c r="AT86" s="765">
        <f>SUM(AH86:AI86)</f>
        <v>0</v>
      </c>
      <c r="AU86" s="760">
        <f>SUM(AL86:AM86)</f>
        <v>0</v>
      </c>
      <c r="AV86" s="764">
        <f>SUM(AP86:AQ86)</f>
        <v>0</v>
      </c>
      <c r="AW86" s="764">
        <f>SUM(D86:AG86)</f>
        <v>0</v>
      </c>
      <c r="AY86" s="731">
        <f>SUM(AT86:AV86)</f>
        <v>0</v>
      </c>
    </row>
    <row r="87" spans="1:51">
      <c r="A87" s="742" t="s">
        <v>460</v>
      </c>
      <c r="B87" s="760"/>
      <c r="C87" s="759"/>
      <c r="D87" s="743">
        <f>IF(D86=0,0,D$18)</f>
        <v>0</v>
      </c>
      <c r="E87" s="743">
        <f>IF(E86=0,0,E$18)</f>
        <v>0</v>
      </c>
      <c r="F87" s="743">
        <f>IF(F86=0,0,F$18)</f>
        <v>0</v>
      </c>
      <c r="G87" s="743">
        <f>IF(G86=0,0,G$18)</f>
        <v>0</v>
      </c>
      <c r="H87" s="743">
        <f>IF(H86=0,0,H$18)</f>
        <v>0</v>
      </c>
      <c r="I87" s="743">
        <f t="shared" ref="I87:AG87" si="80">IF(I86=0,0,I$18)</f>
        <v>0</v>
      </c>
      <c r="J87" s="743">
        <f t="shared" si="80"/>
        <v>0</v>
      </c>
      <c r="K87" s="743">
        <f t="shared" si="80"/>
        <v>0</v>
      </c>
      <c r="L87" s="743">
        <f t="shared" si="80"/>
        <v>0</v>
      </c>
      <c r="M87" s="743">
        <f t="shared" si="80"/>
        <v>0</v>
      </c>
      <c r="N87" s="743">
        <f t="shared" si="80"/>
        <v>0</v>
      </c>
      <c r="O87" s="743">
        <f t="shared" si="80"/>
        <v>0</v>
      </c>
      <c r="P87" s="743">
        <f t="shared" si="80"/>
        <v>0</v>
      </c>
      <c r="Q87" s="743">
        <f t="shared" si="80"/>
        <v>0</v>
      </c>
      <c r="R87" s="743">
        <f t="shared" si="80"/>
        <v>0</v>
      </c>
      <c r="S87" s="743">
        <f t="shared" si="80"/>
        <v>0</v>
      </c>
      <c r="T87" s="743">
        <f t="shared" si="80"/>
        <v>0</v>
      </c>
      <c r="U87" s="743">
        <f t="shared" si="80"/>
        <v>0</v>
      </c>
      <c r="V87" s="743">
        <f t="shared" si="80"/>
        <v>0</v>
      </c>
      <c r="W87" s="743">
        <f t="shared" si="80"/>
        <v>0</v>
      </c>
      <c r="X87" s="743">
        <f t="shared" si="80"/>
        <v>0</v>
      </c>
      <c r="Y87" s="743">
        <f t="shared" si="80"/>
        <v>0</v>
      </c>
      <c r="Z87" s="743">
        <f t="shared" si="80"/>
        <v>0</v>
      </c>
      <c r="AA87" s="743">
        <f t="shared" si="80"/>
        <v>0</v>
      </c>
      <c r="AB87" s="743">
        <f t="shared" si="80"/>
        <v>0</v>
      </c>
      <c r="AC87" s="743">
        <f t="shared" si="80"/>
        <v>0</v>
      </c>
      <c r="AD87" s="743">
        <f t="shared" si="80"/>
        <v>0</v>
      </c>
      <c r="AE87" s="743">
        <f t="shared" si="80"/>
        <v>0</v>
      </c>
      <c r="AF87" s="743">
        <f t="shared" si="80"/>
        <v>0</v>
      </c>
      <c r="AG87" s="744">
        <f t="shared" si="80"/>
        <v>0</v>
      </c>
      <c r="AH87" s="762">
        <f t="shared" ref="AH87:AH93" si="81">G87</f>
        <v>0</v>
      </c>
      <c r="AI87" s="760">
        <f t="shared" ref="AI87:AI93" si="82">J87</f>
        <v>0</v>
      </c>
      <c r="AJ87" s="760"/>
      <c r="AK87" s="760"/>
      <c r="AL87" s="760">
        <f t="shared" ref="AL87:AL93" si="83">K87</f>
        <v>0</v>
      </c>
      <c r="AM87" s="760">
        <f t="shared" ref="AM87:AM93" si="84">N87</f>
        <v>0</v>
      </c>
      <c r="AN87" s="760"/>
      <c r="AO87" s="761"/>
      <c r="AP87" s="761">
        <f t="shared" ref="AP87:AP93" si="85">F87</f>
        <v>0</v>
      </c>
      <c r="AQ87" s="760"/>
      <c r="AR87" s="760"/>
      <c r="AS87" s="867"/>
      <c r="AT87" s="746">
        <f t="shared" ref="AT87:AT93" si="86">IF(AT$86=0,0,SUMPRODUCT(AH$86:AI$86,AH87:AI87)/AT$86)</f>
        <v>0</v>
      </c>
      <c r="AU87" s="743">
        <f t="shared" ref="AU87:AU93" si="87">IF(AU$86=0,0,SUMPRODUCT(AL$86:AM$86,AL87:AM87)/AU$86)</f>
        <v>0</v>
      </c>
      <c r="AV87" s="747">
        <f t="shared" ref="AV87:AV93" si="88">IF(AV$86=0,0,SUMPRODUCT(AP$86:AQ$86,AP87:AQ87)/AV$86)</f>
        <v>0</v>
      </c>
      <c r="AW87" s="747" t="e">
        <f t="shared" ref="AW87:AW93" si="89">SUMPRODUCT(D$86:AG$86,D87:AG87)/AW$86</f>
        <v>#DIV/0!</v>
      </c>
      <c r="AY87" s="743">
        <f>IF(AY$86=0,0,SUMPRODUCT(AT$86:AV$86,AT87:AV87)/AY$86)</f>
        <v>0</v>
      </c>
    </row>
    <row r="88" spans="1:51">
      <c r="A88" s="742" t="s">
        <v>462</v>
      </c>
      <c r="B88" s="743"/>
      <c r="C88" s="742"/>
      <c r="D88" s="743">
        <f t="shared" ref="D88:AG88" si="90">IF(D86=0,0,D$19)</f>
        <v>0</v>
      </c>
      <c r="E88" s="743">
        <f t="shared" si="90"/>
        <v>0</v>
      </c>
      <c r="F88" s="743">
        <f t="shared" si="90"/>
        <v>0</v>
      </c>
      <c r="G88" s="743">
        <f t="shared" si="90"/>
        <v>0</v>
      </c>
      <c r="H88" s="743">
        <f t="shared" si="90"/>
        <v>0</v>
      </c>
      <c r="I88" s="743">
        <f t="shared" si="90"/>
        <v>0</v>
      </c>
      <c r="J88" s="743">
        <f t="shared" si="90"/>
        <v>0</v>
      </c>
      <c r="K88" s="743">
        <f t="shared" si="90"/>
        <v>0</v>
      </c>
      <c r="L88" s="743">
        <f t="shared" si="90"/>
        <v>0</v>
      </c>
      <c r="M88" s="743">
        <f t="shared" si="90"/>
        <v>0</v>
      </c>
      <c r="N88" s="743">
        <f t="shared" si="90"/>
        <v>0</v>
      </c>
      <c r="O88" s="743">
        <f t="shared" si="90"/>
        <v>0</v>
      </c>
      <c r="P88" s="743">
        <f t="shared" si="90"/>
        <v>0</v>
      </c>
      <c r="Q88" s="743">
        <f t="shared" si="90"/>
        <v>0</v>
      </c>
      <c r="R88" s="743">
        <f t="shared" si="90"/>
        <v>0</v>
      </c>
      <c r="S88" s="743">
        <f t="shared" si="90"/>
        <v>0</v>
      </c>
      <c r="T88" s="743">
        <f t="shared" si="90"/>
        <v>0</v>
      </c>
      <c r="U88" s="743">
        <f t="shared" si="90"/>
        <v>0</v>
      </c>
      <c r="V88" s="743">
        <f t="shared" si="90"/>
        <v>0</v>
      </c>
      <c r="W88" s="743">
        <f t="shared" si="90"/>
        <v>0</v>
      </c>
      <c r="X88" s="743">
        <f t="shared" si="90"/>
        <v>0</v>
      </c>
      <c r="Y88" s="743">
        <f t="shared" si="90"/>
        <v>0</v>
      </c>
      <c r="Z88" s="743">
        <f t="shared" si="90"/>
        <v>0</v>
      </c>
      <c r="AA88" s="743">
        <f t="shared" si="90"/>
        <v>0</v>
      </c>
      <c r="AB88" s="743">
        <f t="shared" si="90"/>
        <v>0</v>
      </c>
      <c r="AC88" s="743">
        <f t="shared" si="90"/>
        <v>0</v>
      </c>
      <c r="AD88" s="743">
        <f t="shared" si="90"/>
        <v>0</v>
      </c>
      <c r="AE88" s="743">
        <f t="shared" si="90"/>
        <v>0</v>
      </c>
      <c r="AF88" s="743">
        <f t="shared" si="90"/>
        <v>0</v>
      </c>
      <c r="AG88" s="744">
        <f t="shared" si="90"/>
        <v>0</v>
      </c>
      <c r="AH88" s="762">
        <f t="shared" si="81"/>
        <v>0</v>
      </c>
      <c r="AI88" s="760">
        <f t="shared" si="82"/>
        <v>0</v>
      </c>
      <c r="AJ88" s="760"/>
      <c r="AK88" s="760"/>
      <c r="AL88" s="760">
        <f t="shared" si="83"/>
        <v>0</v>
      </c>
      <c r="AM88" s="760">
        <f t="shared" si="84"/>
        <v>0</v>
      </c>
      <c r="AN88" s="760"/>
      <c r="AO88" s="761"/>
      <c r="AP88" s="761">
        <f t="shared" si="85"/>
        <v>0</v>
      </c>
      <c r="AQ88" s="760"/>
      <c r="AR88" s="760"/>
      <c r="AS88" s="867"/>
      <c r="AT88" s="746">
        <f t="shared" si="86"/>
        <v>0</v>
      </c>
      <c r="AU88" s="743">
        <f t="shared" si="87"/>
        <v>0</v>
      </c>
      <c r="AV88" s="747">
        <f t="shared" si="88"/>
        <v>0</v>
      </c>
      <c r="AW88" s="747" t="e">
        <f t="shared" si="89"/>
        <v>#DIV/0!</v>
      </c>
      <c r="AY88" s="743">
        <f t="shared" ref="AY88:AY93" si="91">IF(AY$86=0,0,SUMPRODUCT(AT$86:AV$86,AT88:AV88)/AY$86)</f>
        <v>0</v>
      </c>
    </row>
    <row r="89" spans="1:51">
      <c r="A89" s="742" t="s">
        <v>420</v>
      </c>
      <c r="B89" s="743"/>
      <c r="C89" s="742"/>
      <c r="D89" s="743">
        <f t="shared" ref="D89:AG89" si="92">IF(D86=0,0,D$20)</f>
        <v>0</v>
      </c>
      <c r="E89" s="743">
        <f t="shared" si="92"/>
        <v>0</v>
      </c>
      <c r="F89" s="743">
        <f t="shared" si="92"/>
        <v>0</v>
      </c>
      <c r="G89" s="743">
        <f t="shared" si="92"/>
        <v>0</v>
      </c>
      <c r="H89" s="743">
        <f t="shared" si="92"/>
        <v>0</v>
      </c>
      <c r="I89" s="743">
        <f t="shared" si="92"/>
        <v>0</v>
      </c>
      <c r="J89" s="743">
        <f t="shared" si="92"/>
        <v>0</v>
      </c>
      <c r="K89" s="743">
        <f t="shared" si="92"/>
        <v>0</v>
      </c>
      <c r="L89" s="743">
        <f t="shared" si="92"/>
        <v>0</v>
      </c>
      <c r="M89" s="743">
        <f t="shared" si="92"/>
        <v>0</v>
      </c>
      <c r="N89" s="743">
        <f t="shared" si="92"/>
        <v>0</v>
      </c>
      <c r="O89" s="743">
        <f t="shared" si="92"/>
        <v>0</v>
      </c>
      <c r="P89" s="743">
        <f t="shared" si="92"/>
        <v>0</v>
      </c>
      <c r="Q89" s="743">
        <f t="shared" si="92"/>
        <v>0</v>
      </c>
      <c r="R89" s="743">
        <f t="shared" si="92"/>
        <v>0</v>
      </c>
      <c r="S89" s="743">
        <f t="shared" si="92"/>
        <v>0</v>
      </c>
      <c r="T89" s="743">
        <f t="shared" si="92"/>
        <v>0</v>
      </c>
      <c r="U89" s="743">
        <f t="shared" si="92"/>
        <v>0</v>
      </c>
      <c r="V89" s="743">
        <f t="shared" si="92"/>
        <v>0</v>
      </c>
      <c r="W89" s="743">
        <f t="shared" si="92"/>
        <v>0</v>
      </c>
      <c r="X89" s="743">
        <f t="shared" si="92"/>
        <v>0</v>
      </c>
      <c r="Y89" s="743">
        <f t="shared" si="92"/>
        <v>0</v>
      </c>
      <c r="Z89" s="743">
        <f t="shared" si="92"/>
        <v>0</v>
      </c>
      <c r="AA89" s="743">
        <f t="shared" si="92"/>
        <v>0</v>
      </c>
      <c r="AB89" s="743">
        <f t="shared" si="92"/>
        <v>0</v>
      </c>
      <c r="AC89" s="743">
        <f t="shared" si="92"/>
        <v>0</v>
      </c>
      <c r="AD89" s="743">
        <f t="shared" si="92"/>
        <v>0</v>
      </c>
      <c r="AE89" s="743">
        <f t="shared" si="92"/>
        <v>0</v>
      </c>
      <c r="AF89" s="743">
        <f t="shared" si="92"/>
        <v>0</v>
      </c>
      <c r="AG89" s="744">
        <f t="shared" si="92"/>
        <v>0</v>
      </c>
      <c r="AH89" s="762">
        <f t="shared" si="81"/>
        <v>0</v>
      </c>
      <c r="AI89" s="760">
        <f t="shared" si="82"/>
        <v>0</v>
      </c>
      <c r="AJ89" s="760"/>
      <c r="AK89" s="760"/>
      <c r="AL89" s="760">
        <f t="shared" si="83"/>
        <v>0</v>
      </c>
      <c r="AM89" s="760">
        <f t="shared" si="84"/>
        <v>0</v>
      </c>
      <c r="AN89" s="760"/>
      <c r="AO89" s="761"/>
      <c r="AP89" s="761">
        <f t="shared" si="85"/>
        <v>0</v>
      </c>
      <c r="AQ89" s="760"/>
      <c r="AR89" s="760"/>
      <c r="AS89" s="867"/>
      <c r="AT89" s="746">
        <f t="shared" si="86"/>
        <v>0</v>
      </c>
      <c r="AU89" s="743">
        <f t="shared" si="87"/>
        <v>0</v>
      </c>
      <c r="AV89" s="747">
        <f t="shared" si="88"/>
        <v>0</v>
      </c>
      <c r="AW89" s="747" t="e">
        <f t="shared" si="89"/>
        <v>#DIV/0!</v>
      </c>
      <c r="AY89" s="743">
        <f t="shared" si="91"/>
        <v>0</v>
      </c>
    </row>
    <row r="90" spans="1:51">
      <c r="A90" s="742" t="s">
        <v>464</v>
      </c>
      <c r="B90" s="743"/>
      <c r="C90" s="742"/>
      <c r="D90" s="743">
        <f t="shared" ref="D90:AG90" si="93">IF(D86=0,0,D$21)</f>
        <v>0</v>
      </c>
      <c r="E90" s="743">
        <f t="shared" si="93"/>
        <v>0</v>
      </c>
      <c r="F90" s="743">
        <f t="shared" si="93"/>
        <v>0</v>
      </c>
      <c r="G90" s="743">
        <f t="shared" si="93"/>
        <v>0</v>
      </c>
      <c r="H90" s="743">
        <f t="shared" si="93"/>
        <v>0</v>
      </c>
      <c r="I90" s="743">
        <f t="shared" si="93"/>
        <v>0</v>
      </c>
      <c r="J90" s="743">
        <f t="shared" si="93"/>
        <v>0</v>
      </c>
      <c r="K90" s="743">
        <f t="shared" si="93"/>
        <v>0</v>
      </c>
      <c r="L90" s="743">
        <f t="shared" si="93"/>
        <v>0</v>
      </c>
      <c r="M90" s="743">
        <f t="shared" si="93"/>
        <v>0</v>
      </c>
      <c r="N90" s="743">
        <f t="shared" si="93"/>
        <v>0</v>
      </c>
      <c r="O90" s="743">
        <f t="shared" si="93"/>
        <v>0</v>
      </c>
      <c r="P90" s="743">
        <f t="shared" si="93"/>
        <v>0</v>
      </c>
      <c r="Q90" s="743">
        <f t="shared" si="93"/>
        <v>0</v>
      </c>
      <c r="R90" s="743">
        <f t="shared" si="93"/>
        <v>0</v>
      </c>
      <c r="S90" s="743">
        <f t="shared" si="93"/>
        <v>0</v>
      </c>
      <c r="T90" s="743">
        <f t="shared" si="93"/>
        <v>0</v>
      </c>
      <c r="U90" s="743">
        <f t="shared" si="93"/>
        <v>0</v>
      </c>
      <c r="V90" s="743">
        <f t="shared" si="93"/>
        <v>0</v>
      </c>
      <c r="W90" s="743">
        <f t="shared" si="93"/>
        <v>0</v>
      </c>
      <c r="X90" s="743">
        <f t="shared" si="93"/>
        <v>0</v>
      </c>
      <c r="Y90" s="743">
        <f t="shared" si="93"/>
        <v>0</v>
      </c>
      <c r="Z90" s="743">
        <f t="shared" si="93"/>
        <v>0</v>
      </c>
      <c r="AA90" s="743">
        <f t="shared" si="93"/>
        <v>0</v>
      </c>
      <c r="AB90" s="743">
        <f t="shared" si="93"/>
        <v>0</v>
      </c>
      <c r="AC90" s="743">
        <f t="shared" si="93"/>
        <v>0</v>
      </c>
      <c r="AD90" s="743">
        <f t="shared" si="93"/>
        <v>0</v>
      </c>
      <c r="AE90" s="743">
        <f t="shared" si="93"/>
        <v>0</v>
      </c>
      <c r="AF90" s="743">
        <f t="shared" si="93"/>
        <v>0</v>
      </c>
      <c r="AG90" s="744">
        <f t="shared" si="93"/>
        <v>0</v>
      </c>
      <c r="AH90" s="762">
        <f t="shared" si="81"/>
        <v>0</v>
      </c>
      <c r="AI90" s="760">
        <f t="shared" si="82"/>
        <v>0</v>
      </c>
      <c r="AJ90" s="760"/>
      <c r="AK90" s="760"/>
      <c r="AL90" s="760">
        <f t="shared" si="83"/>
        <v>0</v>
      </c>
      <c r="AM90" s="760">
        <f t="shared" si="84"/>
        <v>0</v>
      </c>
      <c r="AN90" s="760"/>
      <c r="AO90" s="761"/>
      <c r="AP90" s="761">
        <f t="shared" si="85"/>
        <v>0</v>
      </c>
      <c r="AQ90" s="760"/>
      <c r="AR90" s="760"/>
      <c r="AS90" s="867"/>
      <c r="AT90" s="746">
        <f t="shared" si="86"/>
        <v>0</v>
      </c>
      <c r="AU90" s="743">
        <f t="shared" si="87"/>
        <v>0</v>
      </c>
      <c r="AV90" s="747">
        <f t="shared" si="88"/>
        <v>0</v>
      </c>
      <c r="AW90" s="747" t="e">
        <f t="shared" si="89"/>
        <v>#DIV/0!</v>
      </c>
      <c r="AY90" s="743">
        <f t="shared" si="91"/>
        <v>0</v>
      </c>
    </row>
    <row r="91" spans="1:51">
      <c r="A91" s="742" t="s">
        <v>416</v>
      </c>
      <c r="B91" s="743"/>
      <c r="C91" s="742"/>
      <c r="D91" s="743">
        <f>IF(D86=0,0,D$22)</f>
        <v>0</v>
      </c>
      <c r="E91" s="743">
        <f>IF(E86=0,0,E$22)</f>
        <v>0</v>
      </c>
      <c r="F91" s="743">
        <f>IF(F86=0,0,F$22)</f>
        <v>0</v>
      </c>
      <c r="G91" s="743">
        <f>IF(G86=0,0,G$22)</f>
        <v>0</v>
      </c>
      <c r="H91" s="743">
        <f>IF(H86=0,0,H$22)</f>
        <v>0</v>
      </c>
      <c r="I91" s="743">
        <f t="shared" ref="I91:AG91" si="94">IF(I86=0,0,I$22)</f>
        <v>0</v>
      </c>
      <c r="J91" s="743">
        <f t="shared" si="94"/>
        <v>0</v>
      </c>
      <c r="K91" s="743">
        <f t="shared" si="94"/>
        <v>0</v>
      </c>
      <c r="L91" s="743">
        <f t="shared" si="94"/>
        <v>0</v>
      </c>
      <c r="M91" s="743">
        <f t="shared" si="94"/>
        <v>0</v>
      </c>
      <c r="N91" s="743">
        <f t="shared" si="94"/>
        <v>0</v>
      </c>
      <c r="O91" s="743">
        <f t="shared" si="94"/>
        <v>0</v>
      </c>
      <c r="P91" s="743">
        <f t="shared" si="94"/>
        <v>0</v>
      </c>
      <c r="Q91" s="743">
        <f t="shared" si="94"/>
        <v>0</v>
      </c>
      <c r="R91" s="743">
        <f t="shared" si="94"/>
        <v>0</v>
      </c>
      <c r="S91" s="743">
        <f t="shared" si="94"/>
        <v>0</v>
      </c>
      <c r="T91" s="743">
        <f t="shared" si="94"/>
        <v>0</v>
      </c>
      <c r="U91" s="743">
        <f t="shared" si="94"/>
        <v>0</v>
      </c>
      <c r="V91" s="743">
        <f t="shared" si="94"/>
        <v>0</v>
      </c>
      <c r="W91" s="743">
        <f t="shared" si="94"/>
        <v>0</v>
      </c>
      <c r="X91" s="743">
        <f t="shared" si="94"/>
        <v>0</v>
      </c>
      <c r="Y91" s="743">
        <f t="shared" si="94"/>
        <v>0</v>
      </c>
      <c r="Z91" s="743">
        <f t="shared" si="94"/>
        <v>0</v>
      </c>
      <c r="AA91" s="743">
        <f t="shared" si="94"/>
        <v>0</v>
      </c>
      <c r="AB91" s="743">
        <f t="shared" si="94"/>
        <v>0</v>
      </c>
      <c r="AC91" s="743">
        <f t="shared" si="94"/>
        <v>0</v>
      </c>
      <c r="AD91" s="743">
        <f t="shared" si="94"/>
        <v>0</v>
      </c>
      <c r="AE91" s="743">
        <f t="shared" si="94"/>
        <v>0</v>
      </c>
      <c r="AF91" s="743">
        <f t="shared" si="94"/>
        <v>0</v>
      </c>
      <c r="AG91" s="744">
        <f t="shared" si="94"/>
        <v>0</v>
      </c>
      <c r="AH91" s="762">
        <f t="shared" si="81"/>
        <v>0</v>
      </c>
      <c r="AI91" s="760">
        <f t="shared" si="82"/>
        <v>0</v>
      </c>
      <c r="AJ91" s="760"/>
      <c r="AK91" s="760"/>
      <c r="AL91" s="760">
        <f t="shared" si="83"/>
        <v>0</v>
      </c>
      <c r="AM91" s="760">
        <f t="shared" si="84"/>
        <v>0</v>
      </c>
      <c r="AN91" s="760"/>
      <c r="AO91" s="761"/>
      <c r="AP91" s="761">
        <f t="shared" si="85"/>
        <v>0</v>
      </c>
      <c r="AQ91" s="760"/>
      <c r="AR91" s="760"/>
      <c r="AS91" s="867"/>
      <c r="AT91" s="746">
        <f t="shared" si="86"/>
        <v>0</v>
      </c>
      <c r="AU91" s="743">
        <f t="shared" si="87"/>
        <v>0</v>
      </c>
      <c r="AV91" s="747">
        <f t="shared" si="88"/>
        <v>0</v>
      </c>
      <c r="AW91" s="747" t="e">
        <f t="shared" si="89"/>
        <v>#DIV/0!</v>
      </c>
      <c r="AY91" s="743">
        <f t="shared" si="91"/>
        <v>0</v>
      </c>
    </row>
    <row r="92" spans="1:51">
      <c r="A92" s="742" t="s">
        <v>465</v>
      </c>
      <c r="B92" s="743"/>
      <c r="C92" s="742"/>
      <c r="D92" s="743">
        <f>IF(D86=0,0,D$24)</f>
        <v>0</v>
      </c>
      <c r="E92" s="743">
        <f>IF(E86=0,0,E$24)</f>
        <v>0</v>
      </c>
      <c r="F92" s="743">
        <f>IF(F86=0,0,F$24)</f>
        <v>0</v>
      </c>
      <c r="G92" s="743">
        <f>IF(G86=0,0,G$24)</f>
        <v>0</v>
      </c>
      <c r="H92" s="743">
        <f>IF(H86=0,0,H$24)</f>
        <v>0</v>
      </c>
      <c r="I92" s="743">
        <f t="shared" ref="I92:AG92" si="95">IF(I86=0,0,I$24)</f>
        <v>0</v>
      </c>
      <c r="J92" s="743">
        <f t="shared" si="95"/>
        <v>0</v>
      </c>
      <c r="K92" s="743">
        <f t="shared" si="95"/>
        <v>0</v>
      </c>
      <c r="L92" s="743">
        <f t="shared" si="95"/>
        <v>0</v>
      </c>
      <c r="M92" s="743">
        <f t="shared" si="95"/>
        <v>0</v>
      </c>
      <c r="N92" s="743">
        <f t="shared" si="95"/>
        <v>0</v>
      </c>
      <c r="O92" s="743">
        <f t="shared" si="95"/>
        <v>0</v>
      </c>
      <c r="P92" s="743">
        <f t="shared" si="95"/>
        <v>0</v>
      </c>
      <c r="Q92" s="743">
        <f t="shared" si="95"/>
        <v>0</v>
      </c>
      <c r="R92" s="743">
        <f t="shared" si="95"/>
        <v>0</v>
      </c>
      <c r="S92" s="743">
        <f t="shared" si="95"/>
        <v>0</v>
      </c>
      <c r="T92" s="743">
        <f t="shared" si="95"/>
        <v>0</v>
      </c>
      <c r="U92" s="743">
        <f t="shared" si="95"/>
        <v>0</v>
      </c>
      <c r="V92" s="743">
        <f t="shared" si="95"/>
        <v>0</v>
      </c>
      <c r="W92" s="743">
        <f t="shared" si="95"/>
        <v>0</v>
      </c>
      <c r="X92" s="743">
        <f t="shared" si="95"/>
        <v>0</v>
      </c>
      <c r="Y92" s="743">
        <f t="shared" si="95"/>
        <v>0</v>
      </c>
      <c r="Z92" s="743">
        <f t="shared" si="95"/>
        <v>0</v>
      </c>
      <c r="AA92" s="743">
        <f t="shared" si="95"/>
        <v>0</v>
      </c>
      <c r="AB92" s="743">
        <f t="shared" si="95"/>
        <v>0</v>
      </c>
      <c r="AC92" s="743">
        <f t="shared" si="95"/>
        <v>0</v>
      </c>
      <c r="AD92" s="743">
        <f t="shared" si="95"/>
        <v>0</v>
      </c>
      <c r="AE92" s="743">
        <f t="shared" si="95"/>
        <v>0</v>
      </c>
      <c r="AF92" s="743">
        <f t="shared" si="95"/>
        <v>0</v>
      </c>
      <c r="AG92" s="744">
        <f t="shared" si="95"/>
        <v>0</v>
      </c>
      <c r="AH92" s="762">
        <f t="shared" si="81"/>
        <v>0</v>
      </c>
      <c r="AI92" s="760">
        <f t="shared" si="82"/>
        <v>0</v>
      </c>
      <c r="AJ92" s="760"/>
      <c r="AK92" s="760"/>
      <c r="AL92" s="760">
        <f t="shared" si="83"/>
        <v>0</v>
      </c>
      <c r="AM92" s="760">
        <f t="shared" si="84"/>
        <v>0</v>
      </c>
      <c r="AN92" s="760"/>
      <c r="AO92" s="761"/>
      <c r="AP92" s="761">
        <f t="shared" si="85"/>
        <v>0</v>
      </c>
      <c r="AQ92" s="760"/>
      <c r="AR92" s="760"/>
      <c r="AS92" s="867"/>
      <c r="AT92" s="746">
        <f t="shared" si="86"/>
        <v>0</v>
      </c>
      <c r="AU92" s="743">
        <f t="shared" si="87"/>
        <v>0</v>
      </c>
      <c r="AV92" s="747">
        <f t="shared" si="88"/>
        <v>0</v>
      </c>
      <c r="AW92" s="747" t="e">
        <f t="shared" si="89"/>
        <v>#DIV/0!</v>
      </c>
      <c r="AY92" s="743">
        <f t="shared" si="91"/>
        <v>0</v>
      </c>
    </row>
    <row r="93" spans="1:51">
      <c r="A93" s="742" t="s">
        <v>419</v>
      </c>
      <c r="B93" s="743"/>
      <c r="C93" s="742"/>
      <c r="D93" s="743">
        <f>IF(D86=0,0,D$23)</f>
        <v>0</v>
      </c>
      <c r="E93" s="743">
        <f>IF(E86=0,0,E$23)</f>
        <v>0</v>
      </c>
      <c r="F93" s="743">
        <f>IF(F86=0,0,F$23)</f>
        <v>0</v>
      </c>
      <c r="G93" s="743">
        <f>IF(G86=0,0,G$23)</f>
        <v>0</v>
      </c>
      <c r="H93" s="743">
        <f>IF(H86=0,0,H$23)</f>
        <v>0</v>
      </c>
      <c r="I93" s="743">
        <f t="shared" ref="I93:AG93" si="96">IF(I86=0,0,I$23)</f>
        <v>0</v>
      </c>
      <c r="J93" s="743">
        <f t="shared" si="96"/>
        <v>0</v>
      </c>
      <c r="K93" s="743">
        <f t="shared" si="96"/>
        <v>0</v>
      </c>
      <c r="L93" s="743">
        <f t="shared" si="96"/>
        <v>0</v>
      </c>
      <c r="M93" s="743">
        <f t="shared" si="96"/>
        <v>0</v>
      </c>
      <c r="N93" s="743">
        <f t="shared" si="96"/>
        <v>0</v>
      </c>
      <c r="O93" s="743">
        <f t="shared" si="96"/>
        <v>0</v>
      </c>
      <c r="P93" s="743">
        <f t="shared" si="96"/>
        <v>0</v>
      </c>
      <c r="Q93" s="743">
        <f t="shared" si="96"/>
        <v>0</v>
      </c>
      <c r="R93" s="743">
        <f t="shared" si="96"/>
        <v>0</v>
      </c>
      <c r="S93" s="743">
        <f t="shared" si="96"/>
        <v>0</v>
      </c>
      <c r="T93" s="743">
        <f t="shared" si="96"/>
        <v>0</v>
      </c>
      <c r="U93" s="743">
        <f t="shared" si="96"/>
        <v>0</v>
      </c>
      <c r="V93" s="743">
        <f t="shared" si="96"/>
        <v>0</v>
      </c>
      <c r="W93" s="743">
        <f t="shared" si="96"/>
        <v>0</v>
      </c>
      <c r="X93" s="743">
        <f t="shared" si="96"/>
        <v>0</v>
      </c>
      <c r="Y93" s="743">
        <f t="shared" si="96"/>
        <v>0</v>
      </c>
      <c r="Z93" s="743">
        <f t="shared" si="96"/>
        <v>0</v>
      </c>
      <c r="AA93" s="743">
        <f t="shared" si="96"/>
        <v>0</v>
      </c>
      <c r="AB93" s="743">
        <f t="shared" si="96"/>
        <v>0</v>
      </c>
      <c r="AC93" s="743">
        <f t="shared" si="96"/>
        <v>0</v>
      </c>
      <c r="AD93" s="743">
        <f t="shared" si="96"/>
        <v>0</v>
      </c>
      <c r="AE93" s="743">
        <f t="shared" si="96"/>
        <v>0</v>
      </c>
      <c r="AF93" s="743">
        <f t="shared" si="96"/>
        <v>0</v>
      </c>
      <c r="AG93" s="744">
        <f t="shared" si="96"/>
        <v>0</v>
      </c>
      <c r="AH93" s="762">
        <f t="shared" si="81"/>
        <v>0</v>
      </c>
      <c r="AI93" s="760">
        <f t="shared" si="82"/>
        <v>0</v>
      </c>
      <c r="AJ93" s="760"/>
      <c r="AK93" s="760"/>
      <c r="AL93" s="760">
        <f t="shared" si="83"/>
        <v>0</v>
      </c>
      <c r="AM93" s="760">
        <f t="shared" si="84"/>
        <v>0</v>
      </c>
      <c r="AN93" s="760"/>
      <c r="AO93" s="761"/>
      <c r="AP93" s="761">
        <f t="shared" si="85"/>
        <v>0</v>
      </c>
      <c r="AQ93" s="760"/>
      <c r="AR93" s="760"/>
      <c r="AS93" s="867"/>
      <c r="AT93" s="746">
        <f t="shared" si="86"/>
        <v>0</v>
      </c>
      <c r="AU93" s="743">
        <f t="shared" si="87"/>
        <v>0</v>
      </c>
      <c r="AV93" s="747">
        <f t="shared" si="88"/>
        <v>0</v>
      </c>
      <c r="AW93" s="747" t="e">
        <f t="shared" si="89"/>
        <v>#DIV/0!</v>
      </c>
      <c r="AY93" s="743">
        <f t="shared" si="91"/>
        <v>0</v>
      </c>
    </row>
    <row r="94" spans="1:51">
      <c r="AH94" s="766"/>
      <c r="AI94" s="767"/>
      <c r="AJ94" s="767"/>
      <c r="AK94" s="767"/>
      <c r="AL94" s="767"/>
      <c r="AM94" s="767"/>
      <c r="AN94" s="767"/>
      <c r="AO94" s="767"/>
      <c r="AP94" s="767"/>
      <c r="AQ94" s="743"/>
      <c r="AR94" s="743"/>
      <c r="AS94" s="767"/>
      <c r="AT94" s="766"/>
      <c r="AU94" s="767"/>
      <c r="AV94" s="768"/>
      <c r="AW94" s="768"/>
    </row>
    <row r="95" spans="1:51">
      <c r="A95" s="760" t="s">
        <v>475</v>
      </c>
      <c r="B95" s="774">
        <v>111258.68</v>
      </c>
      <c r="C95" s="759" t="s">
        <v>85</v>
      </c>
      <c r="D95" s="760">
        <v>0</v>
      </c>
      <c r="E95" s="760"/>
      <c r="F95" s="760">
        <v>0</v>
      </c>
      <c r="G95" s="760">
        <v>0</v>
      </c>
      <c r="H95" s="760">
        <v>0</v>
      </c>
      <c r="I95" s="760">
        <v>0</v>
      </c>
      <c r="J95" s="760">
        <v>0</v>
      </c>
      <c r="K95" s="760">
        <v>0</v>
      </c>
      <c r="L95" s="760">
        <v>0</v>
      </c>
      <c r="M95" s="760">
        <v>0</v>
      </c>
      <c r="N95" s="760">
        <v>0</v>
      </c>
      <c r="O95" s="760">
        <v>0</v>
      </c>
      <c r="P95" s="760"/>
      <c r="Q95" s="760">
        <v>0</v>
      </c>
      <c r="R95" s="760"/>
      <c r="S95" s="760"/>
      <c r="T95" s="760"/>
      <c r="U95" s="760"/>
      <c r="V95" s="760">
        <v>0</v>
      </c>
      <c r="W95" s="760"/>
      <c r="X95" s="760"/>
      <c r="Y95" s="760">
        <v>0</v>
      </c>
      <c r="Z95" s="760"/>
      <c r="AA95" s="760"/>
      <c r="AB95" s="760">
        <v>0</v>
      </c>
      <c r="AC95" s="760"/>
      <c r="AD95" s="760"/>
      <c r="AE95" s="760">
        <v>0</v>
      </c>
      <c r="AF95" s="760"/>
      <c r="AG95" s="761"/>
      <c r="AH95" s="762">
        <f>G95</f>
        <v>0</v>
      </c>
      <c r="AI95" s="760">
        <f>J95+M95</f>
        <v>0</v>
      </c>
      <c r="AJ95" s="760"/>
      <c r="AK95" s="760"/>
      <c r="AL95" s="760">
        <f>K95</f>
        <v>0</v>
      </c>
      <c r="AM95" s="760">
        <f>N95</f>
        <v>0</v>
      </c>
      <c r="AN95" s="760"/>
      <c r="AO95" s="761"/>
      <c r="AP95" s="761">
        <f>F95</f>
        <v>0</v>
      </c>
      <c r="AQ95" s="760">
        <f>I95</f>
        <v>0</v>
      </c>
      <c r="AR95" s="760"/>
      <c r="AS95" s="867"/>
      <c r="AT95" s="765">
        <f>SUM(AH95:AI95)</f>
        <v>0</v>
      </c>
      <c r="AU95" s="760">
        <f>SUM(AL95:AM95)</f>
        <v>0</v>
      </c>
      <c r="AV95" s="764">
        <f>SUM(AP95:AQ95)</f>
        <v>0</v>
      </c>
      <c r="AW95" s="764">
        <f>SUM(D95:AG95)</f>
        <v>0</v>
      </c>
      <c r="AY95" s="731">
        <f>SUM(AT95:AV95)</f>
        <v>0</v>
      </c>
    </row>
    <row r="96" spans="1:51">
      <c r="A96" s="742" t="s">
        <v>460</v>
      </c>
      <c r="B96" s="760"/>
      <c r="C96" s="759"/>
      <c r="D96" s="743">
        <f>IF(D95=0,0,D$18)</f>
        <v>0</v>
      </c>
      <c r="E96" s="743">
        <f>IF(E95=0,0,E$18)</f>
        <v>0</v>
      </c>
      <c r="F96" s="743">
        <f>IF(F95=0,0,F$18)</f>
        <v>0</v>
      </c>
      <c r="G96" s="743">
        <f>IF(G95=0,0,G$18)</f>
        <v>0</v>
      </c>
      <c r="H96" s="743">
        <f>IF(H95=0,0,H$18)</f>
        <v>0</v>
      </c>
      <c r="I96" s="743">
        <f t="shared" ref="I96:AG96" si="97">IF(I95=0,0,I$18)</f>
        <v>0</v>
      </c>
      <c r="J96" s="743">
        <f t="shared" si="97"/>
        <v>0</v>
      </c>
      <c r="K96" s="743">
        <f t="shared" si="97"/>
        <v>0</v>
      </c>
      <c r="L96" s="743">
        <f t="shared" si="97"/>
        <v>0</v>
      </c>
      <c r="M96" s="743">
        <f t="shared" si="97"/>
        <v>0</v>
      </c>
      <c r="N96" s="743">
        <f t="shared" si="97"/>
        <v>0</v>
      </c>
      <c r="O96" s="743">
        <f t="shared" si="97"/>
        <v>0</v>
      </c>
      <c r="P96" s="743">
        <f t="shared" si="97"/>
        <v>0</v>
      </c>
      <c r="Q96" s="743">
        <f t="shared" si="97"/>
        <v>0</v>
      </c>
      <c r="R96" s="743">
        <f t="shared" si="97"/>
        <v>0</v>
      </c>
      <c r="S96" s="743">
        <f t="shared" si="97"/>
        <v>0</v>
      </c>
      <c r="T96" s="743">
        <f t="shared" si="97"/>
        <v>0</v>
      </c>
      <c r="U96" s="743">
        <f t="shared" si="97"/>
        <v>0</v>
      </c>
      <c r="V96" s="743">
        <f t="shared" si="97"/>
        <v>0</v>
      </c>
      <c r="W96" s="743">
        <f t="shared" si="97"/>
        <v>0</v>
      </c>
      <c r="X96" s="743">
        <f t="shared" si="97"/>
        <v>0</v>
      </c>
      <c r="Y96" s="743">
        <f t="shared" si="97"/>
        <v>0</v>
      </c>
      <c r="Z96" s="743">
        <f t="shared" si="97"/>
        <v>0</v>
      </c>
      <c r="AA96" s="743">
        <f t="shared" si="97"/>
        <v>0</v>
      </c>
      <c r="AB96" s="743">
        <f t="shared" si="97"/>
        <v>0</v>
      </c>
      <c r="AC96" s="743">
        <f t="shared" si="97"/>
        <v>0</v>
      </c>
      <c r="AD96" s="743">
        <f t="shared" si="97"/>
        <v>0</v>
      </c>
      <c r="AE96" s="743">
        <f t="shared" si="97"/>
        <v>0</v>
      </c>
      <c r="AF96" s="743">
        <f t="shared" si="97"/>
        <v>0</v>
      </c>
      <c r="AG96" s="744">
        <f t="shared" si="97"/>
        <v>0</v>
      </c>
      <c r="AH96" s="762">
        <f t="shared" ref="AH96:AH102" si="98">G96</f>
        <v>0</v>
      </c>
      <c r="AI96" s="760">
        <f t="shared" ref="AI96:AI102" si="99">J96</f>
        <v>0</v>
      </c>
      <c r="AJ96" s="760"/>
      <c r="AK96" s="760"/>
      <c r="AL96" s="760">
        <f t="shared" ref="AL96:AL102" si="100">K96</f>
        <v>0</v>
      </c>
      <c r="AM96" s="760">
        <f t="shared" ref="AM96:AM102" si="101">N96</f>
        <v>0</v>
      </c>
      <c r="AN96" s="760"/>
      <c r="AO96" s="761"/>
      <c r="AP96" s="761">
        <f t="shared" ref="AP96:AP102" si="102">F96</f>
        <v>0</v>
      </c>
      <c r="AQ96" s="760">
        <f t="shared" ref="AQ96:AQ102" si="103">I96</f>
        <v>0</v>
      </c>
      <c r="AR96" s="760"/>
      <c r="AS96" s="867"/>
      <c r="AT96" s="746">
        <f t="shared" ref="AT96:AT102" si="104">IF(AT$95=0,0,SUMPRODUCT(AH$95:AI$95,AH96:AI96)/AT$95)</f>
        <v>0</v>
      </c>
      <c r="AU96" s="743">
        <f t="shared" ref="AU96:AU102" si="105">IF(AU$95=0,0,SUMPRODUCT(AL$95:AM$95,AL96:AM96)/AU$95)</f>
        <v>0</v>
      </c>
      <c r="AV96" s="747">
        <f t="shared" ref="AV96:AV102" si="106">IF(AV$95=0,0,SUMPRODUCT(AP$95:AQ$95,AP96:AQ96)/AV$95)</f>
        <v>0</v>
      </c>
      <c r="AW96" s="747" t="e">
        <f t="shared" ref="AW96:AW102" si="107">SUMPRODUCT(D$95:AG$95,D96:AG96)/AW$95</f>
        <v>#DIV/0!</v>
      </c>
      <c r="AY96" s="743">
        <f>IF(AY$95=0,0,SUMPRODUCT(AT$95:AV$95,AT96:AV96)/AY$95)</f>
        <v>0</v>
      </c>
    </row>
    <row r="97" spans="1:51">
      <c r="A97" s="742" t="s">
        <v>462</v>
      </c>
      <c r="B97" s="743"/>
      <c r="C97" s="742"/>
      <c r="D97" s="743">
        <f t="shared" ref="D97:AG97" si="108">IF(D95=0,0,D$19)</f>
        <v>0</v>
      </c>
      <c r="E97" s="743">
        <f t="shared" si="108"/>
        <v>0</v>
      </c>
      <c r="F97" s="743">
        <f t="shared" si="108"/>
        <v>0</v>
      </c>
      <c r="G97" s="743">
        <f t="shared" si="108"/>
        <v>0</v>
      </c>
      <c r="H97" s="743">
        <f t="shared" si="108"/>
        <v>0</v>
      </c>
      <c r="I97" s="743">
        <f t="shared" si="108"/>
        <v>0</v>
      </c>
      <c r="J97" s="743">
        <f t="shared" si="108"/>
        <v>0</v>
      </c>
      <c r="K97" s="743">
        <f t="shared" si="108"/>
        <v>0</v>
      </c>
      <c r="L97" s="743">
        <f t="shared" si="108"/>
        <v>0</v>
      </c>
      <c r="M97" s="743">
        <f t="shared" si="108"/>
        <v>0</v>
      </c>
      <c r="N97" s="743">
        <f t="shared" si="108"/>
        <v>0</v>
      </c>
      <c r="O97" s="743">
        <f t="shared" si="108"/>
        <v>0</v>
      </c>
      <c r="P97" s="743">
        <f t="shared" si="108"/>
        <v>0</v>
      </c>
      <c r="Q97" s="743">
        <f t="shared" si="108"/>
        <v>0</v>
      </c>
      <c r="R97" s="743">
        <f t="shared" si="108"/>
        <v>0</v>
      </c>
      <c r="S97" s="743">
        <f t="shared" si="108"/>
        <v>0</v>
      </c>
      <c r="T97" s="743">
        <f t="shared" si="108"/>
        <v>0</v>
      </c>
      <c r="U97" s="743">
        <f t="shared" si="108"/>
        <v>0</v>
      </c>
      <c r="V97" s="743">
        <f t="shared" si="108"/>
        <v>0</v>
      </c>
      <c r="W97" s="743">
        <f t="shared" si="108"/>
        <v>0</v>
      </c>
      <c r="X97" s="743">
        <f t="shared" si="108"/>
        <v>0</v>
      </c>
      <c r="Y97" s="743">
        <f t="shared" si="108"/>
        <v>0</v>
      </c>
      <c r="Z97" s="743">
        <f t="shared" si="108"/>
        <v>0</v>
      </c>
      <c r="AA97" s="743">
        <f t="shared" si="108"/>
        <v>0</v>
      </c>
      <c r="AB97" s="743">
        <f t="shared" si="108"/>
        <v>0</v>
      </c>
      <c r="AC97" s="743">
        <f t="shared" si="108"/>
        <v>0</v>
      </c>
      <c r="AD97" s="743">
        <f t="shared" si="108"/>
        <v>0</v>
      </c>
      <c r="AE97" s="743">
        <f t="shared" si="108"/>
        <v>0</v>
      </c>
      <c r="AF97" s="743">
        <f t="shared" si="108"/>
        <v>0</v>
      </c>
      <c r="AG97" s="744">
        <f t="shared" si="108"/>
        <v>0</v>
      </c>
      <c r="AH97" s="762">
        <f t="shared" si="98"/>
        <v>0</v>
      </c>
      <c r="AI97" s="760">
        <f t="shared" si="99"/>
        <v>0</v>
      </c>
      <c r="AJ97" s="760"/>
      <c r="AK97" s="760"/>
      <c r="AL97" s="760">
        <f t="shared" si="100"/>
        <v>0</v>
      </c>
      <c r="AM97" s="760">
        <f t="shared" si="101"/>
        <v>0</v>
      </c>
      <c r="AN97" s="760"/>
      <c r="AO97" s="761"/>
      <c r="AP97" s="761">
        <f t="shared" si="102"/>
        <v>0</v>
      </c>
      <c r="AQ97" s="760">
        <f t="shared" si="103"/>
        <v>0</v>
      </c>
      <c r="AR97" s="760"/>
      <c r="AS97" s="867"/>
      <c r="AT97" s="746">
        <f t="shared" si="104"/>
        <v>0</v>
      </c>
      <c r="AU97" s="743">
        <f t="shared" si="105"/>
        <v>0</v>
      </c>
      <c r="AV97" s="747">
        <f t="shared" si="106"/>
        <v>0</v>
      </c>
      <c r="AW97" s="747" t="e">
        <f t="shared" si="107"/>
        <v>#DIV/0!</v>
      </c>
      <c r="AY97" s="743">
        <f t="shared" ref="AY97:AY102" si="109">IF(AY$95=0,0,SUMPRODUCT(AT$95:AV$95,AT97:AV97)/AY$95)</f>
        <v>0</v>
      </c>
    </row>
    <row r="98" spans="1:51">
      <c r="A98" s="742" t="s">
        <v>420</v>
      </c>
      <c r="B98" s="743"/>
      <c r="C98" s="742"/>
      <c r="D98" s="743">
        <f t="shared" ref="D98:AG98" si="110">IF(D95=0,0,D$20)</f>
        <v>0</v>
      </c>
      <c r="E98" s="743">
        <f t="shared" si="110"/>
        <v>0</v>
      </c>
      <c r="F98" s="743">
        <f t="shared" si="110"/>
        <v>0</v>
      </c>
      <c r="G98" s="743">
        <f t="shared" si="110"/>
        <v>0</v>
      </c>
      <c r="H98" s="743">
        <f t="shared" si="110"/>
        <v>0</v>
      </c>
      <c r="I98" s="743">
        <f t="shared" si="110"/>
        <v>0</v>
      </c>
      <c r="J98" s="743">
        <f t="shared" si="110"/>
        <v>0</v>
      </c>
      <c r="K98" s="743">
        <f t="shared" si="110"/>
        <v>0</v>
      </c>
      <c r="L98" s="743">
        <f t="shared" si="110"/>
        <v>0</v>
      </c>
      <c r="M98" s="743">
        <f t="shared" si="110"/>
        <v>0</v>
      </c>
      <c r="N98" s="743">
        <f t="shared" si="110"/>
        <v>0</v>
      </c>
      <c r="O98" s="743">
        <f t="shared" si="110"/>
        <v>0</v>
      </c>
      <c r="P98" s="743">
        <f t="shared" si="110"/>
        <v>0</v>
      </c>
      <c r="Q98" s="743">
        <f t="shared" si="110"/>
        <v>0</v>
      </c>
      <c r="R98" s="743">
        <f t="shared" si="110"/>
        <v>0</v>
      </c>
      <c r="S98" s="743">
        <f t="shared" si="110"/>
        <v>0</v>
      </c>
      <c r="T98" s="743">
        <f t="shared" si="110"/>
        <v>0</v>
      </c>
      <c r="U98" s="743">
        <f t="shared" si="110"/>
        <v>0</v>
      </c>
      <c r="V98" s="743">
        <f t="shared" si="110"/>
        <v>0</v>
      </c>
      <c r="W98" s="743">
        <f t="shared" si="110"/>
        <v>0</v>
      </c>
      <c r="X98" s="743">
        <f t="shared" si="110"/>
        <v>0</v>
      </c>
      <c r="Y98" s="743">
        <f t="shared" si="110"/>
        <v>0</v>
      </c>
      <c r="Z98" s="743">
        <f t="shared" si="110"/>
        <v>0</v>
      </c>
      <c r="AA98" s="743">
        <f t="shared" si="110"/>
        <v>0</v>
      </c>
      <c r="AB98" s="743">
        <f t="shared" si="110"/>
        <v>0</v>
      </c>
      <c r="AC98" s="743">
        <f t="shared" si="110"/>
        <v>0</v>
      </c>
      <c r="AD98" s="743">
        <f t="shared" si="110"/>
        <v>0</v>
      </c>
      <c r="AE98" s="743">
        <f t="shared" si="110"/>
        <v>0</v>
      </c>
      <c r="AF98" s="743">
        <f t="shared" si="110"/>
        <v>0</v>
      </c>
      <c r="AG98" s="744">
        <f t="shared" si="110"/>
        <v>0</v>
      </c>
      <c r="AH98" s="762">
        <f t="shared" si="98"/>
        <v>0</v>
      </c>
      <c r="AI98" s="760">
        <f t="shared" si="99"/>
        <v>0</v>
      </c>
      <c r="AJ98" s="760"/>
      <c r="AK98" s="760"/>
      <c r="AL98" s="760">
        <f t="shared" si="100"/>
        <v>0</v>
      </c>
      <c r="AM98" s="760">
        <f t="shared" si="101"/>
        <v>0</v>
      </c>
      <c r="AN98" s="760"/>
      <c r="AO98" s="761"/>
      <c r="AP98" s="761">
        <f t="shared" si="102"/>
        <v>0</v>
      </c>
      <c r="AQ98" s="760">
        <f t="shared" si="103"/>
        <v>0</v>
      </c>
      <c r="AR98" s="760"/>
      <c r="AS98" s="867"/>
      <c r="AT98" s="746">
        <f t="shared" si="104"/>
        <v>0</v>
      </c>
      <c r="AU98" s="743">
        <f t="shared" si="105"/>
        <v>0</v>
      </c>
      <c r="AV98" s="747">
        <f t="shared" si="106"/>
        <v>0</v>
      </c>
      <c r="AW98" s="747" t="e">
        <f t="shared" si="107"/>
        <v>#DIV/0!</v>
      </c>
      <c r="AY98" s="743">
        <f t="shared" si="109"/>
        <v>0</v>
      </c>
    </row>
    <row r="99" spans="1:51">
      <c r="A99" s="742" t="s">
        <v>464</v>
      </c>
      <c r="B99" s="743"/>
      <c r="C99" s="742"/>
      <c r="D99" s="743">
        <f t="shared" ref="D99:AG99" si="111">IF(D95=0,0,D$21)</f>
        <v>0</v>
      </c>
      <c r="E99" s="743">
        <f t="shared" si="111"/>
        <v>0</v>
      </c>
      <c r="F99" s="743">
        <f t="shared" si="111"/>
        <v>0</v>
      </c>
      <c r="G99" s="743">
        <f t="shared" si="111"/>
        <v>0</v>
      </c>
      <c r="H99" s="743">
        <f t="shared" si="111"/>
        <v>0</v>
      </c>
      <c r="I99" s="743">
        <f t="shared" si="111"/>
        <v>0</v>
      </c>
      <c r="J99" s="743">
        <f t="shared" si="111"/>
        <v>0</v>
      </c>
      <c r="K99" s="743">
        <f t="shared" si="111"/>
        <v>0</v>
      </c>
      <c r="L99" s="743">
        <f t="shared" si="111"/>
        <v>0</v>
      </c>
      <c r="M99" s="743">
        <f t="shared" si="111"/>
        <v>0</v>
      </c>
      <c r="N99" s="743">
        <f t="shared" si="111"/>
        <v>0</v>
      </c>
      <c r="O99" s="743">
        <f t="shared" si="111"/>
        <v>0</v>
      </c>
      <c r="P99" s="743">
        <f t="shared" si="111"/>
        <v>0</v>
      </c>
      <c r="Q99" s="743">
        <f t="shared" si="111"/>
        <v>0</v>
      </c>
      <c r="R99" s="743">
        <f t="shared" si="111"/>
        <v>0</v>
      </c>
      <c r="S99" s="743">
        <f t="shared" si="111"/>
        <v>0</v>
      </c>
      <c r="T99" s="743">
        <f t="shared" si="111"/>
        <v>0</v>
      </c>
      <c r="U99" s="743">
        <f t="shared" si="111"/>
        <v>0</v>
      </c>
      <c r="V99" s="743">
        <f t="shared" si="111"/>
        <v>0</v>
      </c>
      <c r="W99" s="743">
        <f t="shared" si="111"/>
        <v>0</v>
      </c>
      <c r="X99" s="743">
        <f t="shared" si="111"/>
        <v>0</v>
      </c>
      <c r="Y99" s="743">
        <f t="shared" si="111"/>
        <v>0</v>
      </c>
      <c r="Z99" s="743">
        <f t="shared" si="111"/>
        <v>0</v>
      </c>
      <c r="AA99" s="743">
        <f t="shared" si="111"/>
        <v>0</v>
      </c>
      <c r="AB99" s="743">
        <f t="shared" si="111"/>
        <v>0</v>
      </c>
      <c r="AC99" s="743">
        <f t="shared" si="111"/>
        <v>0</v>
      </c>
      <c r="AD99" s="743">
        <f t="shared" si="111"/>
        <v>0</v>
      </c>
      <c r="AE99" s="743">
        <f t="shared" si="111"/>
        <v>0</v>
      </c>
      <c r="AF99" s="743">
        <f t="shared" si="111"/>
        <v>0</v>
      </c>
      <c r="AG99" s="744">
        <f t="shared" si="111"/>
        <v>0</v>
      </c>
      <c r="AH99" s="762">
        <f t="shared" si="98"/>
        <v>0</v>
      </c>
      <c r="AI99" s="760">
        <f t="shared" si="99"/>
        <v>0</v>
      </c>
      <c r="AJ99" s="760"/>
      <c r="AK99" s="760"/>
      <c r="AL99" s="760">
        <f t="shared" si="100"/>
        <v>0</v>
      </c>
      <c r="AM99" s="760">
        <f t="shared" si="101"/>
        <v>0</v>
      </c>
      <c r="AN99" s="760"/>
      <c r="AO99" s="761"/>
      <c r="AP99" s="761">
        <f t="shared" si="102"/>
        <v>0</v>
      </c>
      <c r="AQ99" s="760">
        <f t="shared" si="103"/>
        <v>0</v>
      </c>
      <c r="AR99" s="760"/>
      <c r="AS99" s="867"/>
      <c r="AT99" s="746">
        <f t="shared" si="104"/>
        <v>0</v>
      </c>
      <c r="AU99" s="743">
        <f t="shared" si="105"/>
        <v>0</v>
      </c>
      <c r="AV99" s="747">
        <f t="shared" si="106"/>
        <v>0</v>
      </c>
      <c r="AW99" s="747" t="e">
        <f t="shared" si="107"/>
        <v>#DIV/0!</v>
      </c>
      <c r="AY99" s="743">
        <f t="shared" si="109"/>
        <v>0</v>
      </c>
    </row>
    <row r="100" spans="1:51">
      <c r="A100" s="742" t="s">
        <v>416</v>
      </c>
      <c r="B100" s="743"/>
      <c r="C100" s="742"/>
      <c r="D100" s="743">
        <f>IF(D95=0,0,D$22)</f>
        <v>0</v>
      </c>
      <c r="E100" s="743">
        <f>IF(E95=0,0,E$22)</f>
        <v>0</v>
      </c>
      <c r="F100" s="743">
        <f>IF(F95=0,0,F$22)</f>
        <v>0</v>
      </c>
      <c r="G100" s="743">
        <f>IF(G95=0,0,G$22)</f>
        <v>0</v>
      </c>
      <c r="H100" s="743">
        <f>IF(H95=0,0,H$22)</f>
        <v>0</v>
      </c>
      <c r="I100" s="743">
        <f t="shared" ref="I100:AG100" si="112">IF(I95=0,0,I$22)</f>
        <v>0</v>
      </c>
      <c r="J100" s="743">
        <f t="shared" si="112"/>
        <v>0</v>
      </c>
      <c r="K100" s="743">
        <f t="shared" si="112"/>
        <v>0</v>
      </c>
      <c r="L100" s="743">
        <f t="shared" si="112"/>
        <v>0</v>
      </c>
      <c r="M100" s="743">
        <f t="shared" si="112"/>
        <v>0</v>
      </c>
      <c r="N100" s="743">
        <f t="shared" si="112"/>
        <v>0</v>
      </c>
      <c r="O100" s="743">
        <f t="shared" si="112"/>
        <v>0</v>
      </c>
      <c r="P100" s="743">
        <f t="shared" si="112"/>
        <v>0</v>
      </c>
      <c r="Q100" s="743">
        <f t="shared" si="112"/>
        <v>0</v>
      </c>
      <c r="R100" s="743">
        <f t="shared" si="112"/>
        <v>0</v>
      </c>
      <c r="S100" s="743">
        <f t="shared" si="112"/>
        <v>0</v>
      </c>
      <c r="T100" s="743">
        <f t="shared" si="112"/>
        <v>0</v>
      </c>
      <c r="U100" s="743">
        <f t="shared" si="112"/>
        <v>0</v>
      </c>
      <c r="V100" s="743">
        <f t="shared" si="112"/>
        <v>0</v>
      </c>
      <c r="W100" s="743">
        <f t="shared" si="112"/>
        <v>0</v>
      </c>
      <c r="X100" s="743">
        <f t="shared" si="112"/>
        <v>0</v>
      </c>
      <c r="Y100" s="743">
        <f t="shared" si="112"/>
        <v>0</v>
      </c>
      <c r="Z100" s="743">
        <f t="shared" si="112"/>
        <v>0</v>
      </c>
      <c r="AA100" s="743">
        <f t="shared" si="112"/>
        <v>0</v>
      </c>
      <c r="AB100" s="743">
        <f t="shared" si="112"/>
        <v>0</v>
      </c>
      <c r="AC100" s="743">
        <f t="shared" si="112"/>
        <v>0</v>
      </c>
      <c r="AD100" s="743">
        <f t="shared" si="112"/>
        <v>0</v>
      </c>
      <c r="AE100" s="743">
        <f t="shared" si="112"/>
        <v>0</v>
      </c>
      <c r="AF100" s="743">
        <f t="shared" si="112"/>
        <v>0</v>
      </c>
      <c r="AG100" s="744">
        <f t="shared" si="112"/>
        <v>0</v>
      </c>
      <c r="AH100" s="762">
        <f t="shared" si="98"/>
        <v>0</v>
      </c>
      <c r="AI100" s="760">
        <f t="shared" si="99"/>
        <v>0</v>
      </c>
      <c r="AJ100" s="760"/>
      <c r="AK100" s="760"/>
      <c r="AL100" s="760">
        <f t="shared" si="100"/>
        <v>0</v>
      </c>
      <c r="AM100" s="760">
        <f t="shared" si="101"/>
        <v>0</v>
      </c>
      <c r="AN100" s="760"/>
      <c r="AO100" s="761"/>
      <c r="AP100" s="761">
        <f t="shared" si="102"/>
        <v>0</v>
      </c>
      <c r="AQ100" s="760">
        <f t="shared" si="103"/>
        <v>0</v>
      </c>
      <c r="AR100" s="760"/>
      <c r="AS100" s="867"/>
      <c r="AT100" s="746">
        <f t="shared" si="104"/>
        <v>0</v>
      </c>
      <c r="AU100" s="743">
        <f t="shared" si="105"/>
        <v>0</v>
      </c>
      <c r="AV100" s="747">
        <f t="shared" si="106"/>
        <v>0</v>
      </c>
      <c r="AW100" s="747" t="e">
        <f t="shared" si="107"/>
        <v>#DIV/0!</v>
      </c>
      <c r="AY100" s="743">
        <f t="shared" si="109"/>
        <v>0</v>
      </c>
    </row>
    <row r="101" spans="1:51">
      <c r="A101" s="742" t="s">
        <v>465</v>
      </c>
      <c r="B101" s="743"/>
      <c r="C101" s="742"/>
      <c r="D101" s="743">
        <f>IF(D95=0,0,D$24)</f>
        <v>0</v>
      </c>
      <c r="E101" s="743">
        <f>IF(E95=0,0,E$24)</f>
        <v>0</v>
      </c>
      <c r="F101" s="743">
        <f>IF(F95=0,0,F$24)</f>
        <v>0</v>
      </c>
      <c r="G101" s="743">
        <f>IF(G95=0,0,G$24)</f>
        <v>0</v>
      </c>
      <c r="H101" s="743">
        <f>IF(H95=0,0,H$24)</f>
        <v>0</v>
      </c>
      <c r="I101" s="743">
        <f t="shared" ref="I101:AG101" si="113">IF(I95=0,0,I$24)</f>
        <v>0</v>
      </c>
      <c r="J101" s="743">
        <f t="shared" si="113"/>
        <v>0</v>
      </c>
      <c r="K101" s="743">
        <f t="shared" si="113"/>
        <v>0</v>
      </c>
      <c r="L101" s="743">
        <f t="shared" si="113"/>
        <v>0</v>
      </c>
      <c r="M101" s="743">
        <f t="shared" si="113"/>
        <v>0</v>
      </c>
      <c r="N101" s="743">
        <f t="shared" si="113"/>
        <v>0</v>
      </c>
      <c r="O101" s="743">
        <f t="shared" si="113"/>
        <v>0</v>
      </c>
      <c r="P101" s="743">
        <f t="shared" si="113"/>
        <v>0</v>
      </c>
      <c r="Q101" s="743">
        <f t="shared" si="113"/>
        <v>0</v>
      </c>
      <c r="R101" s="743">
        <f t="shared" si="113"/>
        <v>0</v>
      </c>
      <c r="S101" s="743">
        <f t="shared" si="113"/>
        <v>0</v>
      </c>
      <c r="T101" s="743">
        <f t="shared" si="113"/>
        <v>0</v>
      </c>
      <c r="U101" s="743">
        <f t="shared" si="113"/>
        <v>0</v>
      </c>
      <c r="V101" s="743">
        <f t="shared" si="113"/>
        <v>0</v>
      </c>
      <c r="W101" s="743">
        <f t="shared" si="113"/>
        <v>0</v>
      </c>
      <c r="X101" s="743">
        <f t="shared" si="113"/>
        <v>0</v>
      </c>
      <c r="Y101" s="743">
        <f t="shared" si="113"/>
        <v>0</v>
      </c>
      <c r="Z101" s="743">
        <f t="shared" si="113"/>
        <v>0</v>
      </c>
      <c r="AA101" s="743">
        <f t="shared" si="113"/>
        <v>0</v>
      </c>
      <c r="AB101" s="743">
        <f t="shared" si="113"/>
        <v>0</v>
      </c>
      <c r="AC101" s="743">
        <f t="shared" si="113"/>
        <v>0</v>
      </c>
      <c r="AD101" s="743">
        <f t="shared" si="113"/>
        <v>0</v>
      </c>
      <c r="AE101" s="743">
        <f t="shared" si="113"/>
        <v>0</v>
      </c>
      <c r="AF101" s="743">
        <f t="shared" si="113"/>
        <v>0</v>
      </c>
      <c r="AG101" s="744">
        <f t="shared" si="113"/>
        <v>0</v>
      </c>
      <c r="AH101" s="762">
        <f t="shared" si="98"/>
        <v>0</v>
      </c>
      <c r="AI101" s="760">
        <f t="shared" si="99"/>
        <v>0</v>
      </c>
      <c r="AJ101" s="760"/>
      <c r="AK101" s="760"/>
      <c r="AL101" s="760">
        <f t="shared" si="100"/>
        <v>0</v>
      </c>
      <c r="AM101" s="760">
        <f t="shared" si="101"/>
        <v>0</v>
      </c>
      <c r="AN101" s="760"/>
      <c r="AO101" s="761"/>
      <c r="AP101" s="761">
        <f t="shared" si="102"/>
        <v>0</v>
      </c>
      <c r="AQ101" s="760">
        <f t="shared" si="103"/>
        <v>0</v>
      </c>
      <c r="AR101" s="760"/>
      <c r="AS101" s="867"/>
      <c r="AT101" s="746">
        <f t="shared" si="104"/>
        <v>0</v>
      </c>
      <c r="AU101" s="743">
        <f t="shared" si="105"/>
        <v>0</v>
      </c>
      <c r="AV101" s="747">
        <f t="shared" si="106"/>
        <v>0</v>
      </c>
      <c r="AW101" s="747" t="e">
        <f t="shared" si="107"/>
        <v>#DIV/0!</v>
      </c>
      <c r="AY101" s="743">
        <f t="shared" si="109"/>
        <v>0</v>
      </c>
    </row>
    <row r="102" spans="1:51">
      <c r="A102" s="742" t="s">
        <v>419</v>
      </c>
      <c r="B102" s="743"/>
      <c r="C102" s="742"/>
      <c r="D102" s="743">
        <f>IF(D95=0,0,D$23)</f>
        <v>0</v>
      </c>
      <c r="E102" s="743">
        <f>IF(E95=0,0,E$23)</f>
        <v>0</v>
      </c>
      <c r="F102" s="743">
        <f>IF(F95=0,0,F$23)</f>
        <v>0</v>
      </c>
      <c r="G102" s="743">
        <f>IF(G95=0,0,G$23)</f>
        <v>0</v>
      </c>
      <c r="H102" s="743">
        <f>IF(H95=0,0,H$23)</f>
        <v>0</v>
      </c>
      <c r="I102" s="743">
        <f t="shared" ref="I102:AG102" si="114">IF(I95=0,0,I$23)</f>
        <v>0</v>
      </c>
      <c r="J102" s="743">
        <f t="shared" si="114"/>
        <v>0</v>
      </c>
      <c r="K102" s="743">
        <f t="shared" si="114"/>
        <v>0</v>
      </c>
      <c r="L102" s="743">
        <f t="shared" si="114"/>
        <v>0</v>
      </c>
      <c r="M102" s="743">
        <f t="shared" si="114"/>
        <v>0</v>
      </c>
      <c r="N102" s="743">
        <f t="shared" si="114"/>
        <v>0</v>
      </c>
      <c r="O102" s="743">
        <f t="shared" si="114"/>
        <v>0</v>
      </c>
      <c r="P102" s="743">
        <f t="shared" si="114"/>
        <v>0</v>
      </c>
      <c r="Q102" s="743">
        <f t="shared" si="114"/>
        <v>0</v>
      </c>
      <c r="R102" s="743">
        <f t="shared" si="114"/>
        <v>0</v>
      </c>
      <c r="S102" s="743">
        <f t="shared" si="114"/>
        <v>0</v>
      </c>
      <c r="T102" s="743">
        <f t="shared" si="114"/>
        <v>0</v>
      </c>
      <c r="U102" s="743">
        <f t="shared" si="114"/>
        <v>0</v>
      </c>
      <c r="V102" s="743">
        <f t="shared" si="114"/>
        <v>0</v>
      </c>
      <c r="W102" s="743">
        <f t="shared" si="114"/>
        <v>0</v>
      </c>
      <c r="X102" s="743">
        <f t="shared" si="114"/>
        <v>0</v>
      </c>
      <c r="Y102" s="743">
        <f t="shared" si="114"/>
        <v>0</v>
      </c>
      <c r="Z102" s="743">
        <f t="shared" si="114"/>
        <v>0</v>
      </c>
      <c r="AA102" s="743">
        <f t="shared" si="114"/>
        <v>0</v>
      </c>
      <c r="AB102" s="743">
        <f t="shared" si="114"/>
        <v>0</v>
      </c>
      <c r="AC102" s="743">
        <f t="shared" si="114"/>
        <v>0</v>
      </c>
      <c r="AD102" s="743">
        <f t="shared" si="114"/>
        <v>0</v>
      </c>
      <c r="AE102" s="743">
        <f t="shared" si="114"/>
        <v>0</v>
      </c>
      <c r="AF102" s="743">
        <f t="shared" si="114"/>
        <v>0</v>
      </c>
      <c r="AG102" s="744">
        <f t="shared" si="114"/>
        <v>0</v>
      </c>
      <c r="AH102" s="762">
        <f t="shared" si="98"/>
        <v>0</v>
      </c>
      <c r="AI102" s="760">
        <f t="shared" si="99"/>
        <v>0</v>
      </c>
      <c r="AJ102" s="760"/>
      <c r="AK102" s="760"/>
      <c r="AL102" s="760">
        <f t="shared" si="100"/>
        <v>0</v>
      </c>
      <c r="AM102" s="760">
        <f t="shared" si="101"/>
        <v>0</v>
      </c>
      <c r="AN102" s="760"/>
      <c r="AO102" s="761"/>
      <c r="AP102" s="761">
        <f t="shared" si="102"/>
        <v>0</v>
      </c>
      <c r="AQ102" s="760">
        <f t="shared" si="103"/>
        <v>0</v>
      </c>
      <c r="AR102" s="760"/>
      <c r="AS102" s="867"/>
      <c r="AT102" s="746">
        <f t="shared" si="104"/>
        <v>0</v>
      </c>
      <c r="AU102" s="743">
        <f t="shared" si="105"/>
        <v>0</v>
      </c>
      <c r="AV102" s="747">
        <f t="shared" si="106"/>
        <v>0</v>
      </c>
      <c r="AW102" s="747" t="e">
        <f t="shared" si="107"/>
        <v>#DIV/0!</v>
      </c>
      <c r="AY102" s="743">
        <f t="shared" si="109"/>
        <v>0</v>
      </c>
    </row>
    <row r="103" spans="1:51">
      <c r="AH103" s="766"/>
      <c r="AI103" s="767"/>
      <c r="AJ103" s="767"/>
      <c r="AK103" s="767"/>
      <c r="AL103" s="767"/>
      <c r="AM103" s="767"/>
      <c r="AN103" s="767"/>
      <c r="AO103" s="767"/>
      <c r="AP103" s="767"/>
      <c r="AQ103" s="743"/>
      <c r="AR103" s="743"/>
      <c r="AS103" s="767"/>
      <c r="AT103" s="766"/>
      <c r="AU103" s="767"/>
      <c r="AV103" s="768"/>
      <c r="AW103" s="768"/>
    </row>
    <row r="104" spans="1:51">
      <c r="A104" s="760" t="s">
        <v>476</v>
      </c>
      <c r="B104" s="774">
        <v>172284.90900000001</v>
      </c>
      <c r="C104" s="759" t="s">
        <v>85</v>
      </c>
      <c r="D104" s="760"/>
      <c r="E104" s="760"/>
      <c r="F104" s="760"/>
      <c r="G104" s="760"/>
      <c r="H104" s="760"/>
      <c r="I104" s="760"/>
      <c r="J104" s="760"/>
      <c r="K104" s="760"/>
      <c r="L104" s="760"/>
      <c r="M104" s="760"/>
      <c r="N104" s="760"/>
      <c r="O104" s="760"/>
      <c r="P104" s="760"/>
      <c r="Q104" s="760"/>
      <c r="R104" s="760"/>
      <c r="S104" s="760"/>
      <c r="T104" s="760"/>
      <c r="U104" s="760"/>
      <c r="V104" s="760">
        <v>0</v>
      </c>
      <c r="W104" s="760"/>
      <c r="X104" s="760"/>
      <c r="Y104" s="760">
        <v>0</v>
      </c>
      <c r="Z104" s="760"/>
      <c r="AA104" s="760"/>
      <c r="AB104" s="760">
        <v>0</v>
      </c>
      <c r="AC104" s="760"/>
      <c r="AD104" s="760"/>
      <c r="AE104" s="760">
        <v>0</v>
      </c>
      <c r="AF104" s="760"/>
      <c r="AG104" s="761"/>
      <c r="AH104" s="762">
        <f>J104+G104</f>
        <v>0</v>
      </c>
      <c r="AI104" s="760">
        <f>M104+P104</f>
        <v>0</v>
      </c>
      <c r="AJ104" s="760"/>
      <c r="AK104" s="760"/>
      <c r="AL104" s="760">
        <f>N104</f>
        <v>0</v>
      </c>
      <c r="AM104" s="760">
        <f>Q104</f>
        <v>0</v>
      </c>
      <c r="AN104" s="760"/>
      <c r="AO104" s="761"/>
      <c r="AP104" s="761">
        <f>I104+F104</f>
        <v>0</v>
      </c>
      <c r="AQ104" s="760">
        <f>L104</f>
        <v>0</v>
      </c>
      <c r="AR104" s="760"/>
      <c r="AS104" s="867"/>
      <c r="AT104" s="765">
        <f>SUM(AH104:AI104)</f>
        <v>0</v>
      </c>
      <c r="AU104" s="760">
        <f>SUM(AL104:AM104)</f>
        <v>0</v>
      </c>
      <c r="AV104" s="764">
        <f>SUM(AP104:AQ104)</f>
        <v>0</v>
      </c>
      <c r="AW104" s="764">
        <f>SUM(D104:AG104)</f>
        <v>0</v>
      </c>
      <c r="AY104" s="731">
        <f>SUM(AT104:AV104)</f>
        <v>0</v>
      </c>
    </row>
    <row r="105" spans="1:51">
      <c r="A105" s="742" t="s">
        <v>460</v>
      </c>
      <c r="B105" s="760"/>
      <c r="C105" s="759"/>
      <c r="D105" s="743">
        <f>IF(D104=0,0,D$18)</f>
        <v>0</v>
      </c>
      <c r="E105" s="743">
        <f>IF(E104=0,0,E$18)</f>
        <v>0</v>
      </c>
      <c r="F105" s="743">
        <f>IF(F104=0,0,F$18)</f>
        <v>0</v>
      </c>
      <c r="G105" s="743">
        <f>IF(G104=0,0,G$18)</f>
        <v>0</v>
      </c>
      <c r="H105" s="743">
        <f>IF(H104=0,0,H$18)</f>
        <v>0</v>
      </c>
      <c r="I105" s="743">
        <f t="shared" ref="I105:O105" si="115">IF(I104=0,0,I$18)</f>
        <v>0</v>
      </c>
      <c r="J105" s="743">
        <f t="shared" si="115"/>
        <v>0</v>
      </c>
      <c r="K105" s="743">
        <f t="shared" si="115"/>
        <v>0</v>
      </c>
      <c r="L105" s="743">
        <f t="shared" si="115"/>
        <v>0</v>
      </c>
      <c r="M105" s="743">
        <f t="shared" si="115"/>
        <v>0</v>
      </c>
      <c r="N105" s="743">
        <f t="shared" si="115"/>
        <v>0</v>
      </c>
      <c r="O105" s="743">
        <f t="shared" si="115"/>
        <v>0</v>
      </c>
      <c r="P105" s="743">
        <f>IF(P104=0,0,P$18)</f>
        <v>0</v>
      </c>
      <c r="Q105" s="743">
        <f>IF(Q104=0,0,Q$18)</f>
        <v>0</v>
      </c>
      <c r="R105" s="743">
        <f t="shared" ref="R105:AG105" si="116">IF(R104=0,0,R$18)</f>
        <v>0</v>
      </c>
      <c r="S105" s="743">
        <f t="shared" si="116"/>
        <v>0</v>
      </c>
      <c r="T105" s="743">
        <f t="shared" si="116"/>
        <v>0</v>
      </c>
      <c r="U105" s="743">
        <f t="shared" si="116"/>
        <v>0</v>
      </c>
      <c r="V105" s="743">
        <f t="shared" si="116"/>
        <v>0</v>
      </c>
      <c r="W105" s="743">
        <f t="shared" si="116"/>
        <v>0</v>
      </c>
      <c r="X105" s="743">
        <f t="shared" si="116"/>
        <v>0</v>
      </c>
      <c r="Y105" s="743">
        <f t="shared" si="116"/>
        <v>0</v>
      </c>
      <c r="Z105" s="743">
        <f t="shared" si="116"/>
        <v>0</v>
      </c>
      <c r="AA105" s="743">
        <f t="shared" si="116"/>
        <v>0</v>
      </c>
      <c r="AB105" s="743">
        <f t="shared" si="116"/>
        <v>0</v>
      </c>
      <c r="AC105" s="743">
        <f t="shared" si="116"/>
        <v>0</v>
      </c>
      <c r="AD105" s="743">
        <f t="shared" si="116"/>
        <v>0</v>
      </c>
      <c r="AE105" s="743">
        <f t="shared" si="116"/>
        <v>0</v>
      </c>
      <c r="AF105" s="743">
        <f t="shared" si="116"/>
        <v>0</v>
      </c>
      <c r="AG105" s="744">
        <f t="shared" si="116"/>
        <v>0</v>
      </c>
      <c r="AH105" s="762">
        <f t="shared" ref="AH105:AH111" si="117">J105</f>
        <v>0</v>
      </c>
      <c r="AI105" s="760">
        <f t="shared" ref="AI105:AI111" si="118">M105</f>
        <v>0</v>
      </c>
      <c r="AJ105" s="760"/>
      <c r="AK105" s="760"/>
      <c r="AL105" s="760">
        <f t="shared" ref="AL105:AL111" si="119">N105</f>
        <v>0</v>
      </c>
      <c r="AM105" s="760">
        <f t="shared" ref="AM105:AM111" si="120">Q105</f>
        <v>0</v>
      </c>
      <c r="AN105" s="760"/>
      <c r="AO105" s="761"/>
      <c r="AP105" s="761">
        <f t="shared" ref="AP105:AP111" si="121">I105</f>
        <v>0</v>
      </c>
      <c r="AQ105" s="760">
        <f t="shared" ref="AQ105:AQ111" si="122">L105</f>
        <v>0</v>
      </c>
      <c r="AR105" s="760"/>
      <c r="AS105" s="867"/>
      <c r="AT105" s="746">
        <f t="shared" ref="AT105:AT111" si="123">IF(AT$104=0,0,SUMPRODUCT(AH$104:AI$104,AH105:AI105)/AT$104)</f>
        <v>0</v>
      </c>
      <c r="AU105" s="743">
        <f t="shared" ref="AU105:AU111" si="124">IF(AU$104=0,0,SUMPRODUCT(AL$104:AM$104,AL105:AM105)/AU$104)</f>
        <v>0</v>
      </c>
      <c r="AV105" s="747">
        <f t="shared" ref="AV105:AV111" si="125">IF(AV$104=0,0,SUMPRODUCT(AP$104:AQ$104,AP105:AQ105)/AV$104)</f>
        <v>0</v>
      </c>
      <c r="AW105" s="747" t="e">
        <f t="shared" ref="AW105:AW111" si="126">SUMPRODUCT(D$104:AG$104,D105:AG105)/AW$104</f>
        <v>#DIV/0!</v>
      </c>
      <c r="AY105" s="743">
        <f>IF(AY$104=0,0,SUMPRODUCT(AT$104:AV$104,AT105:AV105)/AY$104)</f>
        <v>0</v>
      </c>
    </row>
    <row r="106" spans="1:51">
      <c r="A106" s="742" t="s">
        <v>462</v>
      </c>
      <c r="B106" s="743"/>
      <c r="C106" s="742"/>
      <c r="D106" s="743">
        <f t="shared" ref="D106:AG106" si="127">IF(D104=0,0,D$19)</f>
        <v>0</v>
      </c>
      <c r="E106" s="743">
        <f t="shared" si="127"/>
        <v>0</v>
      </c>
      <c r="F106" s="743">
        <f t="shared" si="127"/>
        <v>0</v>
      </c>
      <c r="G106" s="743">
        <f t="shared" si="127"/>
        <v>0</v>
      </c>
      <c r="H106" s="743">
        <f t="shared" si="127"/>
        <v>0</v>
      </c>
      <c r="I106" s="743">
        <f t="shared" si="127"/>
        <v>0</v>
      </c>
      <c r="J106" s="743">
        <f t="shared" si="127"/>
        <v>0</v>
      </c>
      <c r="K106" s="743">
        <f t="shared" si="127"/>
        <v>0</v>
      </c>
      <c r="L106" s="743">
        <f t="shared" si="127"/>
        <v>0</v>
      </c>
      <c r="M106" s="743">
        <f t="shared" si="127"/>
        <v>0</v>
      </c>
      <c r="N106" s="743">
        <f t="shared" si="127"/>
        <v>0</v>
      </c>
      <c r="O106" s="743">
        <f t="shared" si="127"/>
        <v>0</v>
      </c>
      <c r="P106" s="743">
        <f>IF(P104=0,0,P$19)</f>
        <v>0</v>
      </c>
      <c r="Q106" s="743">
        <f>IF(Q104=0,0,Q$19)</f>
        <v>0</v>
      </c>
      <c r="R106" s="743">
        <f t="shared" si="127"/>
        <v>0</v>
      </c>
      <c r="S106" s="743">
        <f t="shared" si="127"/>
        <v>0</v>
      </c>
      <c r="T106" s="743">
        <f t="shared" si="127"/>
        <v>0</v>
      </c>
      <c r="U106" s="743">
        <f t="shared" si="127"/>
        <v>0</v>
      </c>
      <c r="V106" s="743">
        <f t="shared" si="127"/>
        <v>0</v>
      </c>
      <c r="W106" s="743">
        <f t="shared" si="127"/>
        <v>0</v>
      </c>
      <c r="X106" s="743">
        <f t="shared" si="127"/>
        <v>0</v>
      </c>
      <c r="Y106" s="743">
        <f t="shared" si="127"/>
        <v>0</v>
      </c>
      <c r="Z106" s="743">
        <f t="shared" si="127"/>
        <v>0</v>
      </c>
      <c r="AA106" s="743">
        <f t="shared" si="127"/>
        <v>0</v>
      </c>
      <c r="AB106" s="743">
        <f t="shared" si="127"/>
        <v>0</v>
      </c>
      <c r="AC106" s="743">
        <f t="shared" si="127"/>
        <v>0</v>
      </c>
      <c r="AD106" s="743">
        <f t="shared" si="127"/>
        <v>0</v>
      </c>
      <c r="AE106" s="743">
        <f t="shared" si="127"/>
        <v>0</v>
      </c>
      <c r="AF106" s="743">
        <f t="shared" si="127"/>
        <v>0</v>
      </c>
      <c r="AG106" s="744">
        <f t="shared" si="127"/>
        <v>0</v>
      </c>
      <c r="AH106" s="762">
        <f t="shared" si="117"/>
        <v>0</v>
      </c>
      <c r="AI106" s="760">
        <f t="shared" si="118"/>
        <v>0</v>
      </c>
      <c r="AJ106" s="760"/>
      <c r="AK106" s="760"/>
      <c r="AL106" s="760">
        <f t="shared" si="119"/>
        <v>0</v>
      </c>
      <c r="AM106" s="760">
        <f t="shared" si="120"/>
        <v>0</v>
      </c>
      <c r="AN106" s="760"/>
      <c r="AO106" s="761"/>
      <c r="AP106" s="761">
        <f t="shared" si="121"/>
        <v>0</v>
      </c>
      <c r="AQ106" s="760">
        <f t="shared" si="122"/>
        <v>0</v>
      </c>
      <c r="AR106" s="760"/>
      <c r="AS106" s="867"/>
      <c r="AT106" s="746">
        <f t="shared" si="123"/>
        <v>0</v>
      </c>
      <c r="AU106" s="743">
        <f t="shared" si="124"/>
        <v>0</v>
      </c>
      <c r="AV106" s="747">
        <f t="shared" si="125"/>
        <v>0</v>
      </c>
      <c r="AW106" s="747" t="e">
        <f t="shared" si="126"/>
        <v>#DIV/0!</v>
      </c>
      <c r="AY106" s="743">
        <f t="shared" ref="AY106:AY111" si="128">IF(AY$104=0,0,SUMPRODUCT(AT$104:AV$104,AT106:AV106)/AY$104)</f>
        <v>0</v>
      </c>
    </row>
    <row r="107" spans="1:51">
      <c r="A107" s="742" t="s">
        <v>420</v>
      </c>
      <c r="B107" s="743"/>
      <c r="C107" s="742"/>
      <c r="D107" s="743">
        <f t="shared" ref="D107:AG107" si="129">IF(D104=0,0,D$20)</f>
        <v>0</v>
      </c>
      <c r="E107" s="743">
        <f t="shared" si="129"/>
        <v>0</v>
      </c>
      <c r="F107" s="743">
        <f t="shared" si="129"/>
        <v>0</v>
      </c>
      <c r="G107" s="743">
        <f t="shared" si="129"/>
        <v>0</v>
      </c>
      <c r="H107" s="743">
        <f t="shared" si="129"/>
        <v>0</v>
      </c>
      <c r="I107" s="743">
        <f t="shared" si="129"/>
        <v>0</v>
      </c>
      <c r="J107" s="743">
        <f t="shared" si="129"/>
        <v>0</v>
      </c>
      <c r="K107" s="743">
        <f t="shared" si="129"/>
        <v>0</v>
      </c>
      <c r="L107" s="743">
        <f t="shared" si="129"/>
        <v>0</v>
      </c>
      <c r="M107" s="743">
        <f t="shared" si="129"/>
        <v>0</v>
      </c>
      <c r="N107" s="743">
        <f t="shared" si="129"/>
        <v>0</v>
      </c>
      <c r="O107" s="743">
        <f t="shared" si="129"/>
        <v>0</v>
      </c>
      <c r="P107" s="743">
        <f>IF(P104=0,0,P$20)</f>
        <v>0</v>
      </c>
      <c r="Q107" s="743">
        <f>IF(Q104=0,0,Q$20)</f>
        <v>0</v>
      </c>
      <c r="R107" s="743">
        <f t="shared" si="129"/>
        <v>0</v>
      </c>
      <c r="S107" s="743">
        <f t="shared" si="129"/>
        <v>0</v>
      </c>
      <c r="T107" s="743">
        <f t="shared" si="129"/>
        <v>0</v>
      </c>
      <c r="U107" s="743">
        <f t="shared" si="129"/>
        <v>0</v>
      </c>
      <c r="V107" s="743">
        <f t="shared" si="129"/>
        <v>0</v>
      </c>
      <c r="W107" s="743">
        <f t="shared" si="129"/>
        <v>0</v>
      </c>
      <c r="X107" s="743">
        <f t="shared" si="129"/>
        <v>0</v>
      </c>
      <c r="Y107" s="743">
        <f t="shared" si="129"/>
        <v>0</v>
      </c>
      <c r="Z107" s="743">
        <f t="shared" si="129"/>
        <v>0</v>
      </c>
      <c r="AA107" s="743">
        <f t="shared" si="129"/>
        <v>0</v>
      </c>
      <c r="AB107" s="743">
        <f t="shared" si="129"/>
        <v>0</v>
      </c>
      <c r="AC107" s="743">
        <f t="shared" si="129"/>
        <v>0</v>
      </c>
      <c r="AD107" s="743">
        <f t="shared" si="129"/>
        <v>0</v>
      </c>
      <c r="AE107" s="743">
        <f t="shared" si="129"/>
        <v>0</v>
      </c>
      <c r="AF107" s="743">
        <f t="shared" si="129"/>
        <v>0</v>
      </c>
      <c r="AG107" s="744">
        <f t="shared" si="129"/>
        <v>0</v>
      </c>
      <c r="AH107" s="762">
        <f t="shared" si="117"/>
        <v>0</v>
      </c>
      <c r="AI107" s="760">
        <f t="shared" si="118"/>
        <v>0</v>
      </c>
      <c r="AJ107" s="760"/>
      <c r="AK107" s="760"/>
      <c r="AL107" s="760">
        <f t="shared" si="119"/>
        <v>0</v>
      </c>
      <c r="AM107" s="760">
        <f t="shared" si="120"/>
        <v>0</v>
      </c>
      <c r="AN107" s="760"/>
      <c r="AO107" s="761"/>
      <c r="AP107" s="761">
        <f t="shared" si="121"/>
        <v>0</v>
      </c>
      <c r="AQ107" s="760">
        <f t="shared" si="122"/>
        <v>0</v>
      </c>
      <c r="AR107" s="760"/>
      <c r="AS107" s="867"/>
      <c r="AT107" s="746">
        <f t="shared" si="123"/>
        <v>0</v>
      </c>
      <c r="AU107" s="743">
        <f t="shared" si="124"/>
        <v>0</v>
      </c>
      <c r="AV107" s="747">
        <f t="shared" si="125"/>
        <v>0</v>
      </c>
      <c r="AW107" s="747" t="e">
        <f t="shared" si="126"/>
        <v>#DIV/0!</v>
      </c>
      <c r="AY107" s="743">
        <f t="shared" si="128"/>
        <v>0</v>
      </c>
    </row>
    <row r="108" spans="1:51">
      <c r="A108" s="742" t="s">
        <v>464</v>
      </c>
      <c r="B108" s="743"/>
      <c r="C108" s="742"/>
      <c r="D108" s="743">
        <f t="shared" ref="D108:AG108" si="130">IF(D104=0,0,D$21)</f>
        <v>0</v>
      </c>
      <c r="E108" s="743">
        <f t="shared" si="130"/>
        <v>0</v>
      </c>
      <c r="F108" s="743">
        <f t="shared" si="130"/>
        <v>0</v>
      </c>
      <c r="G108" s="743">
        <f t="shared" si="130"/>
        <v>0</v>
      </c>
      <c r="H108" s="743">
        <f t="shared" si="130"/>
        <v>0</v>
      </c>
      <c r="I108" s="743">
        <f t="shared" si="130"/>
        <v>0</v>
      </c>
      <c r="J108" s="743">
        <f t="shared" si="130"/>
        <v>0</v>
      </c>
      <c r="K108" s="743">
        <f t="shared" si="130"/>
        <v>0</v>
      </c>
      <c r="L108" s="743">
        <f t="shared" si="130"/>
        <v>0</v>
      </c>
      <c r="M108" s="743">
        <f t="shared" si="130"/>
        <v>0</v>
      </c>
      <c r="N108" s="743">
        <f t="shared" si="130"/>
        <v>0</v>
      </c>
      <c r="O108" s="743">
        <f t="shared" si="130"/>
        <v>0</v>
      </c>
      <c r="P108" s="743">
        <f>IF(P104=0,0,P$21)</f>
        <v>0</v>
      </c>
      <c r="Q108" s="743">
        <f>IF(Q104=0,0,Q$21)</f>
        <v>0</v>
      </c>
      <c r="R108" s="743">
        <f t="shared" si="130"/>
        <v>0</v>
      </c>
      <c r="S108" s="743">
        <f t="shared" si="130"/>
        <v>0</v>
      </c>
      <c r="T108" s="743">
        <f t="shared" si="130"/>
        <v>0</v>
      </c>
      <c r="U108" s="743">
        <f t="shared" si="130"/>
        <v>0</v>
      </c>
      <c r="V108" s="743">
        <f t="shared" si="130"/>
        <v>0</v>
      </c>
      <c r="W108" s="743">
        <f t="shared" si="130"/>
        <v>0</v>
      </c>
      <c r="X108" s="743">
        <f t="shared" si="130"/>
        <v>0</v>
      </c>
      <c r="Y108" s="743">
        <f t="shared" si="130"/>
        <v>0</v>
      </c>
      <c r="Z108" s="743">
        <f t="shared" si="130"/>
        <v>0</v>
      </c>
      <c r="AA108" s="743">
        <f t="shared" si="130"/>
        <v>0</v>
      </c>
      <c r="AB108" s="743">
        <f t="shared" si="130"/>
        <v>0</v>
      </c>
      <c r="AC108" s="743">
        <f t="shared" si="130"/>
        <v>0</v>
      </c>
      <c r="AD108" s="743">
        <f t="shared" si="130"/>
        <v>0</v>
      </c>
      <c r="AE108" s="743">
        <f t="shared" si="130"/>
        <v>0</v>
      </c>
      <c r="AF108" s="743">
        <f t="shared" si="130"/>
        <v>0</v>
      </c>
      <c r="AG108" s="744">
        <f t="shared" si="130"/>
        <v>0</v>
      </c>
      <c r="AH108" s="762">
        <f t="shared" si="117"/>
        <v>0</v>
      </c>
      <c r="AI108" s="760">
        <f t="shared" si="118"/>
        <v>0</v>
      </c>
      <c r="AJ108" s="760"/>
      <c r="AK108" s="760"/>
      <c r="AL108" s="760">
        <f t="shared" si="119"/>
        <v>0</v>
      </c>
      <c r="AM108" s="760">
        <f t="shared" si="120"/>
        <v>0</v>
      </c>
      <c r="AN108" s="760"/>
      <c r="AO108" s="761"/>
      <c r="AP108" s="761">
        <f t="shared" si="121"/>
        <v>0</v>
      </c>
      <c r="AQ108" s="760">
        <f t="shared" si="122"/>
        <v>0</v>
      </c>
      <c r="AR108" s="760"/>
      <c r="AS108" s="867"/>
      <c r="AT108" s="746">
        <f t="shared" si="123"/>
        <v>0</v>
      </c>
      <c r="AU108" s="743">
        <f t="shared" si="124"/>
        <v>0</v>
      </c>
      <c r="AV108" s="747">
        <f t="shared" si="125"/>
        <v>0</v>
      </c>
      <c r="AW108" s="747" t="e">
        <f t="shared" si="126"/>
        <v>#DIV/0!</v>
      </c>
      <c r="AY108" s="743">
        <f t="shared" si="128"/>
        <v>0</v>
      </c>
    </row>
    <row r="109" spans="1:51">
      <c r="A109" s="742" t="s">
        <v>416</v>
      </c>
      <c r="B109" s="743"/>
      <c r="C109" s="742"/>
      <c r="D109" s="743">
        <f>IF(D104=0,0,D$22)</f>
        <v>0</v>
      </c>
      <c r="E109" s="743">
        <f>IF(E104=0,0,E$22)</f>
        <v>0</v>
      </c>
      <c r="F109" s="743">
        <f>IF(F104=0,0,F$22)</f>
        <v>0</v>
      </c>
      <c r="G109" s="743">
        <f>IF(G104=0,0,G$22)</f>
        <v>0</v>
      </c>
      <c r="H109" s="743">
        <f>IF(H104=0,0,H$22)</f>
        <v>0</v>
      </c>
      <c r="I109" s="743">
        <f t="shared" ref="I109:AG109" si="131">IF(I104=0,0,I$22)</f>
        <v>0</v>
      </c>
      <c r="J109" s="743">
        <f t="shared" si="131"/>
        <v>0</v>
      </c>
      <c r="K109" s="743">
        <f t="shared" si="131"/>
        <v>0</v>
      </c>
      <c r="L109" s="743">
        <f t="shared" si="131"/>
        <v>0</v>
      </c>
      <c r="M109" s="743">
        <f t="shared" si="131"/>
        <v>0</v>
      </c>
      <c r="N109" s="743">
        <f t="shared" si="131"/>
        <v>0</v>
      </c>
      <c r="O109" s="743">
        <f t="shared" si="131"/>
        <v>0</v>
      </c>
      <c r="P109" s="743">
        <f>IF(P104=0,0,P$22)</f>
        <v>0</v>
      </c>
      <c r="Q109" s="743">
        <f>IF(Q104=0,0,Q$22)</f>
        <v>0</v>
      </c>
      <c r="R109" s="743">
        <f t="shared" si="131"/>
        <v>0</v>
      </c>
      <c r="S109" s="743">
        <f t="shared" si="131"/>
        <v>0</v>
      </c>
      <c r="T109" s="743">
        <f t="shared" si="131"/>
        <v>0</v>
      </c>
      <c r="U109" s="743">
        <f t="shared" si="131"/>
        <v>0</v>
      </c>
      <c r="V109" s="743">
        <f t="shared" si="131"/>
        <v>0</v>
      </c>
      <c r="W109" s="743">
        <f t="shared" si="131"/>
        <v>0</v>
      </c>
      <c r="X109" s="743">
        <f t="shared" si="131"/>
        <v>0</v>
      </c>
      <c r="Y109" s="743">
        <f t="shared" si="131"/>
        <v>0</v>
      </c>
      <c r="Z109" s="743">
        <f t="shared" si="131"/>
        <v>0</v>
      </c>
      <c r="AA109" s="743">
        <f t="shared" si="131"/>
        <v>0</v>
      </c>
      <c r="AB109" s="743">
        <f t="shared" si="131"/>
        <v>0</v>
      </c>
      <c r="AC109" s="743">
        <f t="shared" si="131"/>
        <v>0</v>
      </c>
      <c r="AD109" s="743">
        <f t="shared" si="131"/>
        <v>0</v>
      </c>
      <c r="AE109" s="743">
        <f t="shared" si="131"/>
        <v>0</v>
      </c>
      <c r="AF109" s="743">
        <f t="shared" si="131"/>
        <v>0</v>
      </c>
      <c r="AG109" s="744">
        <f t="shared" si="131"/>
        <v>0</v>
      </c>
      <c r="AH109" s="762">
        <f t="shared" si="117"/>
        <v>0</v>
      </c>
      <c r="AI109" s="760">
        <f t="shared" si="118"/>
        <v>0</v>
      </c>
      <c r="AJ109" s="760"/>
      <c r="AK109" s="760"/>
      <c r="AL109" s="760">
        <f t="shared" si="119"/>
        <v>0</v>
      </c>
      <c r="AM109" s="760">
        <f t="shared" si="120"/>
        <v>0</v>
      </c>
      <c r="AN109" s="760"/>
      <c r="AO109" s="761"/>
      <c r="AP109" s="761">
        <f t="shared" si="121"/>
        <v>0</v>
      </c>
      <c r="AQ109" s="760">
        <f t="shared" si="122"/>
        <v>0</v>
      </c>
      <c r="AR109" s="760"/>
      <c r="AS109" s="867"/>
      <c r="AT109" s="746">
        <f t="shared" si="123"/>
        <v>0</v>
      </c>
      <c r="AU109" s="743">
        <f t="shared" si="124"/>
        <v>0</v>
      </c>
      <c r="AV109" s="747">
        <f t="shared" si="125"/>
        <v>0</v>
      </c>
      <c r="AW109" s="747" t="e">
        <f t="shared" si="126"/>
        <v>#DIV/0!</v>
      </c>
      <c r="AY109" s="743">
        <f t="shared" si="128"/>
        <v>0</v>
      </c>
    </row>
    <row r="110" spans="1:51">
      <c r="A110" s="742" t="s">
        <v>465</v>
      </c>
      <c r="B110" s="743"/>
      <c r="C110" s="742"/>
      <c r="D110" s="743">
        <f>IF(D104=0,0,D$24)</f>
        <v>0</v>
      </c>
      <c r="E110" s="743">
        <f>IF(E104=0,0,E$24)</f>
        <v>0</v>
      </c>
      <c r="F110" s="743">
        <f>IF(F104=0,0,F$24)</f>
        <v>0</v>
      </c>
      <c r="G110" s="743">
        <f>IF(G104=0,0,G$24)</f>
        <v>0</v>
      </c>
      <c r="H110" s="743">
        <f>IF(H104=0,0,H$24)</f>
        <v>0</v>
      </c>
      <c r="I110" s="743">
        <f t="shared" ref="I110:AG110" si="132">IF(I104=0,0,I$24)</f>
        <v>0</v>
      </c>
      <c r="J110" s="743">
        <f t="shared" si="132"/>
        <v>0</v>
      </c>
      <c r="K110" s="743">
        <f t="shared" si="132"/>
        <v>0</v>
      </c>
      <c r="L110" s="743">
        <f t="shared" si="132"/>
        <v>0</v>
      </c>
      <c r="M110" s="743">
        <f t="shared" si="132"/>
        <v>0</v>
      </c>
      <c r="N110" s="743">
        <f t="shared" si="132"/>
        <v>0</v>
      </c>
      <c r="O110" s="743">
        <f t="shared" si="132"/>
        <v>0</v>
      </c>
      <c r="P110" s="743">
        <f>IF(P104=0,0,P$24)</f>
        <v>0</v>
      </c>
      <c r="Q110" s="743">
        <f>IF(Q104=0,0,Q$24)</f>
        <v>0</v>
      </c>
      <c r="R110" s="743">
        <f t="shared" si="132"/>
        <v>0</v>
      </c>
      <c r="S110" s="743">
        <f t="shared" si="132"/>
        <v>0</v>
      </c>
      <c r="T110" s="743">
        <f t="shared" si="132"/>
        <v>0</v>
      </c>
      <c r="U110" s="743">
        <f t="shared" si="132"/>
        <v>0</v>
      </c>
      <c r="V110" s="743">
        <f t="shared" si="132"/>
        <v>0</v>
      </c>
      <c r="W110" s="743">
        <f t="shared" si="132"/>
        <v>0</v>
      </c>
      <c r="X110" s="743">
        <f t="shared" si="132"/>
        <v>0</v>
      </c>
      <c r="Y110" s="743">
        <f t="shared" si="132"/>
        <v>0</v>
      </c>
      <c r="Z110" s="743">
        <f t="shared" si="132"/>
        <v>0</v>
      </c>
      <c r="AA110" s="743">
        <f t="shared" si="132"/>
        <v>0</v>
      </c>
      <c r="AB110" s="743">
        <f t="shared" si="132"/>
        <v>0</v>
      </c>
      <c r="AC110" s="743">
        <f t="shared" si="132"/>
        <v>0</v>
      </c>
      <c r="AD110" s="743">
        <f t="shared" si="132"/>
        <v>0</v>
      </c>
      <c r="AE110" s="743">
        <f t="shared" si="132"/>
        <v>0</v>
      </c>
      <c r="AF110" s="743">
        <f t="shared" si="132"/>
        <v>0</v>
      </c>
      <c r="AG110" s="744">
        <f t="shared" si="132"/>
        <v>0</v>
      </c>
      <c r="AH110" s="762">
        <f t="shared" si="117"/>
        <v>0</v>
      </c>
      <c r="AI110" s="760">
        <f t="shared" si="118"/>
        <v>0</v>
      </c>
      <c r="AJ110" s="760"/>
      <c r="AK110" s="760"/>
      <c r="AL110" s="760">
        <f t="shared" si="119"/>
        <v>0</v>
      </c>
      <c r="AM110" s="760">
        <f t="shared" si="120"/>
        <v>0</v>
      </c>
      <c r="AN110" s="760"/>
      <c r="AO110" s="761"/>
      <c r="AP110" s="761">
        <f t="shared" si="121"/>
        <v>0</v>
      </c>
      <c r="AQ110" s="760">
        <f t="shared" si="122"/>
        <v>0</v>
      </c>
      <c r="AR110" s="760"/>
      <c r="AS110" s="867"/>
      <c r="AT110" s="746">
        <f t="shared" si="123"/>
        <v>0</v>
      </c>
      <c r="AU110" s="743">
        <f t="shared" si="124"/>
        <v>0</v>
      </c>
      <c r="AV110" s="747">
        <f t="shared" si="125"/>
        <v>0</v>
      </c>
      <c r="AW110" s="747" t="e">
        <f t="shared" si="126"/>
        <v>#DIV/0!</v>
      </c>
      <c r="AY110" s="743">
        <f t="shared" si="128"/>
        <v>0</v>
      </c>
    </row>
    <row r="111" spans="1:51">
      <c r="A111" s="742" t="s">
        <v>419</v>
      </c>
      <c r="B111" s="743"/>
      <c r="C111" s="742"/>
      <c r="D111" s="743">
        <f>IF(D104=0,0,D$23)</f>
        <v>0</v>
      </c>
      <c r="E111" s="743">
        <f>IF(E104=0,0,E$23)</f>
        <v>0</v>
      </c>
      <c r="F111" s="743">
        <f>IF(F104=0,0,F$23)</f>
        <v>0</v>
      </c>
      <c r="G111" s="743">
        <f>IF(G104=0,0,G$23)</f>
        <v>0</v>
      </c>
      <c r="H111" s="743">
        <f>IF(H104=0,0,H$23)</f>
        <v>0</v>
      </c>
      <c r="I111" s="743">
        <f t="shared" ref="I111:AG111" si="133">IF(I104=0,0,I$23)</f>
        <v>0</v>
      </c>
      <c r="J111" s="743">
        <f t="shared" si="133"/>
        <v>0</v>
      </c>
      <c r="K111" s="743">
        <f t="shared" si="133"/>
        <v>0</v>
      </c>
      <c r="L111" s="743">
        <f t="shared" si="133"/>
        <v>0</v>
      </c>
      <c r="M111" s="743">
        <f t="shared" si="133"/>
        <v>0</v>
      </c>
      <c r="N111" s="743">
        <f t="shared" si="133"/>
        <v>0</v>
      </c>
      <c r="O111" s="743">
        <f t="shared" si="133"/>
        <v>0</v>
      </c>
      <c r="P111" s="743">
        <f>IF(P104=0,0,P$23)</f>
        <v>0</v>
      </c>
      <c r="Q111" s="743">
        <f>IF(Q104=0,0,Q$23)</f>
        <v>0</v>
      </c>
      <c r="R111" s="743">
        <f t="shared" si="133"/>
        <v>0</v>
      </c>
      <c r="S111" s="743">
        <f t="shared" si="133"/>
        <v>0</v>
      </c>
      <c r="T111" s="743">
        <f t="shared" si="133"/>
        <v>0</v>
      </c>
      <c r="U111" s="743">
        <f t="shared" si="133"/>
        <v>0</v>
      </c>
      <c r="V111" s="743">
        <f t="shared" si="133"/>
        <v>0</v>
      </c>
      <c r="W111" s="743">
        <f t="shared" si="133"/>
        <v>0</v>
      </c>
      <c r="X111" s="743">
        <f t="shared" si="133"/>
        <v>0</v>
      </c>
      <c r="Y111" s="743">
        <f t="shared" si="133"/>
        <v>0</v>
      </c>
      <c r="Z111" s="743">
        <f t="shared" si="133"/>
        <v>0</v>
      </c>
      <c r="AA111" s="743">
        <f t="shared" si="133"/>
        <v>0</v>
      </c>
      <c r="AB111" s="743">
        <f t="shared" si="133"/>
        <v>0</v>
      </c>
      <c r="AC111" s="743">
        <f t="shared" si="133"/>
        <v>0</v>
      </c>
      <c r="AD111" s="743">
        <f t="shared" si="133"/>
        <v>0</v>
      </c>
      <c r="AE111" s="743">
        <f t="shared" si="133"/>
        <v>0</v>
      </c>
      <c r="AF111" s="743">
        <f t="shared" si="133"/>
        <v>0</v>
      </c>
      <c r="AG111" s="744">
        <f t="shared" si="133"/>
        <v>0</v>
      </c>
      <c r="AH111" s="762">
        <f t="shared" si="117"/>
        <v>0</v>
      </c>
      <c r="AI111" s="760">
        <f t="shared" si="118"/>
        <v>0</v>
      </c>
      <c r="AJ111" s="760"/>
      <c r="AK111" s="760"/>
      <c r="AL111" s="760">
        <f t="shared" si="119"/>
        <v>0</v>
      </c>
      <c r="AM111" s="760">
        <f t="shared" si="120"/>
        <v>0</v>
      </c>
      <c r="AN111" s="760"/>
      <c r="AO111" s="761"/>
      <c r="AP111" s="761">
        <f t="shared" si="121"/>
        <v>0</v>
      </c>
      <c r="AQ111" s="760">
        <f t="shared" si="122"/>
        <v>0</v>
      </c>
      <c r="AR111" s="760"/>
      <c r="AS111" s="867"/>
      <c r="AT111" s="746">
        <f t="shared" si="123"/>
        <v>0</v>
      </c>
      <c r="AU111" s="743">
        <f t="shared" si="124"/>
        <v>0</v>
      </c>
      <c r="AV111" s="747">
        <f t="shared" si="125"/>
        <v>0</v>
      </c>
      <c r="AW111" s="747" t="e">
        <f t="shared" si="126"/>
        <v>#DIV/0!</v>
      </c>
      <c r="AY111" s="743">
        <f t="shared" si="128"/>
        <v>0</v>
      </c>
    </row>
    <row r="112" spans="1:51">
      <c r="AH112" s="766"/>
      <c r="AI112" s="767"/>
      <c r="AJ112" s="767"/>
      <c r="AK112" s="767"/>
      <c r="AL112" s="767"/>
      <c r="AM112" s="767"/>
      <c r="AN112" s="767"/>
      <c r="AO112" s="767"/>
      <c r="AP112" s="767"/>
      <c r="AQ112" s="743"/>
      <c r="AR112" s="743"/>
      <c r="AS112" s="767"/>
      <c r="AT112" s="766"/>
      <c r="AU112" s="767"/>
      <c r="AV112" s="768"/>
      <c r="AW112" s="768"/>
    </row>
    <row r="113" spans="1:51">
      <c r="A113" s="760" t="s">
        <v>477</v>
      </c>
      <c r="B113" s="774">
        <v>111506.65300000001</v>
      </c>
      <c r="C113" s="759" t="s">
        <v>85</v>
      </c>
      <c r="D113" s="760"/>
      <c r="E113" s="760"/>
      <c r="F113" s="760"/>
      <c r="G113" s="760"/>
      <c r="H113" s="760"/>
      <c r="I113" s="760"/>
      <c r="J113" s="760"/>
      <c r="K113" s="760"/>
      <c r="L113" s="760"/>
      <c r="M113" s="760"/>
      <c r="N113" s="760"/>
      <c r="O113" s="760"/>
      <c r="P113" s="760"/>
      <c r="Q113" s="760"/>
      <c r="R113" s="760">
        <v>0</v>
      </c>
      <c r="S113" s="760"/>
      <c r="T113" s="760"/>
      <c r="U113" s="760"/>
      <c r="V113" s="760"/>
      <c r="W113" s="760">
        <v>0</v>
      </c>
      <c r="X113" s="760"/>
      <c r="Y113" s="760">
        <v>0</v>
      </c>
      <c r="Z113" s="760"/>
      <c r="AA113" s="760"/>
      <c r="AB113" s="760">
        <v>0</v>
      </c>
      <c r="AC113" s="760"/>
      <c r="AD113" s="760"/>
      <c r="AE113" s="760">
        <v>0</v>
      </c>
      <c r="AF113" s="760"/>
      <c r="AG113" s="761"/>
      <c r="AH113" s="762">
        <f>P113</f>
        <v>0</v>
      </c>
      <c r="AI113" s="760"/>
      <c r="AJ113" s="760"/>
      <c r="AK113" s="760"/>
      <c r="AL113" s="760">
        <f>Q113</f>
        <v>0</v>
      </c>
      <c r="AM113" s="760"/>
      <c r="AN113" s="760"/>
      <c r="AO113" s="761"/>
      <c r="AP113" s="761">
        <f>L113</f>
        <v>0</v>
      </c>
      <c r="AQ113" s="760"/>
      <c r="AR113" s="760"/>
      <c r="AS113" s="867"/>
      <c r="AT113" s="765">
        <f>SUM(AH113:AI113)</f>
        <v>0</v>
      </c>
      <c r="AU113" s="760">
        <f>SUM(AL113:AM113)</f>
        <v>0</v>
      </c>
      <c r="AV113" s="764">
        <f>SUM(AP113:AQ113)</f>
        <v>0</v>
      </c>
      <c r="AW113" s="764">
        <f>SUM(D113:AG113)</f>
        <v>0</v>
      </c>
      <c r="AY113" s="731">
        <f>SUM(AT113:AV113)</f>
        <v>0</v>
      </c>
    </row>
    <row r="114" spans="1:51">
      <c r="A114" s="742" t="s">
        <v>460</v>
      </c>
      <c r="B114" s="760"/>
      <c r="C114" s="759"/>
      <c r="D114" s="743">
        <f>IF(D113=0,0,D$18)</f>
        <v>0</v>
      </c>
      <c r="E114" s="743">
        <f>IF(E113=0,0,E$18)</f>
        <v>0</v>
      </c>
      <c r="F114" s="743">
        <f>IF(F113=0,0,F$18)</f>
        <v>0</v>
      </c>
      <c r="G114" s="743">
        <f>IF(G113=0,0,G$18)</f>
        <v>0</v>
      </c>
      <c r="H114" s="743">
        <f>IF(H113=0,0,H$18)</f>
        <v>0</v>
      </c>
      <c r="I114" s="743">
        <f t="shared" ref="I114:AG114" si="134">IF(I113=0,0,I$18)</f>
        <v>0</v>
      </c>
      <c r="J114" s="743">
        <f t="shared" si="134"/>
        <v>0</v>
      </c>
      <c r="K114" s="743">
        <f t="shared" si="134"/>
        <v>0</v>
      </c>
      <c r="L114" s="743">
        <f t="shared" si="134"/>
        <v>0</v>
      </c>
      <c r="M114" s="743">
        <f t="shared" si="134"/>
        <v>0</v>
      </c>
      <c r="N114" s="743">
        <f t="shared" si="134"/>
        <v>0</v>
      </c>
      <c r="O114" s="743">
        <f t="shared" si="134"/>
        <v>0</v>
      </c>
      <c r="P114" s="743">
        <f t="shared" si="134"/>
        <v>0</v>
      </c>
      <c r="Q114" s="743">
        <f t="shared" si="134"/>
        <v>0</v>
      </c>
      <c r="R114" s="743">
        <f t="shared" si="134"/>
        <v>0</v>
      </c>
      <c r="S114" s="743">
        <f t="shared" si="134"/>
        <v>0</v>
      </c>
      <c r="T114" s="743">
        <f t="shared" si="134"/>
        <v>0</v>
      </c>
      <c r="U114" s="743">
        <f t="shared" si="134"/>
        <v>0</v>
      </c>
      <c r="V114" s="743">
        <f t="shared" si="134"/>
        <v>0</v>
      </c>
      <c r="W114" s="743">
        <f t="shared" si="134"/>
        <v>0</v>
      </c>
      <c r="X114" s="743">
        <f t="shared" si="134"/>
        <v>0</v>
      </c>
      <c r="Y114" s="743">
        <f t="shared" si="134"/>
        <v>0</v>
      </c>
      <c r="Z114" s="743">
        <f t="shared" si="134"/>
        <v>0</v>
      </c>
      <c r="AA114" s="743">
        <f t="shared" si="134"/>
        <v>0</v>
      </c>
      <c r="AB114" s="743">
        <f t="shared" si="134"/>
        <v>0</v>
      </c>
      <c r="AC114" s="743">
        <f t="shared" si="134"/>
        <v>0</v>
      </c>
      <c r="AD114" s="743">
        <f t="shared" si="134"/>
        <v>0</v>
      </c>
      <c r="AE114" s="743">
        <f t="shared" si="134"/>
        <v>0</v>
      </c>
      <c r="AF114" s="743">
        <f t="shared" si="134"/>
        <v>0</v>
      </c>
      <c r="AG114" s="744">
        <f t="shared" si="134"/>
        <v>0</v>
      </c>
      <c r="AH114" s="762">
        <f t="shared" ref="AH114:AH120" si="135">P114</f>
        <v>0</v>
      </c>
      <c r="AI114" s="760"/>
      <c r="AJ114" s="760"/>
      <c r="AK114" s="760"/>
      <c r="AL114" s="760">
        <f t="shared" ref="AL114:AL120" si="136">Q114</f>
        <v>0</v>
      </c>
      <c r="AM114" s="760"/>
      <c r="AN114" s="760"/>
      <c r="AO114" s="761"/>
      <c r="AP114" s="761">
        <f t="shared" ref="AP114:AP120" si="137">L114</f>
        <v>0</v>
      </c>
      <c r="AQ114" s="760"/>
      <c r="AR114" s="760"/>
      <c r="AS114" s="867"/>
      <c r="AT114" s="746">
        <f t="shared" ref="AT114:AT120" si="138">IF(AT$113=0,0,SUMPRODUCT(AH$113:AI$113,AH114:AI114)/AT$113)</f>
        <v>0</v>
      </c>
      <c r="AU114" s="743">
        <f t="shared" ref="AU114:AU120" si="139">IF(AU$113=0,0,SUMPRODUCT(AL$113:AM$113,AL114:AM114)/AU$113)</f>
        <v>0</v>
      </c>
      <c r="AV114" s="747">
        <f t="shared" ref="AV114:AV120" si="140">IF(AV$113=0,0,SUMPRODUCT(AP$113:AQ$113,AP114:AQ114)/AV$113)</f>
        <v>0</v>
      </c>
      <c r="AW114" s="747" t="e">
        <f t="shared" ref="AW114:AW120" si="141">SUMPRODUCT(D$113:AG$113,D114:AG114)/AW$113</f>
        <v>#DIV/0!</v>
      </c>
      <c r="AY114" s="743">
        <f>IF(AY$113=0,0,SUMPRODUCT(AT$113:AV$113,AT114:AV114)/AY$113)</f>
        <v>0</v>
      </c>
    </row>
    <row r="115" spans="1:51">
      <c r="A115" s="742" t="s">
        <v>462</v>
      </c>
      <c r="B115" s="743"/>
      <c r="C115" s="742"/>
      <c r="D115" s="743">
        <f t="shared" ref="D115:AG115" si="142">IF(D113=0,0,D$19)</f>
        <v>0</v>
      </c>
      <c r="E115" s="743">
        <f t="shared" si="142"/>
        <v>0</v>
      </c>
      <c r="F115" s="743">
        <f t="shared" si="142"/>
        <v>0</v>
      </c>
      <c r="G115" s="743">
        <f t="shared" si="142"/>
        <v>0</v>
      </c>
      <c r="H115" s="743">
        <f t="shared" si="142"/>
        <v>0</v>
      </c>
      <c r="I115" s="743">
        <f t="shared" si="142"/>
        <v>0</v>
      </c>
      <c r="J115" s="743">
        <f t="shared" si="142"/>
        <v>0</v>
      </c>
      <c r="K115" s="743">
        <f t="shared" si="142"/>
        <v>0</v>
      </c>
      <c r="L115" s="743">
        <f t="shared" si="142"/>
        <v>0</v>
      </c>
      <c r="M115" s="743">
        <f t="shared" si="142"/>
        <v>0</v>
      </c>
      <c r="N115" s="743">
        <f t="shared" si="142"/>
        <v>0</v>
      </c>
      <c r="O115" s="743">
        <f t="shared" si="142"/>
        <v>0</v>
      </c>
      <c r="P115" s="743">
        <f t="shared" si="142"/>
        <v>0</v>
      </c>
      <c r="Q115" s="743">
        <f t="shared" si="142"/>
        <v>0</v>
      </c>
      <c r="R115" s="743">
        <f t="shared" si="142"/>
        <v>0</v>
      </c>
      <c r="S115" s="743">
        <f t="shared" si="142"/>
        <v>0</v>
      </c>
      <c r="T115" s="743">
        <f t="shared" si="142"/>
        <v>0</v>
      </c>
      <c r="U115" s="743">
        <f t="shared" si="142"/>
        <v>0</v>
      </c>
      <c r="V115" s="743">
        <f t="shared" si="142"/>
        <v>0</v>
      </c>
      <c r="W115" s="743">
        <f t="shared" si="142"/>
        <v>0</v>
      </c>
      <c r="X115" s="743">
        <f t="shared" si="142"/>
        <v>0</v>
      </c>
      <c r="Y115" s="743">
        <f t="shared" si="142"/>
        <v>0</v>
      </c>
      <c r="Z115" s="743">
        <f t="shared" si="142"/>
        <v>0</v>
      </c>
      <c r="AA115" s="743">
        <f t="shared" si="142"/>
        <v>0</v>
      </c>
      <c r="AB115" s="743">
        <f t="shared" si="142"/>
        <v>0</v>
      </c>
      <c r="AC115" s="743">
        <f t="shared" si="142"/>
        <v>0</v>
      </c>
      <c r="AD115" s="743">
        <f t="shared" si="142"/>
        <v>0</v>
      </c>
      <c r="AE115" s="743">
        <f t="shared" si="142"/>
        <v>0</v>
      </c>
      <c r="AF115" s="743">
        <f t="shared" si="142"/>
        <v>0</v>
      </c>
      <c r="AG115" s="744">
        <f t="shared" si="142"/>
        <v>0</v>
      </c>
      <c r="AH115" s="762">
        <f t="shared" si="135"/>
        <v>0</v>
      </c>
      <c r="AI115" s="760"/>
      <c r="AJ115" s="760"/>
      <c r="AK115" s="760"/>
      <c r="AL115" s="760">
        <f t="shared" si="136"/>
        <v>0</v>
      </c>
      <c r="AM115" s="760"/>
      <c r="AN115" s="760"/>
      <c r="AO115" s="761"/>
      <c r="AP115" s="761">
        <f t="shared" si="137"/>
        <v>0</v>
      </c>
      <c r="AQ115" s="760"/>
      <c r="AR115" s="760"/>
      <c r="AS115" s="867"/>
      <c r="AT115" s="746">
        <f t="shared" si="138"/>
        <v>0</v>
      </c>
      <c r="AU115" s="743">
        <f t="shared" si="139"/>
        <v>0</v>
      </c>
      <c r="AV115" s="747">
        <f t="shared" si="140"/>
        <v>0</v>
      </c>
      <c r="AW115" s="747" t="e">
        <f t="shared" si="141"/>
        <v>#DIV/0!</v>
      </c>
      <c r="AY115" s="743">
        <f t="shared" ref="AY115:AY120" si="143">IF(AY$113=0,0,SUMPRODUCT(AT$113:AV$113,AT115:AV115)/AY$113)</f>
        <v>0</v>
      </c>
    </row>
    <row r="116" spans="1:51">
      <c r="A116" s="742" t="s">
        <v>420</v>
      </c>
      <c r="B116" s="743"/>
      <c r="C116" s="742"/>
      <c r="D116" s="743">
        <f t="shared" ref="D116:AG116" si="144">IF(D113=0,0,D$20)</f>
        <v>0</v>
      </c>
      <c r="E116" s="743">
        <f t="shared" si="144"/>
        <v>0</v>
      </c>
      <c r="F116" s="743">
        <f t="shared" si="144"/>
        <v>0</v>
      </c>
      <c r="G116" s="743">
        <f t="shared" si="144"/>
        <v>0</v>
      </c>
      <c r="H116" s="743">
        <f t="shared" si="144"/>
        <v>0</v>
      </c>
      <c r="I116" s="743">
        <f t="shared" si="144"/>
        <v>0</v>
      </c>
      <c r="J116" s="743">
        <f t="shared" si="144"/>
        <v>0</v>
      </c>
      <c r="K116" s="743">
        <f t="shared" si="144"/>
        <v>0</v>
      </c>
      <c r="L116" s="743">
        <f t="shared" si="144"/>
        <v>0</v>
      </c>
      <c r="M116" s="743">
        <f t="shared" si="144"/>
        <v>0</v>
      </c>
      <c r="N116" s="743">
        <f t="shared" si="144"/>
        <v>0</v>
      </c>
      <c r="O116" s="743">
        <f t="shared" si="144"/>
        <v>0</v>
      </c>
      <c r="P116" s="743">
        <f t="shared" si="144"/>
        <v>0</v>
      </c>
      <c r="Q116" s="743">
        <f t="shared" si="144"/>
        <v>0</v>
      </c>
      <c r="R116" s="743">
        <f t="shared" si="144"/>
        <v>0</v>
      </c>
      <c r="S116" s="743">
        <f t="shared" si="144"/>
        <v>0</v>
      </c>
      <c r="T116" s="743">
        <f t="shared" si="144"/>
        <v>0</v>
      </c>
      <c r="U116" s="743">
        <f t="shared" si="144"/>
        <v>0</v>
      </c>
      <c r="V116" s="743">
        <f t="shared" si="144"/>
        <v>0</v>
      </c>
      <c r="W116" s="743">
        <f t="shared" si="144"/>
        <v>0</v>
      </c>
      <c r="X116" s="743">
        <f t="shared" si="144"/>
        <v>0</v>
      </c>
      <c r="Y116" s="743">
        <f t="shared" si="144"/>
        <v>0</v>
      </c>
      <c r="Z116" s="743">
        <f t="shared" si="144"/>
        <v>0</v>
      </c>
      <c r="AA116" s="743">
        <f t="shared" si="144"/>
        <v>0</v>
      </c>
      <c r="AB116" s="743">
        <f t="shared" si="144"/>
        <v>0</v>
      </c>
      <c r="AC116" s="743">
        <f t="shared" si="144"/>
        <v>0</v>
      </c>
      <c r="AD116" s="743">
        <f t="shared" si="144"/>
        <v>0</v>
      </c>
      <c r="AE116" s="743">
        <f t="shared" si="144"/>
        <v>0</v>
      </c>
      <c r="AF116" s="743">
        <f t="shared" si="144"/>
        <v>0</v>
      </c>
      <c r="AG116" s="744">
        <f t="shared" si="144"/>
        <v>0</v>
      </c>
      <c r="AH116" s="762">
        <f t="shared" si="135"/>
        <v>0</v>
      </c>
      <c r="AI116" s="760"/>
      <c r="AJ116" s="760"/>
      <c r="AK116" s="760"/>
      <c r="AL116" s="760">
        <f t="shared" si="136"/>
        <v>0</v>
      </c>
      <c r="AM116" s="760"/>
      <c r="AN116" s="760"/>
      <c r="AO116" s="761"/>
      <c r="AP116" s="761">
        <f t="shared" si="137"/>
        <v>0</v>
      </c>
      <c r="AQ116" s="760"/>
      <c r="AR116" s="760"/>
      <c r="AS116" s="867"/>
      <c r="AT116" s="746">
        <f t="shared" si="138"/>
        <v>0</v>
      </c>
      <c r="AU116" s="743">
        <f t="shared" si="139"/>
        <v>0</v>
      </c>
      <c r="AV116" s="747">
        <f t="shared" si="140"/>
        <v>0</v>
      </c>
      <c r="AW116" s="747" t="e">
        <f t="shared" si="141"/>
        <v>#DIV/0!</v>
      </c>
      <c r="AY116" s="743">
        <f t="shared" si="143"/>
        <v>0</v>
      </c>
    </row>
    <row r="117" spans="1:51">
      <c r="A117" s="742" t="s">
        <v>464</v>
      </c>
      <c r="B117" s="743"/>
      <c r="C117" s="742"/>
      <c r="D117" s="743">
        <f t="shared" ref="D117:AG117" si="145">IF(D113=0,0,D$21)</f>
        <v>0</v>
      </c>
      <c r="E117" s="743">
        <f t="shared" si="145"/>
        <v>0</v>
      </c>
      <c r="F117" s="743">
        <f t="shared" si="145"/>
        <v>0</v>
      </c>
      <c r="G117" s="743">
        <f t="shared" si="145"/>
        <v>0</v>
      </c>
      <c r="H117" s="743">
        <f t="shared" si="145"/>
        <v>0</v>
      </c>
      <c r="I117" s="743">
        <f t="shared" si="145"/>
        <v>0</v>
      </c>
      <c r="J117" s="743">
        <f t="shared" si="145"/>
        <v>0</v>
      </c>
      <c r="K117" s="743">
        <f t="shared" si="145"/>
        <v>0</v>
      </c>
      <c r="L117" s="743">
        <f t="shared" si="145"/>
        <v>0</v>
      </c>
      <c r="M117" s="743">
        <f t="shared" si="145"/>
        <v>0</v>
      </c>
      <c r="N117" s="743">
        <f t="shared" si="145"/>
        <v>0</v>
      </c>
      <c r="O117" s="743">
        <f t="shared" si="145"/>
        <v>0</v>
      </c>
      <c r="P117" s="743">
        <f t="shared" si="145"/>
        <v>0</v>
      </c>
      <c r="Q117" s="743">
        <f t="shared" si="145"/>
        <v>0</v>
      </c>
      <c r="R117" s="743">
        <f t="shared" si="145"/>
        <v>0</v>
      </c>
      <c r="S117" s="743">
        <f t="shared" si="145"/>
        <v>0</v>
      </c>
      <c r="T117" s="743">
        <f t="shared" si="145"/>
        <v>0</v>
      </c>
      <c r="U117" s="743">
        <f t="shared" si="145"/>
        <v>0</v>
      </c>
      <c r="V117" s="743">
        <f t="shared" si="145"/>
        <v>0</v>
      </c>
      <c r="W117" s="743">
        <f t="shared" si="145"/>
        <v>0</v>
      </c>
      <c r="X117" s="743">
        <f t="shared" si="145"/>
        <v>0</v>
      </c>
      <c r="Y117" s="743">
        <f t="shared" si="145"/>
        <v>0</v>
      </c>
      <c r="Z117" s="743">
        <f t="shared" si="145"/>
        <v>0</v>
      </c>
      <c r="AA117" s="743">
        <f t="shared" si="145"/>
        <v>0</v>
      </c>
      <c r="AB117" s="743">
        <f t="shared" si="145"/>
        <v>0</v>
      </c>
      <c r="AC117" s="743">
        <f t="shared" si="145"/>
        <v>0</v>
      </c>
      <c r="AD117" s="743">
        <f t="shared" si="145"/>
        <v>0</v>
      </c>
      <c r="AE117" s="743">
        <f t="shared" si="145"/>
        <v>0</v>
      </c>
      <c r="AF117" s="743">
        <f t="shared" si="145"/>
        <v>0</v>
      </c>
      <c r="AG117" s="744">
        <f t="shared" si="145"/>
        <v>0</v>
      </c>
      <c r="AH117" s="762">
        <f t="shared" si="135"/>
        <v>0</v>
      </c>
      <c r="AI117" s="760"/>
      <c r="AJ117" s="760"/>
      <c r="AK117" s="760"/>
      <c r="AL117" s="760">
        <f t="shared" si="136"/>
        <v>0</v>
      </c>
      <c r="AM117" s="760"/>
      <c r="AN117" s="760"/>
      <c r="AO117" s="761"/>
      <c r="AP117" s="761">
        <f t="shared" si="137"/>
        <v>0</v>
      </c>
      <c r="AQ117" s="760"/>
      <c r="AR117" s="760"/>
      <c r="AS117" s="867"/>
      <c r="AT117" s="746">
        <f t="shared" si="138"/>
        <v>0</v>
      </c>
      <c r="AU117" s="743">
        <f t="shared" si="139"/>
        <v>0</v>
      </c>
      <c r="AV117" s="747">
        <f t="shared" si="140"/>
        <v>0</v>
      </c>
      <c r="AW117" s="747" t="e">
        <f t="shared" si="141"/>
        <v>#DIV/0!</v>
      </c>
      <c r="AY117" s="743">
        <f t="shared" si="143"/>
        <v>0</v>
      </c>
    </row>
    <row r="118" spans="1:51">
      <c r="A118" s="742" t="s">
        <v>416</v>
      </c>
      <c r="B118" s="743"/>
      <c r="C118" s="742"/>
      <c r="D118" s="743">
        <f>IF(D113=0,0,D$22)</f>
        <v>0</v>
      </c>
      <c r="E118" s="743">
        <f>IF(E113=0,0,E$22)</f>
        <v>0</v>
      </c>
      <c r="F118" s="743">
        <f>IF(F113=0,0,F$22)</f>
        <v>0</v>
      </c>
      <c r="G118" s="743">
        <f>IF(G113=0,0,G$22)</f>
        <v>0</v>
      </c>
      <c r="H118" s="743">
        <f>IF(H113=0,0,H$22)</f>
        <v>0</v>
      </c>
      <c r="I118" s="743">
        <f t="shared" ref="I118:AG118" si="146">IF(I113=0,0,I$22)</f>
        <v>0</v>
      </c>
      <c r="J118" s="743">
        <f t="shared" si="146"/>
        <v>0</v>
      </c>
      <c r="K118" s="743">
        <f t="shared" si="146"/>
        <v>0</v>
      </c>
      <c r="L118" s="743">
        <f t="shared" si="146"/>
        <v>0</v>
      </c>
      <c r="M118" s="743">
        <f t="shared" si="146"/>
        <v>0</v>
      </c>
      <c r="N118" s="743">
        <f t="shared" si="146"/>
        <v>0</v>
      </c>
      <c r="O118" s="743">
        <f t="shared" si="146"/>
        <v>0</v>
      </c>
      <c r="P118" s="743">
        <f t="shared" si="146"/>
        <v>0</v>
      </c>
      <c r="Q118" s="743">
        <f t="shared" si="146"/>
        <v>0</v>
      </c>
      <c r="R118" s="743">
        <f t="shared" si="146"/>
        <v>0</v>
      </c>
      <c r="S118" s="743">
        <f t="shared" si="146"/>
        <v>0</v>
      </c>
      <c r="T118" s="743">
        <f t="shared" si="146"/>
        <v>0</v>
      </c>
      <c r="U118" s="743">
        <f t="shared" si="146"/>
        <v>0</v>
      </c>
      <c r="V118" s="743">
        <f t="shared" si="146"/>
        <v>0</v>
      </c>
      <c r="W118" s="743">
        <f t="shared" si="146"/>
        <v>0</v>
      </c>
      <c r="X118" s="743">
        <f t="shared" si="146"/>
        <v>0</v>
      </c>
      <c r="Y118" s="743">
        <f t="shared" si="146"/>
        <v>0</v>
      </c>
      <c r="Z118" s="743">
        <f t="shared" si="146"/>
        <v>0</v>
      </c>
      <c r="AA118" s="743">
        <f t="shared" si="146"/>
        <v>0</v>
      </c>
      <c r="AB118" s="743">
        <f t="shared" si="146"/>
        <v>0</v>
      </c>
      <c r="AC118" s="743">
        <f t="shared" si="146"/>
        <v>0</v>
      </c>
      <c r="AD118" s="743">
        <f t="shared" si="146"/>
        <v>0</v>
      </c>
      <c r="AE118" s="743">
        <f t="shared" si="146"/>
        <v>0</v>
      </c>
      <c r="AF118" s="743">
        <f t="shared" si="146"/>
        <v>0</v>
      </c>
      <c r="AG118" s="744">
        <f t="shared" si="146"/>
        <v>0</v>
      </c>
      <c r="AH118" s="762">
        <f t="shared" si="135"/>
        <v>0</v>
      </c>
      <c r="AI118" s="760"/>
      <c r="AJ118" s="760"/>
      <c r="AK118" s="760"/>
      <c r="AL118" s="760">
        <f t="shared" si="136"/>
        <v>0</v>
      </c>
      <c r="AM118" s="760"/>
      <c r="AN118" s="760"/>
      <c r="AO118" s="761"/>
      <c r="AP118" s="761">
        <f t="shared" si="137"/>
        <v>0</v>
      </c>
      <c r="AQ118" s="760"/>
      <c r="AR118" s="760"/>
      <c r="AS118" s="867"/>
      <c r="AT118" s="746">
        <f t="shared" si="138"/>
        <v>0</v>
      </c>
      <c r="AU118" s="743">
        <f t="shared" si="139"/>
        <v>0</v>
      </c>
      <c r="AV118" s="747">
        <f t="shared" si="140"/>
        <v>0</v>
      </c>
      <c r="AW118" s="747" t="e">
        <f t="shared" si="141"/>
        <v>#DIV/0!</v>
      </c>
      <c r="AY118" s="743">
        <f t="shared" si="143"/>
        <v>0</v>
      </c>
    </row>
    <row r="119" spans="1:51">
      <c r="A119" s="742" t="s">
        <v>465</v>
      </c>
      <c r="B119" s="743"/>
      <c r="C119" s="742"/>
      <c r="D119" s="743">
        <f>IF(D113=0,0,D$24)</f>
        <v>0</v>
      </c>
      <c r="E119" s="743">
        <f>IF(E113=0,0,E$24)</f>
        <v>0</v>
      </c>
      <c r="F119" s="743">
        <f>IF(F113=0,0,F$24)</f>
        <v>0</v>
      </c>
      <c r="G119" s="743">
        <f>IF(G113=0,0,G$24)</f>
        <v>0</v>
      </c>
      <c r="H119" s="743">
        <f>IF(H113=0,0,H$24)</f>
        <v>0</v>
      </c>
      <c r="I119" s="743">
        <f t="shared" ref="I119:AG119" si="147">IF(I113=0,0,I$24)</f>
        <v>0</v>
      </c>
      <c r="J119" s="743">
        <f t="shared" si="147"/>
        <v>0</v>
      </c>
      <c r="K119" s="743">
        <f t="shared" si="147"/>
        <v>0</v>
      </c>
      <c r="L119" s="743">
        <f t="shared" si="147"/>
        <v>0</v>
      </c>
      <c r="M119" s="743">
        <f t="shared" si="147"/>
        <v>0</v>
      </c>
      <c r="N119" s="743">
        <f t="shared" si="147"/>
        <v>0</v>
      </c>
      <c r="O119" s="743">
        <f t="shared" si="147"/>
        <v>0</v>
      </c>
      <c r="P119" s="743">
        <f t="shared" si="147"/>
        <v>0</v>
      </c>
      <c r="Q119" s="743">
        <f t="shared" si="147"/>
        <v>0</v>
      </c>
      <c r="R119" s="743">
        <f t="shared" si="147"/>
        <v>0</v>
      </c>
      <c r="S119" s="743">
        <f t="shared" si="147"/>
        <v>0</v>
      </c>
      <c r="T119" s="743">
        <f t="shared" si="147"/>
        <v>0</v>
      </c>
      <c r="U119" s="743">
        <f t="shared" si="147"/>
        <v>0</v>
      </c>
      <c r="V119" s="743">
        <f t="shared" si="147"/>
        <v>0</v>
      </c>
      <c r="W119" s="743">
        <f t="shared" si="147"/>
        <v>0</v>
      </c>
      <c r="X119" s="743">
        <f t="shared" si="147"/>
        <v>0</v>
      </c>
      <c r="Y119" s="743">
        <f t="shared" si="147"/>
        <v>0</v>
      </c>
      <c r="Z119" s="743">
        <f t="shared" si="147"/>
        <v>0</v>
      </c>
      <c r="AA119" s="743">
        <f t="shared" si="147"/>
        <v>0</v>
      </c>
      <c r="AB119" s="743">
        <f t="shared" si="147"/>
        <v>0</v>
      </c>
      <c r="AC119" s="743">
        <f t="shared" si="147"/>
        <v>0</v>
      </c>
      <c r="AD119" s="743">
        <f t="shared" si="147"/>
        <v>0</v>
      </c>
      <c r="AE119" s="743">
        <f t="shared" si="147"/>
        <v>0</v>
      </c>
      <c r="AF119" s="743">
        <f t="shared" si="147"/>
        <v>0</v>
      </c>
      <c r="AG119" s="744">
        <f t="shared" si="147"/>
        <v>0</v>
      </c>
      <c r="AH119" s="762">
        <f t="shared" si="135"/>
        <v>0</v>
      </c>
      <c r="AI119" s="760"/>
      <c r="AJ119" s="760"/>
      <c r="AK119" s="760"/>
      <c r="AL119" s="760">
        <f t="shared" si="136"/>
        <v>0</v>
      </c>
      <c r="AM119" s="760"/>
      <c r="AN119" s="760"/>
      <c r="AO119" s="761"/>
      <c r="AP119" s="761">
        <f t="shared" si="137"/>
        <v>0</v>
      </c>
      <c r="AQ119" s="760"/>
      <c r="AR119" s="760"/>
      <c r="AS119" s="867"/>
      <c r="AT119" s="746">
        <f t="shared" si="138"/>
        <v>0</v>
      </c>
      <c r="AU119" s="743">
        <f t="shared" si="139"/>
        <v>0</v>
      </c>
      <c r="AV119" s="747">
        <f t="shared" si="140"/>
        <v>0</v>
      </c>
      <c r="AW119" s="747" t="e">
        <f t="shared" si="141"/>
        <v>#DIV/0!</v>
      </c>
      <c r="AY119" s="743">
        <f t="shared" si="143"/>
        <v>0</v>
      </c>
    </row>
    <row r="120" spans="1:51">
      <c r="A120" s="742" t="s">
        <v>419</v>
      </c>
      <c r="B120" s="743"/>
      <c r="C120" s="742"/>
      <c r="D120" s="743">
        <f>IF(D113=0,0,D$23)</f>
        <v>0</v>
      </c>
      <c r="E120" s="743">
        <f>IF(E113=0,0,E$23)</f>
        <v>0</v>
      </c>
      <c r="F120" s="743">
        <f>IF(F113=0,0,F$23)</f>
        <v>0</v>
      </c>
      <c r="G120" s="743">
        <f>IF(G113=0,0,G$23)</f>
        <v>0</v>
      </c>
      <c r="H120" s="743">
        <f>IF(H113=0,0,H$23)</f>
        <v>0</v>
      </c>
      <c r="I120" s="743">
        <f t="shared" ref="I120:AG120" si="148">IF(I113=0,0,I$23)</f>
        <v>0</v>
      </c>
      <c r="J120" s="743">
        <f t="shared" si="148"/>
        <v>0</v>
      </c>
      <c r="K120" s="743">
        <f t="shared" si="148"/>
        <v>0</v>
      </c>
      <c r="L120" s="743">
        <f t="shared" si="148"/>
        <v>0</v>
      </c>
      <c r="M120" s="743">
        <f t="shared" si="148"/>
        <v>0</v>
      </c>
      <c r="N120" s="743">
        <f t="shared" si="148"/>
        <v>0</v>
      </c>
      <c r="O120" s="743">
        <f t="shared" si="148"/>
        <v>0</v>
      </c>
      <c r="P120" s="743">
        <f t="shared" si="148"/>
        <v>0</v>
      </c>
      <c r="Q120" s="743">
        <f t="shared" si="148"/>
        <v>0</v>
      </c>
      <c r="R120" s="743">
        <f t="shared" si="148"/>
        <v>0</v>
      </c>
      <c r="S120" s="743">
        <f t="shared" si="148"/>
        <v>0</v>
      </c>
      <c r="T120" s="743">
        <f t="shared" si="148"/>
        <v>0</v>
      </c>
      <c r="U120" s="743">
        <f t="shared" si="148"/>
        <v>0</v>
      </c>
      <c r="V120" s="743">
        <f t="shared" si="148"/>
        <v>0</v>
      </c>
      <c r="W120" s="743">
        <f t="shared" si="148"/>
        <v>0</v>
      </c>
      <c r="X120" s="743">
        <f t="shared" si="148"/>
        <v>0</v>
      </c>
      <c r="Y120" s="743">
        <f t="shared" si="148"/>
        <v>0</v>
      </c>
      <c r="Z120" s="743">
        <f t="shared" si="148"/>
        <v>0</v>
      </c>
      <c r="AA120" s="743">
        <f t="shared" si="148"/>
        <v>0</v>
      </c>
      <c r="AB120" s="743">
        <f t="shared" si="148"/>
        <v>0</v>
      </c>
      <c r="AC120" s="743">
        <f t="shared" si="148"/>
        <v>0</v>
      </c>
      <c r="AD120" s="743">
        <f t="shared" si="148"/>
        <v>0</v>
      </c>
      <c r="AE120" s="743">
        <f t="shared" si="148"/>
        <v>0</v>
      </c>
      <c r="AF120" s="743">
        <f t="shared" si="148"/>
        <v>0</v>
      </c>
      <c r="AG120" s="744">
        <f t="shared" si="148"/>
        <v>0</v>
      </c>
      <c r="AH120" s="762">
        <f t="shared" si="135"/>
        <v>0</v>
      </c>
      <c r="AI120" s="760"/>
      <c r="AJ120" s="760"/>
      <c r="AK120" s="760"/>
      <c r="AL120" s="760">
        <f t="shared" si="136"/>
        <v>0</v>
      </c>
      <c r="AM120" s="760"/>
      <c r="AN120" s="760"/>
      <c r="AO120" s="761"/>
      <c r="AP120" s="761">
        <f t="shared" si="137"/>
        <v>0</v>
      </c>
      <c r="AQ120" s="760"/>
      <c r="AR120" s="760"/>
      <c r="AS120" s="867"/>
      <c r="AT120" s="746">
        <f t="shared" si="138"/>
        <v>0</v>
      </c>
      <c r="AU120" s="743">
        <f t="shared" si="139"/>
        <v>0</v>
      </c>
      <c r="AV120" s="747">
        <f t="shared" si="140"/>
        <v>0</v>
      </c>
      <c r="AW120" s="747" t="e">
        <f t="shared" si="141"/>
        <v>#DIV/0!</v>
      </c>
      <c r="AY120" s="743">
        <f t="shared" si="143"/>
        <v>0</v>
      </c>
    </row>
    <row r="121" spans="1:51">
      <c r="AH121" s="766"/>
      <c r="AI121" s="767"/>
      <c r="AJ121" s="767"/>
      <c r="AK121" s="767"/>
      <c r="AL121" s="767"/>
      <c r="AM121" s="767"/>
      <c r="AN121" s="767"/>
      <c r="AO121" s="767"/>
      <c r="AP121" s="767"/>
      <c r="AQ121" s="743"/>
      <c r="AR121" s="743"/>
      <c r="AS121" s="767"/>
      <c r="AT121" s="766"/>
      <c r="AU121" s="767"/>
      <c r="AV121" s="768"/>
      <c r="AW121" s="768"/>
    </row>
    <row r="122" spans="1:51">
      <c r="A122" s="760" t="s">
        <v>478</v>
      </c>
      <c r="B122" s="774">
        <v>139027.55300000001</v>
      </c>
      <c r="C122" s="759" t="s">
        <v>85</v>
      </c>
      <c r="D122" s="760"/>
      <c r="E122" s="760"/>
      <c r="F122" s="760"/>
      <c r="G122" s="760"/>
      <c r="H122" s="760"/>
      <c r="I122" s="760"/>
      <c r="J122" s="760"/>
      <c r="K122" s="760"/>
      <c r="L122" s="760"/>
      <c r="M122" s="760"/>
      <c r="N122" s="760"/>
      <c r="O122" s="760"/>
      <c r="P122" s="760"/>
      <c r="Q122" s="760"/>
      <c r="R122" s="760"/>
      <c r="S122" s="760"/>
      <c r="T122" s="760"/>
      <c r="U122" s="760"/>
      <c r="V122" s="760"/>
      <c r="W122" s="760"/>
      <c r="X122" s="760"/>
      <c r="Y122" s="760"/>
      <c r="Z122" s="760"/>
      <c r="AA122" s="760"/>
      <c r="AB122" s="760">
        <v>0</v>
      </c>
      <c r="AC122" s="760">
        <v>0</v>
      </c>
      <c r="AD122" s="760"/>
      <c r="AE122" s="760">
        <v>0</v>
      </c>
      <c r="AF122" s="760"/>
      <c r="AG122" s="761"/>
      <c r="AH122" s="762">
        <f>P122</f>
        <v>0</v>
      </c>
      <c r="AI122" s="760">
        <f>S122</f>
        <v>0</v>
      </c>
      <c r="AJ122" s="760"/>
      <c r="AK122" s="760"/>
      <c r="AL122" s="760">
        <f>T122</f>
        <v>0</v>
      </c>
      <c r="AM122" s="760"/>
      <c r="AN122" s="760"/>
      <c r="AO122" s="761"/>
      <c r="AP122" s="761">
        <f>L122</f>
        <v>0</v>
      </c>
      <c r="AQ122" s="760">
        <f>O122</f>
        <v>0</v>
      </c>
      <c r="AR122" s="760"/>
      <c r="AS122" s="867"/>
      <c r="AT122" s="765">
        <f>SUM(AH122:AI122)</f>
        <v>0</v>
      </c>
      <c r="AU122" s="760">
        <f>SUM(AL122:AM122)</f>
        <v>0</v>
      </c>
      <c r="AV122" s="764">
        <f>SUM(AP122:AQ122)</f>
        <v>0</v>
      </c>
      <c r="AW122" s="764">
        <f>SUM(D122:AG122)</f>
        <v>0</v>
      </c>
      <c r="AY122" s="731">
        <f>SUM(AT122:AV122)</f>
        <v>0</v>
      </c>
    </row>
    <row r="123" spans="1:51">
      <c r="A123" s="742" t="s">
        <v>460</v>
      </c>
      <c r="B123" s="760"/>
      <c r="C123" s="759"/>
      <c r="D123" s="743">
        <f>IF(D122=0,0,D$18)</f>
        <v>0</v>
      </c>
      <c r="E123" s="743">
        <f>IF(E122=0,0,E$18)</f>
        <v>0</v>
      </c>
      <c r="F123" s="743">
        <f>IF(F122=0,0,F$18)</f>
        <v>0</v>
      </c>
      <c r="G123" s="743">
        <f>IF(G122=0,0,G$18)</f>
        <v>0</v>
      </c>
      <c r="H123" s="743">
        <f>IF(H122=0,0,H$18)</f>
        <v>0</v>
      </c>
      <c r="I123" s="743">
        <f t="shared" ref="I123:AG123" si="149">IF(I122=0,0,I$18)</f>
        <v>0</v>
      </c>
      <c r="J123" s="743">
        <f t="shared" si="149"/>
        <v>0</v>
      </c>
      <c r="K123" s="743">
        <f t="shared" si="149"/>
        <v>0</v>
      </c>
      <c r="L123" s="743">
        <f t="shared" si="149"/>
        <v>0</v>
      </c>
      <c r="M123" s="743">
        <f t="shared" si="149"/>
        <v>0</v>
      </c>
      <c r="N123" s="743">
        <f t="shared" si="149"/>
        <v>0</v>
      </c>
      <c r="O123" s="743">
        <f t="shared" si="149"/>
        <v>0</v>
      </c>
      <c r="P123" s="743">
        <f t="shared" si="149"/>
        <v>0</v>
      </c>
      <c r="Q123" s="743">
        <f t="shared" si="149"/>
        <v>0</v>
      </c>
      <c r="R123" s="743">
        <f t="shared" si="149"/>
        <v>0</v>
      </c>
      <c r="S123" s="743">
        <f t="shared" si="149"/>
        <v>0</v>
      </c>
      <c r="T123" s="743">
        <f t="shared" si="149"/>
        <v>0</v>
      </c>
      <c r="U123" s="743">
        <f t="shared" si="149"/>
        <v>0</v>
      </c>
      <c r="V123" s="743">
        <f t="shared" si="149"/>
        <v>0</v>
      </c>
      <c r="W123" s="743">
        <f t="shared" si="149"/>
        <v>0</v>
      </c>
      <c r="X123" s="743">
        <f t="shared" si="149"/>
        <v>0</v>
      </c>
      <c r="Y123" s="743">
        <f t="shared" si="149"/>
        <v>0</v>
      </c>
      <c r="Z123" s="743">
        <f t="shared" si="149"/>
        <v>0</v>
      </c>
      <c r="AA123" s="743">
        <f t="shared" si="149"/>
        <v>0</v>
      </c>
      <c r="AB123" s="743">
        <f t="shared" si="149"/>
        <v>0</v>
      </c>
      <c r="AC123" s="743">
        <f t="shared" si="149"/>
        <v>0</v>
      </c>
      <c r="AD123" s="743">
        <f t="shared" si="149"/>
        <v>0</v>
      </c>
      <c r="AE123" s="743">
        <f t="shared" si="149"/>
        <v>0</v>
      </c>
      <c r="AF123" s="743">
        <f t="shared" si="149"/>
        <v>0</v>
      </c>
      <c r="AG123" s="744">
        <f t="shared" si="149"/>
        <v>0</v>
      </c>
      <c r="AH123" s="762">
        <f t="shared" ref="AH123:AH129" si="150">P123</f>
        <v>0</v>
      </c>
      <c r="AI123" s="760">
        <f t="shared" ref="AI123:AI129" si="151">S123</f>
        <v>0</v>
      </c>
      <c r="AJ123" s="760"/>
      <c r="AK123" s="760"/>
      <c r="AL123" s="760">
        <f t="shared" ref="AL123:AL129" si="152">T123</f>
        <v>0</v>
      </c>
      <c r="AM123" s="760"/>
      <c r="AN123" s="760"/>
      <c r="AO123" s="761"/>
      <c r="AP123" s="761">
        <f t="shared" ref="AP123:AP129" si="153">L123</f>
        <v>0</v>
      </c>
      <c r="AQ123" s="760">
        <f t="shared" ref="AQ123:AQ129" si="154">O123</f>
        <v>0</v>
      </c>
      <c r="AR123" s="760"/>
      <c r="AS123" s="867"/>
      <c r="AT123" s="746">
        <f t="shared" ref="AT123:AT129" si="155">IF(AT$122=0,0,SUMPRODUCT(AH$122:AI$122,AH123:AI123)/AT$122)</f>
        <v>0</v>
      </c>
      <c r="AU123" s="743">
        <f t="shared" ref="AU123:AU129" si="156">IF(AU$122=0,0,SUMPRODUCT(AL$122:AM$122,AL123:AM123)/AU$122)</f>
        <v>0</v>
      </c>
      <c r="AV123" s="747">
        <f t="shared" ref="AV123:AV129" si="157">IF(AV$122=0,0,SUMPRODUCT(AP$122:AQ$122,AP123:AQ123)/AV$122)</f>
        <v>0</v>
      </c>
      <c r="AW123" s="747" t="e">
        <f t="shared" ref="AW123:AW129" si="158">SUMPRODUCT(D$122:AG$122,D123:AG123)/AW$122</f>
        <v>#DIV/0!</v>
      </c>
      <c r="AY123" s="743">
        <f>IF(AY$122=0,0,SUMPRODUCT(AT$122:AV$122,AT123:AV123)/AY$122)</f>
        <v>0</v>
      </c>
    </row>
    <row r="124" spans="1:51">
      <c r="A124" s="742" t="s">
        <v>462</v>
      </c>
      <c r="B124" s="743"/>
      <c r="C124" s="742"/>
      <c r="D124" s="743">
        <f t="shared" ref="D124:AG124" si="159">IF(D122=0,0,D$19)</f>
        <v>0</v>
      </c>
      <c r="E124" s="743">
        <f t="shared" si="159"/>
        <v>0</v>
      </c>
      <c r="F124" s="743">
        <f t="shared" si="159"/>
        <v>0</v>
      </c>
      <c r="G124" s="743">
        <f t="shared" si="159"/>
        <v>0</v>
      </c>
      <c r="H124" s="743">
        <f t="shared" si="159"/>
        <v>0</v>
      </c>
      <c r="I124" s="743">
        <f t="shared" si="159"/>
        <v>0</v>
      </c>
      <c r="J124" s="743">
        <f t="shared" si="159"/>
        <v>0</v>
      </c>
      <c r="K124" s="743">
        <f t="shared" si="159"/>
        <v>0</v>
      </c>
      <c r="L124" s="743">
        <f t="shared" si="159"/>
        <v>0</v>
      </c>
      <c r="M124" s="743">
        <f t="shared" si="159"/>
        <v>0</v>
      </c>
      <c r="N124" s="743">
        <f t="shared" si="159"/>
        <v>0</v>
      </c>
      <c r="O124" s="743">
        <f t="shared" si="159"/>
        <v>0</v>
      </c>
      <c r="P124" s="743">
        <f t="shared" si="159"/>
        <v>0</v>
      </c>
      <c r="Q124" s="743">
        <f t="shared" si="159"/>
        <v>0</v>
      </c>
      <c r="R124" s="743">
        <f t="shared" si="159"/>
        <v>0</v>
      </c>
      <c r="S124" s="743">
        <f t="shared" si="159"/>
        <v>0</v>
      </c>
      <c r="T124" s="743">
        <f t="shared" si="159"/>
        <v>0</v>
      </c>
      <c r="U124" s="743">
        <f t="shared" si="159"/>
        <v>0</v>
      </c>
      <c r="V124" s="743">
        <f t="shared" si="159"/>
        <v>0</v>
      </c>
      <c r="W124" s="743">
        <f t="shared" si="159"/>
        <v>0</v>
      </c>
      <c r="X124" s="743">
        <f t="shared" si="159"/>
        <v>0</v>
      </c>
      <c r="Y124" s="743">
        <f t="shared" si="159"/>
        <v>0</v>
      </c>
      <c r="Z124" s="743">
        <f t="shared" si="159"/>
        <v>0</v>
      </c>
      <c r="AA124" s="743">
        <f t="shared" si="159"/>
        <v>0</v>
      </c>
      <c r="AB124" s="743">
        <f t="shared" si="159"/>
        <v>0</v>
      </c>
      <c r="AC124" s="743">
        <f t="shared" si="159"/>
        <v>0</v>
      </c>
      <c r="AD124" s="743">
        <f t="shared" si="159"/>
        <v>0</v>
      </c>
      <c r="AE124" s="743">
        <f t="shared" si="159"/>
        <v>0</v>
      </c>
      <c r="AF124" s="743">
        <f t="shared" si="159"/>
        <v>0</v>
      </c>
      <c r="AG124" s="744">
        <f t="shared" si="159"/>
        <v>0</v>
      </c>
      <c r="AH124" s="762">
        <f t="shared" si="150"/>
        <v>0</v>
      </c>
      <c r="AI124" s="760">
        <f t="shared" si="151"/>
        <v>0</v>
      </c>
      <c r="AJ124" s="760"/>
      <c r="AK124" s="760"/>
      <c r="AL124" s="760">
        <f t="shared" si="152"/>
        <v>0</v>
      </c>
      <c r="AM124" s="760"/>
      <c r="AN124" s="760"/>
      <c r="AO124" s="761"/>
      <c r="AP124" s="761">
        <f t="shared" si="153"/>
        <v>0</v>
      </c>
      <c r="AQ124" s="760">
        <f t="shared" si="154"/>
        <v>0</v>
      </c>
      <c r="AR124" s="760"/>
      <c r="AS124" s="867"/>
      <c r="AT124" s="746">
        <f t="shared" si="155"/>
        <v>0</v>
      </c>
      <c r="AU124" s="743">
        <f t="shared" si="156"/>
        <v>0</v>
      </c>
      <c r="AV124" s="747">
        <f t="shared" si="157"/>
        <v>0</v>
      </c>
      <c r="AW124" s="747" t="e">
        <f t="shared" si="158"/>
        <v>#DIV/0!</v>
      </c>
      <c r="AY124" s="743">
        <f t="shared" ref="AY124:AY129" si="160">IF(AY$122=0,0,SUMPRODUCT(AT$122:AV$122,AT124:AV124)/AY$122)</f>
        <v>0</v>
      </c>
    </row>
    <row r="125" spans="1:51">
      <c r="A125" s="742" t="s">
        <v>420</v>
      </c>
      <c r="B125" s="743"/>
      <c r="C125" s="742"/>
      <c r="D125" s="743">
        <f t="shared" ref="D125:AG125" si="161">IF(D122=0,0,D$20)</f>
        <v>0</v>
      </c>
      <c r="E125" s="743">
        <f t="shared" si="161"/>
        <v>0</v>
      </c>
      <c r="F125" s="743">
        <f t="shared" si="161"/>
        <v>0</v>
      </c>
      <c r="G125" s="743">
        <f t="shared" si="161"/>
        <v>0</v>
      </c>
      <c r="H125" s="743">
        <f t="shared" si="161"/>
        <v>0</v>
      </c>
      <c r="I125" s="743">
        <f t="shared" si="161"/>
        <v>0</v>
      </c>
      <c r="J125" s="743">
        <f t="shared" si="161"/>
        <v>0</v>
      </c>
      <c r="K125" s="743">
        <f t="shared" si="161"/>
        <v>0</v>
      </c>
      <c r="L125" s="743">
        <f t="shared" si="161"/>
        <v>0</v>
      </c>
      <c r="M125" s="743">
        <f t="shared" si="161"/>
        <v>0</v>
      </c>
      <c r="N125" s="743">
        <f t="shared" si="161"/>
        <v>0</v>
      </c>
      <c r="O125" s="743">
        <f t="shared" si="161"/>
        <v>0</v>
      </c>
      <c r="P125" s="743">
        <f t="shared" si="161"/>
        <v>0</v>
      </c>
      <c r="Q125" s="743">
        <f t="shared" si="161"/>
        <v>0</v>
      </c>
      <c r="R125" s="743">
        <f t="shared" si="161"/>
        <v>0</v>
      </c>
      <c r="S125" s="743">
        <f t="shared" si="161"/>
        <v>0</v>
      </c>
      <c r="T125" s="743">
        <f t="shared" si="161"/>
        <v>0</v>
      </c>
      <c r="U125" s="743">
        <f t="shared" si="161"/>
        <v>0</v>
      </c>
      <c r="V125" s="743">
        <f t="shared" si="161"/>
        <v>0</v>
      </c>
      <c r="W125" s="743">
        <f t="shared" si="161"/>
        <v>0</v>
      </c>
      <c r="X125" s="743">
        <f t="shared" si="161"/>
        <v>0</v>
      </c>
      <c r="Y125" s="743">
        <f t="shared" si="161"/>
        <v>0</v>
      </c>
      <c r="Z125" s="743">
        <f t="shared" si="161"/>
        <v>0</v>
      </c>
      <c r="AA125" s="743">
        <f t="shared" si="161"/>
        <v>0</v>
      </c>
      <c r="AB125" s="743">
        <f t="shared" si="161"/>
        <v>0</v>
      </c>
      <c r="AC125" s="743">
        <f t="shared" si="161"/>
        <v>0</v>
      </c>
      <c r="AD125" s="743">
        <f t="shared" si="161"/>
        <v>0</v>
      </c>
      <c r="AE125" s="743">
        <f t="shared" si="161"/>
        <v>0</v>
      </c>
      <c r="AF125" s="743">
        <f t="shared" si="161"/>
        <v>0</v>
      </c>
      <c r="AG125" s="744">
        <f t="shared" si="161"/>
        <v>0</v>
      </c>
      <c r="AH125" s="762">
        <f t="shared" si="150"/>
        <v>0</v>
      </c>
      <c r="AI125" s="760">
        <f t="shared" si="151"/>
        <v>0</v>
      </c>
      <c r="AJ125" s="760"/>
      <c r="AK125" s="760"/>
      <c r="AL125" s="760">
        <f t="shared" si="152"/>
        <v>0</v>
      </c>
      <c r="AM125" s="760"/>
      <c r="AN125" s="760"/>
      <c r="AO125" s="761"/>
      <c r="AP125" s="761">
        <f t="shared" si="153"/>
        <v>0</v>
      </c>
      <c r="AQ125" s="760">
        <f t="shared" si="154"/>
        <v>0</v>
      </c>
      <c r="AR125" s="760"/>
      <c r="AS125" s="867"/>
      <c r="AT125" s="746">
        <f t="shared" si="155"/>
        <v>0</v>
      </c>
      <c r="AU125" s="743">
        <f t="shared" si="156"/>
        <v>0</v>
      </c>
      <c r="AV125" s="747">
        <f t="shared" si="157"/>
        <v>0</v>
      </c>
      <c r="AW125" s="747" t="e">
        <f t="shared" si="158"/>
        <v>#DIV/0!</v>
      </c>
      <c r="AY125" s="743">
        <f t="shared" si="160"/>
        <v>0</v>
      </c>
    </row>
    <row r="126" spans="1:51">
      <c r="A126" s="742" t="s">
        <v>464</v>
      </c>
      <c r="B126" s="743"/>
      <c r="C126" s="742"/>
      <c r="D126" s="743">
        <f t="shared" ref="D126:AG126" si="162">IF(D122=0,0,D$21)</f>
        <v>0</v>
      </c>
      <c r="E126" s="743">
        <f t="shared" si="162"/>
        <v>0</v>
      </c>
      <c r="F126" s="743">
        <f t="shared" si="162"/>
        <v>0</v>
      </c>
      <c r="G126" s="743">
        <f t="shared" si="162"/>
        <v>0</v>
      </c>
      <c r="H126" s="743">
        <f t="shared" si="162"/>
        <v>0</v>
      </c>
      <c r="I126" s="743">
        <f t="shared" si="162"/>
        <v>0</v>
      </c>
      <c r="J126" s="743">
        <f t="shared" si="162"/>
        <v>0</v>
      </c>
      <c r="K126" s="743">
        <f t="shared" si="162"/>
        <v>0</v>
      </c>
      <c r="L126" s="743">
        <f t="shared" si="162"/>
        <v>0</v>
      </c>
      <c r="M126" s="743">
        <f t="shared" si="162"/>
        <v>0</v>
      </c>
      <c r="N126" s="743">
        <f t="shared" si="162"/>
        <v>0</v>
      </c>
      <c r="O126" s="743">
        <f t="shared" si="162"/>
        <v>0</v>
      </c>
      <c r="P126" s="743">
        <f t="shared" si="162"/>
        <v>0</v>
      </c>
      <c r="Q126" s="743">
        <f t="shared" si="162"/>
        <v>0</v>
      </c>
      <c r="R126" s="743">
        <f t="shared" si="162"/>
        <v>0</v>
      </c>
      <c r="S126" s="743">
        <f t="shared" si="162"/>
        <v>0</v>
      </c>
      <c r="T126" s="743">
        <f t="shared" si="162"/>
        <v>0</v>
      </c>
      <c r="U126" s="743">
        <f t="shared" si="162"/>
        <v>0</v>
      </c>
      <c r="V126" s="743">
        <f t="shared" si="162"/>
        <v>0</v>
      </c>
      <c r="W126" s="743">
        <f t="shared" si="162"/>
        <v>0</v>
      </c>
      <c r="X126" s="743">
        <f t="shared" si="162"/>
        <v>0</v>
      </c>
      <c r="Y126" s="743">
        <f t="shared" si="162"/>
        <v>0</v>
      </c>
      <c r="Z126" s="743">
        <f t="shared" si="162"/>
        <v>0</v>
      </c>
      <c r="AA126" s="743">
        <f t="shared" si="162"/>
        <v>0</v>
      </c>
      <c r="AB126" s="743">
        <f t="shared" si="162"/>
        <v>0</v>
      </c>
      <c r="AC126" s="743">
        <f t="shared" si="162"/>
        <v>0</v>
      </c>
      <c r="AD126" s="743">
        <f t="shared" si="162"/>
        <v>0</v>
      </c>
      <c r="AE126" s="743">
        <f t="shared" si="162"/>
        <v>0</v>
      </c>
      <c r="AF126" s="743">
        <f t="shared" si="162"/>
        <v>0</v>
      </c>
      <c r="AG126" s="744">
        <f t="shared" si="162"/>
        <v>0</v>
      </c>
      <c r="AH126" s="762">
        <f t="shared" si="150"/>
        <v>0</v>
      </c>
      <c r="AI126" s="760">
        <f t="shared" si="151"/>
        <v>0</v>
      </c>
      <c r="AJ126" s="760"/>
      <c r="AK126" s="760"/>
      <c r="AL126" s="760">
        <f t="shared" si="152"/>
        <v>0</v>
      </c>
      <c r="AM126" s="760"/>
      <c r="AN126" s="760"/>
      <c r="AO126" s="761"/>
      <c r="AP126" s="761">
        <f t="shared" si="153"/>
        <v>0</v>
      </c>
      <c r="AQ126" s="760">
        <f t="shared" si="154"/>
        <v>0</v>
      </c>
      <c r="AR126" s="760"/>
      <c r="AS126" s="867"/>
      <c r="AT126" s="746">
        <f t="shared" si="155"/>
        <v>0</v>
      </c>
      <c r="AU126" s="743">
        <f t="shared" si="156"/>
        <v>0</v>
      </c>
      <c r="AV126" s="747">
        <f t="shared" si="157"/>
        <v>0</v>
      </c>
      <c r="AW126" s="747" t="e">
        <f t="shared" si="158"/>
        <v>#DIV/0!</v>
      </c>
      <c r="AY126" s="743">
        <f t="shared" si="160"/>
        <v>0</v>
      </c>
    </row>
    <row r="127" spans="1:51">
      <c r="A127" s="742" t="s">
        <v>416</v>
      </c>
      <c r="B127" s="743"/>
      <c r="C127" s="742"/>
      <c r="D127" s="743">
        <f>IF(D122=0,0,D$22)</f>
        <v>0</v>
      </c>
      <c r="E127" s="743">
        <f>IF(E122=0,0,E$22)</f>
        <v>0</v>
      </c>
      <c r="F127" s="743">
        <f>IF(F122=0,0,F$22)</f>
        <v>0</v>
      </c>
      <c r="G127" s="743">
        <f>IF(G122=0,0,G$22)</f>
        <v>0</v>
      </c>
      <c r="H127" s="743">
        <f>IF(H122=0,0,H$22)</f>
        <v>0</v>
      </c>
      <c r="I127" s="743">
        <f t="shared" ref="I127:AG127" si="163">IF(I122=0,0,I$22)</f>
        <v>0</v>
      </c>
      <c r="J127" s="743">
        <f t="shared" si="163"/>
        <v>0</v>
      </c>
      <c r="K127" s="743">
        <f t="shared" si="163"/>
        <v>0</v>
      </c>
      <c r="L127" s="743">
        <f t="shared" si="163"/>
        <v>0</v>
      </c>
      <c r="M127" s="743">
        <f t="shared" si="163"/>
        <v>0</v>
      </c>
      <c r="N127" s="743">
        <f t="shared" si="163"/>
        <v>0</v>
      </c>
      <c r="O127" s="743">
        <f t="shared" si="163"/>
        <v>0</v>
      </c>
      <c r="P127" s="743">
        <f t="shared" si="163"/>
        <v>0</v>
      </c>
      <c r="Q127" s="743">
        <f t="shared" si="163"/>
        <v>0</v>
      </c>
      <c r="R127" s="743">
        <f t="shared" si="163"/>
        <v>0</v>
      </c>
      <c r="S127" s="743">
        <f t="shared" si="163"/>
        <v>0</v>
      </c>
      <c r="T127" s="743">
        <f t="shared" si="163"/>
        <v>0</v>
      </c>
      <c r="U127" s="743">
        <f t="shared" si="163"/>
        <v>0</v>
      </c>
      <c r="V127" s="743">
        <f t="shared" si="163"/>
        <v>0</v>
      </c>
      <c r="W127" s="743">
        <f t="shared" si="163"/>
        <v>0</v>
      </c>
      <c r="X127" s="743">
        <f t="shared" si="163"/>
        <v>0</v>
      </c>
      <c r="Y127" s="743">
        <f t="shared" si="163"/>
        <v>0</v>
      </c>
      <c r="Z127" s="743">
        <f t="shared" si="163"/>
        <v>0</v>
      </c>
      <c r="AA127" s="743">
        <f t="shared" si="163"/>
        <v>0</v>
      </c>
      <c r="AB127" s="743">
        <f t="shared" si="163"/>
        <v>0</v>
      </c>
      <c r="AC127" s="743">
        <f t="shared" si="163"/>
        <v>0</v>
      </c>
      <c r="AD127" s="743">
        <f t="shared" si="163"/>
        <v>0</v>
      </c>
      <c r="AE127" s="743">
        <f t="shared" si="163"/>
        <v>0</v>
      </c>
      <c r="AF127" s="743">
        <f t="shared" si="163"/>
        <v>0</v>
      </c>
      <c r="AG127" s="744">
        <f t="shared" si="163"/>
        <v>0</v>
      </c>
      <c r="AH127" s="762">
        <f t="shared" si="150"/>
        <v>0</v>
      </c>
      <c r="AI127" s="760">
        <f t="shared" si="151"/>
        <v>0</v>
      </c>
      <c r="AJ127" s="760"/>
      <c r="AK127" s="760"/>
      <c r="AL127" s="760">
        <f t="shared" si="152"/>
        <v>0</v>
      </c>
      <c r="AM127" s="760"/>
      <c r="AN127" s="760"/>
      <c r="AO127" s="761"/>
      <c r="AP127" s="761">
        <f t="shared" si="153"/>
        <v>0</v>
      </c>
      <c r="AQ127" s="760">
        <f t="shared" si="154"/>
        <v>0</v>
      </c>
      <c r="AR127" s="760"/>
      <c r="AS127" s="867"/>
      <c r="AT127" s="746">
        <f t="shared" si="155"/>
        <v>0</v>
      </c>
      <c r="AU127" s="743">
        <f t="shared" si="156"/>
        <v>0</v>
      </c>
      <c r="AV127" s="747">
        <f t="shared" si="157"/>
        <v>0</v>
      </c>
      <c r="AW127" s="747" t="e">
        <f t="shared" si="158"/>
        <v>#DIV/0!</v>
      </c>
      <c r="AY127" s="743">
        <f t="shared" si="160"/>
        <v>0</v>
      </c>
    </row>
    <row r="128" spans="1:51">
      <c r="A128" s="742" t="s">
        <v>465</v>
      </c>
      <c r="B128" s="743"/>
      <c r="C128" s="742"/>
      <c r="D128" s="743">
        <f>IF(D122=0,0,D$24)</f>
        <v>0</v>
      </c>
      <c r="E128" s="743">
        <f>IF(E122=0,0,E$24)</f>
        <v>0</v>
      </c>
      <c r="F128" s="743">
        <f>IF(F122=0,0,F$24)</f>
        <v>0</v>
      </c>
      <c r="G128" s="743">
        <f>IF(G122=0,0,G$24)</f>
        <v>0</v>
      </c>
      <c r="H128" s="743">
        <f>IF(H122=0,0,H$24)</f>
        <v>0</v>
      </c>
      <c r="I128" s="743">
        <f t="shared" ref="I128:AG128" si="164">IF(I122=0,0,I$24)</f>
        <v>0</v>
      </c>
      <c r="J128" s="743">
        <f t="shared" si="164"/>
        <v>0</v>
      </c>
      <c r="K128" s="743">
        <f t="shared" si="164"/>
        <v>0</v>
      </c>
      <c r="L128" s="743">
        <f t="shared" si="164"/>
        <v>0</v>
      </c>
      <c r="M128" s="743">
        <f t="shared" si="164"/>
        <v>0</v>
      </c>
      <c r="N128" s="743">
        <f t="shared" si="164"/>
        <v>0</v>
      </c>
      <c r="O128" s="743">
        <f t="shared" si="164"/>
        <v>0</v>
      </c>
      <c r="P128" s="743">
        <f t="shared" si="164"/>
        <v>0</v>
      </c>
      <c r="Q128" s="743">
        <f t="shared" si="164"/>
        <v>0</v>
      </c>
      <c r="R128" s="743">
        <f t="shared" si="164"/>
        <v>0</v>
      </c>
      <c r="S128" s="743">
        <f t="shared" si="164"/>
        <v>0</v>
      </c>
      <c r="T128" s="743">
        <f t="shared" si="164"/>
        <v>0</v>
      </c>
      <c r="U128" s="743">
        <f t="shared" si="164"/>
        <v>0</v>
      </c>
      <c r="V128" s="743">
        <f t="shared" si="164"/>
        <v>0</v>
      </c>
      <c r="W128" s="743">
        <f t="shared" si="164"/>
        <v>0</v>
      </c>
      <c r="X128" s="743">
        <f t="shared" si="164"/>
        <v>0</v>
      </c>
      <c r="Y128" s="743">
        <f t="shared" si="164"/>
        <v>0</v>
      </c>
      <c r="Z128" s="743">
        <f t="shared" si="164"/>
        <v>0</v>
      </c>
      <c r="AA128" s="743">
        <f t="shared" si="164"/>
        <v>0</v>
      </c>
      <c r="AB128" s="743">
        <f t="shared" si="164"/>
        <v>0</v>
      </c>
      <c r="AC128" s="743">
        <f t="shared" si="164"/>
        <v>0</v>
      </c>
      <c r="AD128" s="743">
        <f t="shared" si="164"/>
        <v>0</v>
      </c>
      <c r="AE128" s="743">
        <f t="shared" si="164"/>
        <v>0</v>
      </c>
      <c r="AF128" s="743">
        <f t="shared" si="164"/>
        <v>0</v>
      </c>
      <c r="AG128" s="744">
        <f t="shared" si="164"/>
        <v>0</v>
      </c>
      <c r="AH128" s="762">
        <f t="shared" si="150"/>
        <v>0</v>
      </c>
      <c r="AI128" s="760">
        <f t="shared" si="151"/>
        <v>0</v>
      </c>
      <c r="AJ128" s="760"/>
      <c r="AK128" s="760"/>
      <c r="AL128" s="760">
        <f t="shared" si="152"/>
        <v>0</v>
      </c>
      <c r="AM128" s="760"/>
      <c r="AN128" s="760"/>
      <c r="AO128" s="761"/>
      <c r="AP128" s="761">
        <f t="shared" si="153"/>
        <v>0</v>
      </c>
      <c r="AQ128" s="760">
        <f t="shared" si="154"/>
        <v>0</v>
      </c>
      <c r="AR128" s="760"/>
      <c r="AS128" s="867"/>
      <c r="AT128" s="746">
        <f t="shared" si="155"/>
        <v>0</v>
      </c>
      <c r="AU128" s="743">
        <f t="shared" si="156"/>
        <v>0</v>
      </c>
      <c r="AV128" s="747">
        <f t="shared" si="157"/>
        <v>0</v>
      </c>
      <c r="AW128" s="747" t="e">
        <f t="shared" si="158"/>
        <v>#DIV/0!</v>
      </c>
      <c r="AY128" s="743">
        <f t="shared" si="160"/>
        <v>0</v>
      </c>
    </row>
    <row r="129" spans="1:51">
      <c r="A129" s="742" t="s">
        <v>419</v>
      </c>
      <c r="B129" s="743"/>
      <c r="C129" s="742"/>
      <c r="D129" s="743">
        <f>IF(D122=0,0,D$23)</f>
        <v>0</v>
      </c>
      <c r="E129" s="743">
        <f>IF(E122=0,0,E$23)</f>
        <v>0</v>
      </c>
      <c r="F129" s="743">
        <f>IF(F122=0,0,F$23)</f>
        <v>0</v>
      </c>
      <c r="G129" s="743">
        <f>IF(G122=0,0,G$23)</f>
        <v>0</v>
      </c>
      <c r="H129" s="743">
        <f>IF(H122=0,0,H$23)</f>
        <v>0</v>
      </c>
      <c r="I129" s="743">
        <f t="shared" ref="I129:AG129" si="165">IF(I122=0,0,I$23)</f>
        <v>0</v>
      </c>
      <c r="J129" s="743">
        <f t="shared" si="165"/>
        <v>0</v>
      </c>
      <c r="K129" s="743">
        <f t="shared" si="165"/>
        <v>0</v>
      </c>
      <c r="L129" s="743">
        <f t="shared" si="165"/>
        <v>0</v>
      </c>
      <c r="M129" s="743">
        <f t="shared" si="165"/>
        <v>0</v>
      </c>
      <c r="N129" s="743">
        <f t="shared" si="165"/>
        <v>0</v>
      </c>
      <c r="O129" s="743">
        <f t="shared" si="165"/>
        <v>0</v>
      </c>
      <c r="P129" s="743">
        <f t="shared" si="165"/>
        <v>0</v>
      </c>
      <c r="Q129" s="743">
        <f t="shared" si="165"/>
        <v>0</v>
      </c>
      <c r="R129" s="743">
        <f t="shared" si="165"/>
        <v>0</v>
      </c>
      <c r="S129" s="743">
        <f t="shared" si="165"/>
        <v>0</v>
      </c>
      <c r="T129" s="743">
        <f t="shared" si="165"/>
        <v>0</v>
      </c>
      <c r="U129" s="743">
        <f t="shared" si="165"/>
        <v>0</v>
      </c>
      <c r="V129" s="743">
        <f t="shared" si="165"/>
        <v>0</v>
      </c>
      <c r="W129" s="743">
        <f t="shared" si="165"/>
        <v>0</v>
      </c>
      <c r="X129" s="743">
        <f t="shared" si="165"/>
        <v>0</v>
      </c>
      <c r="Y129" s="743">
        <f t="shared" si="165"/>
        <v>0</v>
      </c>
      <c r="Z129" s="743">
        <f t="shared" si="165"/>
        <v>0</v>
      </c>
      <c r="AA129" s="743">
        <f t="shared" si="165"/>
        <v>0</v>
      </c>
      <c r="AB129" s="743">
        <f t="shared" si="165"/>
        <v>0</v>
      </c>
      <c r="AC129" s="743">
        <f t="shared" si="165"/>
        <v>0</v>
      </c>
      <c r="AD129" s="743">
        <f t="shared" si="165"/>
        <v>0</v>
      </c>
      <c r="AE129" s="743">
        <f t="shared" si="165"/>
        <v>0</v>
      </c>
      <c r="AF129" s="743">
        <f t="shared" si="165"/>
        <v>0</v>
      </c>
      <c r="AG129" s="744">
        <f t="shared" si="165"/>
        <v>0</v>
      </c>
      <c r="AH129" s="762">
        <f t="shared" si="150"/>
        <v>0</v>
      </c>
      <c r="AI129" s="760">
        <f t="shared" si="151"/>
        <v>0</v>
      </c>
      <c r="AJ129" s="760"/>
      <c r="AK129" s="760"/>
      <c r="AL129" s="760">
        <f t="shared" si="152"/>
        <v>0</v>
      </c>
      <c r="AM129" s="760"/>
      <c r="AN129" s="760"/>
      <c r="AO129" s="761"/>
      <c r="AP129" s="761">
        <f t="shared" si="153"/>
        <v>0</v>
      </c>
      <c r="AQ129" s="760">
        <f t="shared" si="154"/>
        <v>0</v>
      </c>
      <c r="AR129" s="760"/>
      <c r="AS129" s="867"/>
      <c r="AT129" s="746">
        <f t="shared" si="155"/>
        <v>0</v>
      </c>
      <c r="AU129" s="743">
        <f t="shared" si="156"/>
        <v>0</v>
      </c>
      <c r="AV129" s="747">
        <f t="shared" si="157"/>
        <v>0</v>
      </c>
      <c r="AW129" s="747" t="e">
        <f t="shared" si="158"/>
        <v>#DIV/0!</v>
      </c>
      <c r="AY129" s="743">
        <f t="shared" si="160"/>
        <v>0</v>
      </c>
    </row>
    <row r="130" spans="1:51">
      <c r="AH130" s="766"/>
      <c r="AI130" s="767"/>
      <c r="AJ130" s="767"/>
      <c r="AK130" s="767"/>
      <c r="AL130" s="767"/>
      <c r="AM130" s="767"/>
      <c r="AN130" s="767"/>
      <c r="AO130" s="767"/>
      <c r="AP130" s="767"/>
      <c r="AQ130" s="767"/>
      <c r="AR130" s="767"/>
      <c r="AS130" s="767"/>
      <c r="AT130" s="766"/>
      <c r="AU130" s="767"/>
      <c r="AV130" s="768"/>
      <c r="AW130" s="768"/>
    </row>
    <row r="131" spans="1:51">
      <c r="A131" s="760" t="s">
        <v>479</v>
      </c>
      <c r="B131" s="760">
        <v>150000</v>
      </c>
      <c r="C131" s="759" t="s">
        <v>85</v>
      </c>
      <c r="D131" s="760"/>
      <c r="E131" s="760"/>
      <c r="F131" s="760"/>
      <c r="G131" s="760"/>
      <c r="H131" s="760"/>
      <c r="I131" s="760"/>
      <c r="J131" s="878">
        <f>J17/2</f>
        <v>13949.28076171875</v>
      </c>
      <c r="K131" s="760"/>
      <c r="L131" s="760">
        <f>L17/2</f>
        <v>11278.152574539185</v>
      </c>
      <c r="M131" s="878">
        <f>M17/2</f>
        <v>6425.9957885742188</v>
      </c>
      <c r="N131" s="760"/>
      <c r="O131" s="760">
        <f>(42334.6664663462-L131)/2</f>
        <v>15528.256945903508</v>
      </c>
      <c r="P131" s="878">
        <f>P17/2</f>
        <v>14377.851318359375</v>
      </c>
      <c r="Q131" s="879">
        <f>Q17/2</f>
        <v>6332.1442260742188</v>
      </c>
      <c r="R131" s="760">
        <f>150000-J131-L131-M131-O131-P131-Q131-S131-T131-V131-W131</f>
        <v>18065.026740543643</v>
      </c>
      <c r="S131" s="878">
        <f>S17*3/4</f>
        <v>32478.421142578125</v>
      </c>
      <c r="T131" s="879">
        <f>T17*2/4</f>
        <v>7932.6548767089844</v>
      </c>
      <c r="U131" s="760"/>
      <c r="V131" s="878">
        <f>V17/5</f>
        <v>19158.864062500001</v>
      </c>
      <c r="W131" s="879">
        <f>W17/5</f>
        <v>4473.3515625</v>
      </c>
      <c r="X131" s="760"/>
      <c r="Y131" s="760"/>
      <c r="Z131" s="760"/>
      <c r="AA131" s="760">
        <v>0</v>
      </c>
      <c r="AB131" s="760"/>
      <c r="AC131" s="760">
        <v>0</v>
      </c>
      <c r="AD131" s="760"/>
      <c r="AE131" s="760">
        <v>0</v>
      </c>
      <c r="AF131" s="760">
        <v>0</v>
      </c>
      <c r="AG131" s="761"/>
      <c r="AH131" s="762">
        <f>J131+M131</f>
        <v>20375.276550292969</v>
      </c>
      <c r="AI131" s="760">
        <f>P131</f>
        <v>14377.851318359375</v>
      </c>
      <c r="AJ131" s="760">
        <f>S131</f>
        <v>32478.421142578125</v>
      </c>
      <c r="AK131" s="760">
        <f>V131</f>
        <v>19158.864062500001</v>
      </c>
      <c r="AL131" s="760">
        <f>Q131</f>
        <v>6332.1442260742188</v>
      </c>
      <c r="AM131" s="760">
        <f>T131</f>
        <v>7932.6548767089844</v>
      </c>
      <c r="AN131" s="760">
        <f>W131</f>
        <v>4473.3515625</v>
      </c>
      <c r="AO131" s="761"/>
      <c r="AP131" s="761">
        <f>L131</f>
        <v>11278.152574539185</v>
      </c>
      <c r="AQ131" s="760">
        <f>O131</f>
        <v>15528.256945903508</v>
      </c>
      <c r="AR131" s="760">
        <f>R131</f>
        <v>18065.026740543643</v>
      </c>
      <c r="AS131" s="867"/>
      <c r="AT131" s="765">
        <f>SUM(AH131:AK131)</f>
        <v>86390.413073730466</v>
      </c>
      <c r="AU131" s="760">
        <f>SUM(AL131:AO131)</f>
        <v>18738.150665283203</v>
      </c>
      <c r="AV131" s="764">
        <f>SUM(AP131:AS131)</f>
        <v>44871.436260986331</v>
      </c>
      <c r="AW131" s="764">
        <f>SUM(D131:AG131)</f>
        <v>150000</v>
      </c>
      <c r="AY131" s="731">
        <f>SUM(AT131:AV131)</f>
        <v>150000</v>
      </c>
    </row>
    <row r="132" spans="1:51">
      <c r="A132" s="742" t="s">
        <v>460</v>
      </c>
      <c r="B132" s="760"/>
      <c r="C132" s="759"/>
      <c r="D132" s="743">
        <f>IF(D131=0,0,D$18)</f>
        <v>0</v>
      </c>
      <c r="E132" s="743">
        <f>IF(E131=0,0,E$18)</f>
        <v>0</v>
      </c>
      <c r="F132" s="743">
        <f>IF(F131=0,0,F$18)</f>
        <v>0</v>
      </c>
      <c r="G132" s="743">
        <f>IF(G131=0,0,G$18)</f>
        <v>0</v>
      </c>
      <c r="H132" s="743">
        <f>IF(H131=0,0,H$18)</f>
        <v>0</v>
      </c>
      <c r="I132" s="743">
        <f t="shared" ref="I132:AG132" si="166">IF(I131=0,0,I$18)</f>
        <v>0</v>
      </c>
      <c r="J132" s="743">
        <f t="shared" si="166"/>
        <v>4816.59423828125</v>
      </c>
      <c r="K132" s="743">
        <f t="shared" si="166"/>
        <v>0</v>
      </c>
      <c r="L132" s="743">
        <f t="shared" si="166"/>
        <v>4563.821044921875</v>
      </c>
      <c r="M132" s="743">
        <f t="shared" si="166"/>
        <v>4801.04931640625</v>
      </c>
      <c r="N132" s="743">
        <f t="shared" si="166"/>
        <v>0</v>
      </c>
      <c r="O132" s="743">
        <f t="shared" si="166"/>
        <v>4807.71826171875</v>
      </c>
      <c r="P132" s="743">
        <f t="shared" si="166"/>
        <v>4635.0439453125</v>
      </c>
      <c r="Q132" s="743">
        <f t="shared" si="166"/>
        <v>4426.820068359375</v>
      </c>
      <c r="R132" s="743">
        <f t="shared" si="166"/>
        <v>4582.828125</v>
      </c>
      <c r="S132" s="743">
        <f t="shared" si="166"/>
        <v>4572.470703125</v>
      </c>
      <c r="T132" s="743">
        <f t="shared" si="166"/>
        <v>4405.77734375</v>
      </c>
      <c r="U132" s="743">
        <f t="shared" si="166"/>
        <v>0</v>
      </c>
      <c r="V132" s="743">
        <f t="shared" si="166"/>
        <v>4385.88232421875</v>
      </c>
      <c r="W132" s="743">
        <f t="shared" si="166"/>
        <v>4444.80810546875</v>
      </c>
      <c r="X132" s="743">
        <f t="shared" si="166"/>
        <v>0</v>
      </c>
      <c r="Y132" s="743">
        <f t="shared" si="166"/>
        <v>0</v>
      </c>
      <c r="Z132" s="743">
        <f t="shared" si="166"/>
        <v>0</v>
      </c>
      <c r="AA132" s="743">
        <f t="shared" si="166"/>
        <v>0</v>
      </c>
      <c r="AB132" s="743">
        <f t="shared" si="166"/>
        <v>0</v>
      </c>
      <c r="AC132" s="743">
        <f t="shared" si="166"/>
        <v>0</v>
      </c>
      <c r="AD132" s="743">
        <f t="shared" si="166"/>
        <v>0</v>
      </c>
      <c r="AE132" s="743">
        <f t="shared" si="166"/>
        <v>0</v>
      </c>
      <c r="AF132" s="743">
        <f t="shared" si="166"/>
        <v>0</v>
      </c>
      <c r="AG132" s="744">
        <f t="shared" si="166"/>
        <v>0</v>
      </c>
      <c r="AH132" s="762">
        <f t="shared" ref="AH132:AH138" si="167">J132</f>
        <v>4816.59423828125</v>
      </c>
      <c r="AI132" s="760">
        <f t="shared" ref="AI132:AI138" si="168">P132</f>
        <v>4635.0439453125</v>
      </c>
      <c r="AJ132" s="760">
        <f t="shared" ref="AJ132:AJ138" si="169">S132</f>
        <v>4572.470703125</v>
      </c>
      <c r="AK132" s="760">
        <f t="shared" ref="AK132:AK138" si="170">V132</f>
        <v>4385.88232421875</v>
      </c>
      <c r="AL132" s="760">
        <f t="shared" ref="AL132:AL138" si="171">Q132</f>
        <v>4426.820068359375</v>
      </c>
      <c r="AM132" s="760">
        <f t="shared" ref="AM132:AM138" si="172">T132</f>
        <v>4405.77734375</v>
      </c>
      <c r="AN132" s="760">
        <f t="shared" ref="AN132:AN138" si="173">W132</f>
        <v>4444.80810546875</v>
      </c>
      <c r="AO132" s="761"/>
      <c r="AP132" s="761">
        <f t="shared" ref="AP132:AP138" si="174">L132</f>
        <v>4563.821044921875</v>
      </c>
      <c r="AQ132" s="760">
        <f t="shared" ref="AQ132:AQ138" si="175">O132</f>
        <v>4807.71826171875</v>
      </c>
      <c r="AR132" s="760">
        <f t="shared" ref="AR132:AR138" si="176">R132</f>
        <v>4582.828125</v>
      </c>
      <c r="AS132" s="867"/>
      <c r="AT132" s="746">
        <f t="shared" ref="AT132:AT138" si="177">IF(AT$131=0,0,SUMPRODUCT(AH$131:AK$131,AH132:AK132)/AT$131)</f>
        <v>4599.0816642840146</v>
      </c>
      <c r="AU132" s="743">
        <f t="shared" ref="AU132:AU138" si="178">IF(AU$131=0,0,SUMPRODUCT(AL$131:AO$131,AL132:AO132)/AU$131)</f>
        <v>4422.2060667096575</v>
      </c>
      <c r="AV132" s="747">
        <f>IF(AV$131=0,0,SUMPRODUCT(AP$131:AS$131,AP132:AS132)/AV$131)</f>
        <v>4655.8765351151997</v>
      </c>
      <c r="AW132" s="747">
        <f t="shared" ref="AW132:AW138" si="179">SUMPRODUCT(D$131:AG$131,D132:AG132)/AW$131</f>
        <v>4593.3100258012792</v>
      </c>
      <c r="AY132" s="743">
        <f>IF(AY$131=0,0,SUMPRODUCT(AT$131:AV$131,AT132:AV132)/AY$131)</f>
        <v>4593.9759698179614</v>
      </c>
    </row>
    <row r="133" spans="1:51">
      <c r="A133" s="742" t="s">
        <v>462</v>
      </c>
      <c r="B133" s="743">
        <f>N131+Q131+T131+W131</f>
        <v>18738.150665283203</v>
      </c>
      <c r="C133" s="742"/>
      <c r="D133" s="743">
        <f t="shared" ref="D133:AG133" si="180">IF(D131=0,0,D$19)</f>
        <v>0</v>
      </c>
      <c r="E133" s="743">
        <f t="shared" si="180"/>
        <v>0</v>
      </c>
      <c r="F133" s="743">
        <f t="shared" si="180"/>
        <v>0</v>
      </c>
      <c r="G133" s="743">
        <f t="shared" si="180"/>
        <v>0</v>
      </c>
      <c r="H133" s="743">
        <f t="shared" si="180"/>
        <v>0</v>
      </c>
      <c r="I133" s="743">
        <f t="shared" si="180"/>
        <v>0</v>
      </c>
      <c r="J133" s="743">
        <f t="shared" si="180"/>
        <v>4191.3370361328125</v>
      </c>
      <c r="K133" s="743">
        <f t="shared" si="180"/>
        <v>0</v>
      </c>
      <c r="L133" s="743">
        <f t="shared" si="180"/>
        <v>3808.4456787109375</v>
      </c>
      <c r="M133" s="743">
        <f t="shared" si="180"/>
        <v>3952.1885986328125</v>
      </c>
      <c r="N133" s="743">
        <f t="shared" si="180"/>
        <v>0</v>
      </c>
      <c r="O133" s="743">
        <f t="shared" si="180"/>
        <v>3838.6923828125</v>
      </c>
      <c r="P133" s="743">
        <f t="shared" si="180"/>
        <v>3885.462646484375</v>
      </c>
      <c r="Q133" s="743">
        <f t="shared" si="180"/>
        <v>3742.4849853515625</v>
      </c>
      <c r="R133" s="743">
        <f t="shared" si="180"/>
        <v>3819.82666015625</v>
      </c>
      <c r="S133" s="743">
        <f t="shared" si="180"/>
        <v>3845.1129150390625</v>
      </c>
      <c r="T133" s="743">
        <f t="shared" si="180"/>
        <v>3668.451171875</v>
      </c>
      <c r="U133" s="743">
        <f t="shared" si="180"/>
        <v>0</v>
      </c>
      <c r="V133" s="743">
        <f t="shared" si="180"/>
        <v>3672.816650390625</v>
      </c>
      <c r="W133" s="743">
        <f t="shared" si="180"/>
        <v>3624.001708984375</v>
      </c>
      <c r="X133" s="743">
        <f t="shared" si="180"/>
        <v>0</v>
      </c>
      <c r="Y133" s="743">
        <f t="shared" si="180"/>
        <v>0</v>
      </c>
      <c r="Z133" s="743">
        <f t="shared" si="180"/>
        <v>0</v>
      </c>
      <c r="AA133" s="743">
        <f t="shared" si="180"/>
        <v>0</v>
      </c>
      <c r="AB133" s="743">
        <f t="shared" si="180"/>
        <v>0</v>
      </c>
      <c r="AC133" s="743">
        <f t="shared" si="180"/>
        <v>0</v>
      </c>
      <c r="AD133" s="743">
        <f t="shared" si="180"/>
        <v>0</v>
      </c>
      <c r="AE133" s="743">
        <f t="shared" si="180"/>
        <v>0</v>
      </c>
      <c r="AF133" s="743">
        <f t="shared" si="180"/>
        <v>0</v>
      </c>
      <c r="AG133" s="744">
        <f t="shared" si="180"/>
        <v>0</v>
      </c>
      <c r="AH133" s="762">
        <f t="shared" si="167"/>
        <v>4191.3370361328125</v>
      </c>
      <c r="AI133" s="760">
        <f t="shared" si="168"/>
        <v>3885.462646484375</v>
      </c>
      <c r="AJ133" s="760">
        <f t="shared" si="169"/>
        <v>3845.1129150390625</v>
      </c>
      <c r="AK133" s="760">
        <f t="shared" si="170"/>
        <v>3672.816650390625</v>
      </c>
      <c r="AL133" s="760">
        <f t="shared" si="171"/>
        <v>3742.4849853515625</v>
      </c>
      <c r="AM133" s="760">
        <f t="shared" si="172"/>
        <v>3668.451171875</v>
      </c>
      <c r="AN133" s="760">
        <f t="shared" si="173"/>
        <v>3624.001708984375</v>
      </c>
      <c r="AO133" s="761"/>
      <c r="AP133" s="761">
        <f t="shared" si="174"/>
        <v>3808.4456787109375</v>
      </c>
      <c r="AQ133" s="760">
        <f t="shared" si="175"/>
        <v>3838.6923828125</v>
      </c>
      <c r="AR133" s="760">
        <f t="shared" si="176"/>
        <v>3819.82666015625</v>
      </c>
      <c r="AS133" s="867"/>
      <c r="AT133" s="746">
        <f t="shared" si="177"/>
        <v>3895.2753553847215</v>
      </c>
      <c r="AU133" s="743">
        <f t="shared" si="178"/>
        <v>3682.8578609388237</v>
      </c>
      <c r="AV133" s="747">
        <f t="shared" ref="AV133:AV138" si="181">IF(AV$131=0,0,SUMPRODUCT(AP$131:AS$131,AP133:AS133)/AV$131)</f>
        <v>3823.4948142739572</v>
      </c>
      <c r="AW133" s="747">
        <f t="shared" si="179"/>
        <v>3837.0221964359275</v>
      </c>
      <c r="AY133" s="743">
        <f t="shared" ref="AY133:AY138" si="182">IF(AY$131=0,0,SUMPRODUCT(AT$131:AV$131,AT133:AV133)/AY$131)</f>
        <v>3847.2673087840549</v>
      </c>
    </row>
    <row r="134" spans="1:51">
      <c r="A134" s="742" t="s">
        <v>420</v>
      </c>
      <c r="B134" s="743">
        <f>J131+M131+P131+S131+V131</f>
        <v>86390.413073730466</v>
      </c>
      <c r="C134" s="742"/>
      <c r="D134" s="743">
        <f t="shared" ref="D134:AG134" si="183">IF(D131=0,0,D$20)</f>
        <v>0</v>
      </c>
      <c r="E134" s="743">
        <f t="shared" si="183"/>
        <v>0</v>
      </c>
      <c r="F134" s="743">
        <f t="shared" si="183"/>
        <v>0</v>
      </c>
      <c r="G134" s="743">
        <f t="shared" si="183"/>
        <v>0</v>
      </c>
      <c r="H134" s="743">
        <f t="shared" si="183"/>
        <v>0</v>
      </c>
      <c r="I134" s="743">
        <f t="shared" si="183"/>
        <v>0</v>
      </c>
      <c r="J134" s="743">
        <f t="shared" si="183"/>
        <v>0.11438345164060593</v>
      </c>
      <c r="K134" s="743">
        <f t="shared" si="183"/>
        <v>0</v>
      </c>
      <c r="L134" s="743">
        <f t="shared" si="183"/>
        <v>0.14427722990512848</v>
      </c>
      <c r="M134" s="743">
        <f t="shared" si="183"/>
        <v>0.11279426142573357</v>
      </c>
      <c r="N134" s="743">
        <f t="shared" si="183"/>
        <v>0</v>
      </c>
      <c r="O134" s="743">
        <f t="shared" si="183"/>
        <v>0.16022680699825287</v>
      </c>
      <c r="P134" s="743">
        <f t="shared" si="183"/>
        <v>0.110183946788311</v>
      </c>
      <c r="Q134" s="743">
        <f t="shared" si="183"/>
        <v>0.22006995975971222</v>
      </c>
      <c r="R134" s="743">
        <f t="shared" si="183"/>
        <v>0.14832572638988495</v>
      </c>
      <c r="S134" s="743">
        <f t="shared" si="183"/>
        <v>0.11719160154461861</v>
      </c>
      <c r="T134" s="743">
        <f t="shared" si="183"/>
        <v>0.19198840856552124</v>
      </c>
      <c r="U134" s="743">
        <f t="shared" si="183"/>
        <v>0</v>
      </c>
      <c r="V134" s="743">
        <f t="shared" si="183"/>
        <v>0.11386600881814957</v>
      </c>
      <c r="W134" s="743">
        <f t="shared" si="183"/>
        <v>0.1719403862953186</v>
      </c>
      <c r="X134" s="743">
        <f t="shared" si="183"/>
        <v>0</v>
      </c>
      <c r="Y134" s="743">
        <f t="shared" si="183"/>
        <v>0</v>
      </c>
      <c r="Z134" s="743">
        <f t="shared" si="183"/>
        <v>0</v>
      </c>
      <c r="AA134" s="743">
        <f t="shared" si="183"/>
        <v>0</v>
      </c>
      <c r="AB134" s="743">
        <f t="shared" si="183"/>
        <v>0</v>
      </c>
      <c r="AC134" s="743">
        <f t="shared" si="183"/>
        <v>0</v>
      </c>
      <c r="AD134" s="743">
        <f t="shared" si="183"/>
        <v>0</v>
      </c>
      <c r="AE134" s="743">
        <f t="shared" si="183"/>
        <v>0</v>
      </c>
      <c r="AF134" s="743">
        <f t="shared" si="183"/>
        <v>0</v>
      </c>
      <c r="AG134" s="744">
        <f t="shared" si="183"/>
        <v>0</v>
      </c>
      <c r="AH134" s="762">
        <f t="shared" si="167"/>
        <v>0.11438345164060593</v>
      </c>
      <c r="AI134" s="760">
        <f t="shared" si="168"/>
        <v>0.110183946788311</v>
      </c>
      <c r="AJ134" s="760">
        <f t="shared" si="169"/>
        <v>0.11719160154461861</v>
      </c>
      <c r="AK134" s="760">
        <f t="shared" si="170"/>
        <v>0.11386600881814957</v>
      </c>
      <c r="AL134" s="760">
        <f t="shared" si="171"/>
        <v>0.22006995975971222</v>
      </c>
      <c r="AM134" s="760">
        <f t="shared" si="172"/>
        <v>0.19198840856552124</v>
      </c>
      <c r="AN134" s="760">
        <f t="shared" si="173"/>
        <v>0.1719403862953186</v>
      </c>
      <c r="AO134" s="761"/>
      <c r="AP134" s="761">
        <f t="shared" si="174"/>
        <v>0.14427722990512848</v>
      </c>
      <c r="AQ134" s="760">
        <f t="shared" si="175"/>
        <v>0.16022680699825287</v>
      </c>
      <c r="AR134" s="760">
        <f t="shared" si="176"/>
        <v>0.14832572638988495</v>
      </c>
      <c r="AS134" s="867"/>
      <c r="AT134" s="746">
        <f t="shared" si="177"/>
        <v>0.11462550167136092</v>
      </c>
      <c r="AU134" s="743">
        <f t="shared" si="178"/>
        <v>0.19669189196046202</v>
      </c>
      <c r="AV134" s="747">
        <f t="shared" si="181"/>
        <v>0.15142666293577076</v>
      </c>
      <c r="AW134" s="747">
        <f t="shared" si="179"/>
        <v>0.13581804312583654</v>
      </c>
      <c r="AY134" s="743">
        <f t="shared" si="182"/>
        <v>0.13588612399002328</v>
      </c>
    </row>
    <row r="135" spans="1:51">
      <c r="A135" s="742" t="s">
        <v>464</v>
      </c>
      <c r="B135" s="743">
        <f>L131+O131+R131</f>
        <v>44871.436260986331</v>
      </c>
      <c r="C135" s="742"/>
      <c r="D135" s="743">
        <f t="shared" ref="D135:AG135" si="184">IF(D131=0,0,D$21)</f>
        <v>0</v>
      </c>
      <c r="E135" s="743">
        <f t="shared" si="184"/>
        <v>0</v>
      </c>
      <c r="F135" s="743">
        <f t="shared" si="184"/>
        <v>0</v>
      </c>
      <c r="G135" s="743">
        <f t="shared" si="184"/>
        <v>0</v>
      </c>
      <c r="H135" s="743">
        <f t="shared" si="184"/>
        <v>0</v>
      </c>
      <c r="I135" s="743">
        <f t="shared" si="184"/>
        <v>0</v>
      </c>
      <c r="J135" s="743">
        <f t="shared" si="184"/>
        <v>4.6758601665496826</v>
      </c>
      <c r="K135" s="743">
        <f t="shared" si="184"/>
        <v>0</v>
      </c>
      <c r="L135" s="743">
        <f t="shared" si="184"/>
        <v>7.0446691513061523</v>
      </c>
      <c r="M135" s="743">
        <f t="shared" si="184"/>
        <v>5.6655375957489014</v>
      </c>
      <c r="N135" s="743">
        <f t="shared" si="184"/>
        <v>0</v>
      </c>
      <c r="O135" s="743">
        <f t="shared" si="184"/>
        <v>7.353703498840332</v>
      </c>
      <c r="P135" s="743">
        <f t="shared" si="184"/>
        <v>6.1128432750701904</v>
      </c>
      <c r="Q135" s="743">
        <f t="shared" si="184"/>
        <v>10.884055614471436</v>
      </c>
      <c r="R135" s="743">
        <f t="shared" si="184"/>
        <v>7.0677318572998047</v>
      </c>
      <c r="S135" s="743">
        <f t="shared" si="184"/>
        <v>6.8337085247039795</v>
      </c>
      <c r="T135" s="743">
        <f t="shared" si="184"/>
        <v>11.838062763214111</v>
      </c>
      <c r="U135" s="743">
        <f t="shared" si="184"/>
        <v>0</v>
      </c>
      <c r="V135" s="743">
        <f t="shared" si="184"/>
        <v>8.9307069778442383</v>
      </c>
      <c r="W135" s="743">
        <f t="shared" si="184"/>
        <v>11.624541282653809</v>
      </c>
      <c r="X135" s="743">
        <f t="shared" si="184"/>
        <v>0</v>
      </c>
      <c r="Y135" s="743">
        <f t="shared" si="184"/>
        <v>0</v>
      </c>
      <c r="Z135" s="743">
        <f t="shared" si="184"/>
        <v>0</v>
      </c>
      <c r="AA135" s="743">
        <f t="shared" si="184"/>
        <v>0</v>
      </c>
      <c r="AB135" s="743">
        <f t="shared" si="184"/>
        <v>0</v>
      </c>
      <c r="AC135" s="743">
        <f t="shared" si="184"/>
        <v>0</v>
      </c>
      <c r="AD135" s="743">
        <f t="shared" si="184"/>
        <v>0</v>
      </c>
      <c r="AE135" s="743">
        <f t="shared" si="184"/>
        <v>0</v>
      </c>
      <c r="AF135" s="743">
        <f t="shared" si="184"/>
        <v>0</v>
      </c>
      <c r="AG135" s="744">
        <f t="shared" si="184"/>
        <v>0</v>
      </c>
      <c r="AH135" s="762">
        <f t="shared" si="167"/>
        <v>4.6758601665496826</v>
      </c>
      <c r="AI135" s="760">
        <f t="shared" si="168"/>
        <v>6.1128432750701904</v>
      </c>
      <c r="AJ135" s="760">
        <f t="shared" si="169"/>
        <v>6.8337085247039795</v>
      </c>
      <c r="AK135" s="760">
        <f t="shared" si="170"/>
        <v>8.9307069778442383</v>
      </c>
      <c r="AL135" s="760">
        <f t="shared" si="171"/>
        <v>10.884055614471436</v>
      </c>
      <c r="AM135" s="760">
        <f t="shared" si="172"/>
        <v>11.838062763214111</v>
      </c>
      <c r="AN135" s="760">
        <f t="shared" si="173"/>
        <v>11.624541282653809</v>
      </c>
      <c r="AO135" s="761"/>
      <c r="AP135" s="761">
        <f t="shared" si="174"/>
        <v>7.0446691513061523</v>
      </c>
      <c r="AQ135" s="760">
        <f t="shared" si="175"/>
        <v>7.353703498840332</v>
      </c>
      <c r="AR135" s="760">
        <f t="shared" si="176"/>
        <v>7.0677318572998047</v>
      </c>
      <c r="AS135" s="867"/>
      <c r="AT135" s="746">
        <f t="shared" si="177"/>
        <v>6.6698576803316039</v>
      </c>
      <c r="AU135" s="743">
        <f t="shared" si="178"/>
        <v>11.464703212839801</v>
      </c>
      <c r="AV135" s="747">
        <f t="shared" si="181"/>
        <v>7.1608988419220418</v>
      </c>
      <c r="AW135" s="747">
        <f t="shared" si="179"/>
        <v>7.4581238348703085</v>
      </c>
      <c r="AY135" s="743">
        <f t="shared" si="182"/>
        <v>7.4157260815897681</v>
      </c>
    </row>
    <row r="136" spans="1:51">
      <c r="A136" s="742" t="s">
        <v>416</v>
      </c>
      <c r="B136" s="743"/>
      <c r="C136" s="742"/>
      <c r="D136" s="743">
        <f>IF(D131=0,0,D$22)</f>
        <v>0</v>
      </c>
      <c r="E136" s="743">
        <f>IF(E131=0,0,E$22)</f>
        <v>0</v>
      </c>
      <c r="F136" s="743">
        <f>IF(F131=0,0,F$22)</f>
        <v>0</v>
      </c>
      <c r="G136" s="743">
        <f>IF(G131=0,0,G$22)</f>
        <v>0</v>
      </c>
      <c r="H136" s="743">
        <f>IF(H131=0,0,H$22)</f>
        <v>0</v>
      </c>
      <c r="I136" s="743">
        <f t="shared" ref="I136:AG136" si="185">IF(I131=0,0,I$22)</f>
        <v>0</v>
      </c>
      <c r="J136" s="743">
        <f t="shared" si="185"/>
        <v>37.775630950927734</v>
      </c>
      <c r="K136" s="743">
        <f t="shared" si="185"/>
        <v>0</v>
      </c>
      <c r="L136" s="743">
        <f t="shared" si="185"/>
        <v>37.931100845336914</v>
      </c>
      <c r="M136" s="743">
        <f t="shared" si="185"/>
        <v>38.425008773803711</v>
      </c>
      <c r="N136" s="743">
        <f t="shared" si="185"/>
        <v>0</v>
      </c>
      <c r="O136" s="743">
        <f t="shared" si="185"/>
        <v>37.957649230957031</v>
      </c>
      <c r="P136" s="743">
        <f t="shared" si="185"/>
        <v>38.434902191162109</v>
      </c>
      <c r="Q136" s="743">
        <f t="shared" si="185"/>
        <v>36.532934188842773</v>
      </c>
      <c r="R136" s="743">
        <f t="shared" si="185"/>
        <v>38.605861663818359</v>
      </c>
      <c r="S136" s="743">
        <f t="shared" si="185"/>
        <v>38.119588851928711</v>
      </c>
      <c r="T136" s="743">
        <f t="shared" si="185"/>
        <v>36.523611068725586</v>
      </c>
      <c r="U136" s="743">
        <f t="shared" si="185"/>
        <v>0</v>
      </c>
      <c r="V136" s="743">
        <f t="shared" si="185"/>
        <v>37.687946319580078</v>
      </c>
      <c r="W136" s="743">
        <f t="shared" si="185"/>
        <v>37.029930114746094</v>
      </c>
      <c r="X136" s="743">
        <f t="shared" si="185"/>
        <v>0</v>
      </c>
      <c r="Y136" s="743">
        <f t="shared" si="185"/>
        <v>0</v>
      </c>
      <c r="Z136" s="743">
        <f t="shared" si="185"/>
        <v>0</v>
      </c>
      <c r="AA136" s="743">
        <f t="shared" si="185"/>
        <v>0</v>
      </c>
      <c r="AB136" s="743">
        <f t="shared" si="185"/>
        <v>0</v>
      </c>
      <c r="AC136" s="743">
        <f t="shared" si="185"/>
        <v>0</v>
      </c>
      <c r="AD136" s="743">
        <f t="shared" si="185"/>
        <v>0</v>
      </c>
      <c r="AE136" s="743">
        <f t="shared" si="185"/>
        <v>0</v>
      </c>
      <c r="AF136" s="743">
        <f t="shared" si="185"/>
        <v>0</v>
      </c>
      <c r="AG136" s="744">
        <f t="shared" si="185"/>
        <v>0</v>
      </c>
      <c r="AH136" s="762">
        <f t="shared" si="167"/>
        <v>37.775630950927734</v>
      </c>
      <c r="AI136" s="760">
        <f t="shared" si="168"/>
        <v>38.434902191162109</v>
      </c>
      <c r="AJ136" s="760">
        <f t="shared" si="169"/>
        <v>38.119588851928711</v>
      </c>
      <c r="AK136" s="760">
        <f t="shared" si="170"/>
        <v>37.687946319580078</v>
      </c>
      <c r="AL136" s="760">
        <f t="shared" si="171"/>
        <v>36.532934188842773</v>
      </c>
      <c r="AM136" s="760">
        <f t="shared" si="172"/>
        <v>36.523611068725586</v>
      </c>
      <c r="AN136" s="760">
        <f t="shared" si="173"/>
        <v>37.029930114746094</v>
      </c>
      <c r="AO136" s="761"/>
      <c r="AP136" s="761">
        <f t="shared" si="174"/>
        <v>37.931100845336914</v>
      </c>
      <c r="AQ136" s="760">
        <f t="shared" si="175"/>
        <v>37.957649230957031</v>
      </c>
      <c r="AR136" s="760">
        <f t="shared" si="176"/>
        <v>38.605861663818359</v>
      </c>
      <c r="AS136" s="867"/>
      <c r="AT136" s="746">
        <f t="shared" si="177"/>
        <v>37.99521753267075</v>
      </c>
      <c r="AU136" s="743">
        <f t="shared" si="178"/>
        <v>36.6476349640593</v>
      </c>
      <c r="AV136" s="747">
        <f t="shared" si="181"/>
        <v>38.2119437029056</v>
      </c>
      <c r="AW136" s="747">
        <f t="shared" si="179"/>
        <v>37.919527589232246</v>
      </c>
      <c r="AY136" s="743">
        <f t="shared" si="182"/>
        <v>37.89170826153228</v>
      </c>
    </row>
    <row r="137" spans="1:51">
      <c r="A137" s="742" t="s">
        <v>465</v>
      </c>
      <c r="B137" s="743"/>
      <c r="C137" s="742"/>
      <c r="D137" s="743">
        <f t="shared" ref="D137:I137" si="186">IF(D131=0,0,D$23)</f>
        <v>0</v>
      </c>
      <c r="E137" s="743">
        <f t="shared" si="186"/>
        <v>0</v>
      </c>
      <c r="F137" s="743">
        <f t="shared" si="186"/>
        <v>0</v>
      </c>
      <c r="G137" s="743">
        <f t="shared" si="186"/>
        <v>0</v>
      </c>
      <c r="H137" s="743">
        <f t="shared" si="186"/>
        <v>0</v>
      </c>
      <c r="I137" s="743">
        <f t="shared" si="186"/>
        <v>0</v>
      </c>
      <c r="J137" s="743">
        <f>IF(J131=0,0,J$23)</f>
        <v>28.307958602905273</v>
      </c>
      <c r="K137" s="743">
        <f t="shared" ref="K137:AG137" si="187">IF(K131=0,0,K$23)</f>
        <v>0</v>
      </c>
      <c r="L137" s="743">
        <f t="shared" si="187"/>
        <v>25.785683631896973</v>
      </c>
      <c r="M137" s="743">
        <f t="shared" si="187"/>
        <v>25.16157341003418</v>
      </c>
      <c r="N137" s="743">
        <f t="shared" si="187"/>
        <v>0</v>
      </c>
      <c r="O137" s="743">
        <f t="shared" si="187"/>
        <v>22.446985244750977</v>
      </c>
      <c r="P137" s="743">
        <f t="shared" si="187"/>
        <v>26.611220359802246</v>
      </c>
      <c r="Q137" s="743">
        <f t="shared" si="187"/>
        <v>24.960892677307129</v>
      </c>
      <c r="R137" s="743">
        <f t="shared" si="187"/>
        <v>26.412843704223633</v>
      </c>
      <c r="S137" s="743">
        <f t="shared" si="187"/>
        <v>26.482247352600098</v>
      </c>
      <c r="T137" s="743">
        <f t="shared" si="187"/>
        <v>23.786274909973145</v>
      </c>
      <c r="U137" s="743">
        <f t="shared" si="187"/>
        <v>0</v>
      </c>
      <c r="V137" s="743">
        <f t="shared" si="187"/>
        <v>25.875955581665039</v>
      </c>
      <c r="W137" s="743">
        <f t="shared" si="187"/>
        <v>22.734758377075195</v>
      </c>
      <c r="X137" s="743">
        <f t="shared" si="187"/>
        <v>0</v>
      </c>
      <c r="Y137" s="743">
        <f t="shared" si="187"/>
        <v>0</v>
      </c>
      <c r="Z137" s="743">
        <f t="shared" si="187"/>
        <v>0</v>
      </c>
      <c r="AA137" s="743">
        <f t="shared" si="187"/>
        <v>0</v>
      </c>
      <c r="AB137" s="743">
        <f t="shared" si="187"/>
        <v>0</v>
      </c>
      <c r="AC137" s="743">
        <f t="shared" si="187"/>
        <v>0</v>
      </c>
      <c r="AD137" s="743">
        <f t="shared" si="187"/>
        <v>0</v>
      </c>
      <c r="AE137" s="743">
        <f t="shared" si="187"/>
        <v>0</v>
      </c>
      <c r="AF137" s="743">
        <f t="shared" si="187"/>
        <v>0</v>
      </c>
      <c r="AG137" s="743">
        <f t="shared" si="187"/>
        <v>0</v>
      </c>
      <c r="AH137" s="762">
        <f t="shared" si="167"/>
        <v>28.307958602905273</v>
      </c>
      <c r="AI137" s="760">
        <f t="shared" si="168"/>
        <v>26.611220359802246</v>
      </c>
      <c r="AJ137" s="760">
        <f t="shared" si="169"/>
        <v>26.482247352600098</v>
      </c>
      <c r="AK137" s="760">
        <f t="shared" si="170"/>
        <v>25.875955581665039</v>
      </c>
      <c r="AL137" s="760">
        <f t="shared" si="171"/>
        <v>24.960892677307129</v>
      </c>
      <c r="AM137" s="760">
        <f t="shared" si="172"/>
        <v>23.786274909973145</v>
      </c>
      <c r="AN137" s="760">
        <f t="shared" si="173"/>
        <v>22.734758377075195</v>
      </c>
      <c r="AO137" s="761"/>
      <c r="AP137" s="761">
        <f t="shared" si="174"/>
        <v>25.785683631896973</v>
      </c>
      <c r="AQ137" s="760">
        <f t="shared" si="175"/>
        <v>22.446985244750977</v>
      </c>
      <c r="AR137" s="760">
        <f t="shared" si="176"/>
        <v>26.412843704223633</v>
      </c>
      <c r="AS137" s="867"/>
      <c r="AT137" s="746">
        <f t="shared" si="177"/>
        <v>26.799850472550563</v>
      </c>
      <c r="AU137" s="743">
        <f t="shared" si="178"/>
        <v>23.932182904666554</v>
      </c>
      <c r="AV137" s="747">
        <f t="shared" si="181"/>
        <v>24.882781778975456</v>
      </c>
      <c r="AW137" s="747">
        <f t="shared" si="179"/>
        <v>25.733350001648791</v>
      </c>
      <c r="AY137" s="743">
        <f t="shared" si="182"/>
        <v>25.868141054972931</v>
      </c>
    </row>
    <row r="138" spans="1:51">
      <c r="A138" s="742" t="s">
        <v>419</v>
      </c>
      <c r="B138" s="743"/>
      <c r="C138" s="742"/>
      <c r="D138" s="743">
        <f t="shared" ref="D138:I138" si="188">IF(D131=0,0,D$24)</f>
        <v>0</v>
      </c>
      <c r="E138" s="743">
        <f t="shared" si="188"/>
        <v>0</v>
      </c>
      <c r="F138" s="743">
        <f t="shared" si="188"/>
        <v>0</v>
      </c>
      <c r="G138" s="743">
        <f t="shared" si="188"/>
        <v>0</v>
      </c>
      <c r="H138" s="743">
        <f t="shared" si="188"/>
        <v>0</v>
      </c>
      <c r="I138" s="743">
        <f t="shared" si="188"/>
        <v>0</v>
      </c>
      <c r="J138" s="743">
        <f>IF(J131=0,0,J$24)</f>
        <v>37.184999465942383</v>
      </c>
      <c r="K138" s="743">
        <f t="shared" ref="K138:AG138" si="189">IF(K131=0,0,K$24)</f>
        <v>0</v>
      </c>
      <c r="L138" s="743">
        <f t="shared" si="189"/>
        <v>37.883380889892578</v>
      </c>
      <c r="M138" s="743">
        <f t="shared" si="189"/>
        <v>38.067953109741211</v>
      </c>
      <c r="N138" s="743">
        <f t="shared" si="189"/>
        <v>0</v>
      </c>
      <c r="O138" s="743">
        <f t="shared" si="189"/>
        <v>39.065170288085938</v>
      </c>
      <c r="P138" s="743">
        <f t="shared" si="189"/>
        <v>37.512180328369141</v>
      </c>
      <c r="Q138" s="743">
        <f t="shared" si="189"/>
        <v>36.42683219909668</v>
      </c>
      <c r="R138" s="743">
        <f t="shared" si="189"/>
        <v>37.768016815185547</v>
      </c>
      <c r="S138" s="743">
        <f t="shared" si="189"/>
        <v>37.409595489501953</v>
      </c>
      <c r="T138" s="743">
        <f t="shared" si="189"/>
        <v>36.269355773925781</v>
      </c>
      <c r="U138" s="743">
        <f t="shared" si="189"/>
        <v>0</v>
      </c>
      <c r="V138" s="743">
        <f t="shared" si="189"/>
        <v>36.646259307861328</v>
      </c>
      <c r="W138" s="743">
        <f t="shared" si="189"/>
        <v>36.743991851806641</v>
      </c>
      <c r="X138" s="743">
        <f t="shared" si="189"/>
        <v>0</v>
      </c>
      <c r="Y138" s="743">
        <f t="shared" si="189"/>
        <v>0</v>
      </c>
      <c r="Z138" s="743">
        <f t="shared" si="189"/>
        <v>0</v>
      </c>
      <c r="AA138" s="743">
        <f t="shared" si="189"/>
        <v>0</v>
      </c>
      <c r="AB138" s="743">
        <f t="shared" si="189"/>
        <v>0</v>
      </c>
      <c r="AC138" s="743">
        <f t="shared" si="189"/>
        <v>0</v>
      </c>
      <c r="AD138" s="743">
        <f t="shared" si="189"/>
        <v>0</v>
      </c>
      <c r="AE138" s="743">
        <f t="shared" si="189"/>
        <v>0</v>
      </c>
      <c r="AF138" s="743">
        <f t="shared" si="189"/>
        <v>0</v>
      </c>
      <c r="AG138" s="743">
        <f t="shared" si="189"/>
        <v>0</v>
      </c>
      <c r="AH138" s="762">
        <f t="shared" si="167"/>
        <v>37.184999465942383</v>
      </c>
      <c r="AI138" s="760">
        <f t="shared" si="168"/>
        <v>37.512180328369141</v>
      </c>
      <c r="AJ138" s="760">
        <f t="shared" si="169"/>
        <v>37.409595489501953</v>
      </c>
      <c r="AK138" s="760">
        <f t="shared" si="170"/>
        <v>36.646259307861328</v>
      </c>
      <c r="AL138" s="760">
        <f t="shared" si="171"/>
        <v>36.42683219909668</v>
      </c>
      <c r="AM138" s="760">
        <f t="shared" si="172"/>
        <v>36.269355773925781</v>
      </c>
      <c r="AN138" s="760">
        <f t="shared" si="173"/>
        <v>36.743991851806641</v>
      </c>
      <c r="AO138" s="761"/>
      <c r="AP138" s="761">
        <f t="shared" si="174"/>
        <v>37.883380889892578</v>
      </c>
      <c r="AQ138" s="760">
        <f t="shared" si="175"/>
        <v>39.065170288085938</v>
      </c>
      <c r="AR138" s="760">
        <f t="shared" si="176"/>
        <v>37.768016815185547</v>
      </c>
      <c r="AS138" s="867"/>
      <c r="AT138" s="746">
        <f t="shared" si="177"/>
        <v>37.204411719234713</v>
      </c>
      <c r="AU138" s="743">
        <f t="shared" si="178"/>
        <v>36.435881144157605</v>
      </c>
      <c r="AV138" s="747">
        <f t="shared" si="181"/>
        <v>38.245907158095726</v>
      </c>
      <c r="AW138" s="747">
        <f t="shared" si="179"/>
        <v>37.457787791840346</v>
      </c>
      <c r="AY138" s="743">
        <f t="shared" si="182"/>
        <v>37.41996208252997</v>
      </c>
    </row>
    <row r="139" spans="1:51">
      <c r="AH139" s="766"/>
      <c r="AI139" s="767"/>
      <c r="AJ139" s="767"/>
      <c r="AK139" s="767"/>
      <c r="AL139" s="767"/>
      <c r="AM139" s="767"/>
      <c r="AN139" s="767"/>
      <c r="AO139" s="767"/>
      <c r="AP139" s="767"/>
      <c r="AQ139" s="767"/>
      <c r="AR139" s="767"/>
      <c r="AS139" s="767"/>
      <c r="AT139" s="766"/>
      <c r="AU139" s="767"/>
      <c r="AV139" s="768"/>
      <c r="AW139" s="768"/>
    </row>
    <row r="140" spans="1:51">
      <c r="A140" s="760" t="s">
        <v>480</v>
      </c>
      <c r="B140" s="760">
        <v>218885.37</v>
      </c>
      <c r="C140" s="759" t="s">
        <v>85</v>
      </c>
      <c r="D140" s="760"/>
      <c r="E140" s="760"/>
      <c r="F140" s="760"/>
      <c r="G140" s="760"/>
      <c r="H140" s="760"/>
      <c r="I140" s="760"/>
      <c r="J140" s="760"/>
      <c r="K140" s="760"/>
      <c r="L140" s="760"/>
      <c r="M140" s="760"/>
      <c r="N140" s="760"/>
      <c r="O140" s="760"/>
      <c r="P140" s="760"/>
      <c r="Q140" s="760"/>
      <c r="R140" s="760">
        <f>(R17*3/4)-R131</f>
        <v>18711.601189143857</v>
      </c>
      <c r="S140" s="760"/>
      <c r="T140" s="760"/>
      <c r="U140" s="760">
        <f>U17/5*4</f>
        <v>53594.5</v>
      </c>
      <c r="V140" s="760">
        <f>V17*4/5</f>
        <v>76635.456250000003</v>
      </c>
      <c r="W140" s="760">
        <f>W17/5*4</f>
        <v>17893.40625</v>
      </c>
      <c r="X140" s="760"/>
      <c r="Y140" s="760">
        <f>B140-R140-U140-V140-W140-Z140</f>
        <v>46163.759435856125</v>
      </c>
      <c r="Z140" s="760">
        <f>Z17/5*1</f>
        <v>5886.6468750000004</v>
      </c>
      <c r="AA140" s="760"/>
      <c r="AB140" s="760"/>
      <c r="AC140" s="760"/>
      <c r="AD140" s="760"/>
      <c r="AE140" s="760"/>
      <c r="AF140" s="760"/>
      <c r="AG140" s="761"/>
      <c r="AH140" s="762">
        <f>V140</f>
        <v>76635.456250000003</v>
      </c>
      <c r="AI140" s="760">
        <f>Y140</f>
        <v>46163.759435856125</v>
      </c>
      <c r="AJ140" s="760"/>
      <c r="AK140" s="760"/>
      <c r="AL140" s="760">
        <f>W140</f>
        <v>17893.40625</v>
      </c>
      <c r="AM140" s="760">
        <f>Z140</f>
        <v>5886.6468750000004</v>
      </c>
      <c r="AN140" s="760">
        <f>AC140</f>
        <v>0</v>
      </c>
      <c r="AO140" s="761"/>
      <c r="AP140" s="761">
        <f>R140</f>
        <v>18711.601189143857</v>
      </c>
      <c r="AQ140" s="760">
        <f>U140</f>
        <v>53594.5</v>
      </c>
      <c r="AR140" s="760">
        <f>X140</f>
        <v>0</v>
      </c>
      <c r="AS140" s="867"/>
      <c r="AT140" s="765">
        <f>SUM(AH140:AK140)</f>
        <v>122799.21568585612</v>
      </c>
      <c r="AU140" s="760">
        <f>SUM(AL140:AO140)</f>
        <v>23780.053124999999</v>
      </c>
      <c r="AV140" s="764">
        <f>SUM(AP140:AS140)</f>
        <v>72306.101189143854</v>
      </c>
      <c r="AW140" s="764">
        <f>SUM(D140:AG140)</f>
        <v>218885.37</v>
      </c>
      <c r="AY140" s="731">
        <f>SUM(AT140:AV140)</f>
        <v>218885.37</v>
      </c>
    </row>
    <row r="141" spans="1:51">
      <c r="A141" s="742" t="s">
        <v>460</v>
      </c>
      <c r="B141" s="760"/>
      <c r="C141" s="759"/>
      <c r="D141" s="743">
        <f>IF(D140=0,0,D$18)</f>
        <v>0</v>
      </c>
      <c r="E141" s="743">
        <f>IF(E140=0,0,E$18)</f>
        <v>0</v>
      </c>
      <c r="F141" s="743">
        <f>IF(F140=0,0,F$18)</f>
        <v>0</v>
      </c>
      <c r="G141" s="743">
        <f>IF(G140=0,0,G$18)</f>
        <v>0</v>
      </c>
      <c r="H141" s="743">
        <f>IF(H140=0,0,H$18)</f>
        <v>0</v>
      </c>
      <c r="I141" s="743">
        <f t="shared" ref="I141:AG141" si="190">IF(I140=0,0,I$18)</f>
        <v>0</v>
      </c>
      <c r="J141" s="743">
        <f t="shared" si="190"/>
        <v>0</v>
      </c>
      <c r="K141" s="743">
        <f t="shared" si="190"/>
        <v>0</v>
      </c>
      <c r="L141" s="743">
        <f t="shared" si="190"/>
        <v>0</v>
      </c>
      <c r="M141" s="743">
        <f t="shared" si="190"/>
        <v>0</v>
      </c>
      <c r="N141" s="743">
        <f t="shared" si="190"/>
        <v>0</v>
      </c>
      <c r="O141" s="743">
        <f t="shared" si="190"/>
        <v>0</v>
      </c>
      <c r="P141" s="743">
        <f t="shared" si="190"/>
        <v>0</v>
      </c>
      <c r="Q141" s="743">
        <f t="shared" si="190"/>
        <v>0</v>
      </c>
      <c r="R141" s="743">
        <f t="shared" si="190"/>
        <v>4582.828125</v>
      </c>
      <c r="S141" s="743">
        <f t="shared" si="190"/>
        <v>0</v>
      </c>
      <c r="T141" s="743">
        <f t="shared" si="190"/>
        <v>0</v>
      </c>
      <c r="U141" s="743">
        <f t="shared" si="190"/>
        <v>4452.82763671875</v>
      </c>
      <c r="V141" s="743">
        <f t="shared" si="190"/>
        <v>4385.88232421875</v>
      </c>
      <c r="W141" s="743">
        <f t="shared" si="190"/>
        <v>4444.80810546875</v>
      </c>
      <c r="X141" s="743">
        <f t="shared" si="190"/>
        <v>0</v>
      </c>
      <c r="Y141" s="743">
        <f t="shared" si="190"/>
        <v>4280.3125</v>
      </c>
      <c r="Z141" s="743">
        <f t="shared" si="190"/>
        <v>4344.724609375</v>
      </c>
      <c r="AA141" s="743">
        <f t="shared" si="190"/>
        <v>0</v>
      </c>
      <c r="AB141" s="743">
        <f t="shared" si="190"/>
        <v>0</v>
      </c>
      <c r="AC141" s="743">
        <f t="shared" si="190"/>
        <v>0</v>
      </c>
      <c r="AD141" s="743">
        <f t="shared" si="190"/>
        <v>0</v>
      </c>
      <c r="AE141" s="743">
        <f t="shared" si="190"/>
        <v>0</v>
      </c>
      <c r="AF141" s="743">
        <f t="shared" si="190"/>
        <v>0</v>
      </c>
      <c r="AG141" s="744">
        <f t="shared" si="190"/>
        <v>0</v>
      </c>
      <c r="AH141" s="762">
        <f t="shared" ref="AH141:AH147" si="191">V141</f>
        <v>4385.88232421875</v>
      </c>
      <c r="AI141" s="760">
        <f t="shared" ref="AI141:AI147" si="192">Y141</f>
        <v>4280.3125</v>
      </c>
      <c r="AJ141" s="760"/>
      <c r="AK141" s="760"/>
      <c r="AL141" s="760">
        <f t="shared" ref="AL141:AL147" si="193">W141</f>
        <v>4444.80810546875</v>
      </c>
      <c r="AM141" s="760">
        <f t="shared" ref="AM141:AM147" si="194">Z141</f>
        <v>4344.724609375</v>
      </c>
      <c r="AN141" s="760">
        <f t="shared" ref="AN141:AN147" si="195">AC141</f>
        <v>0</v>
      </c>
      <c r="AO141" s="761"/>
      <c r="AP141" s="761">
        <f t="shared" ref="AP141:AP147" si="196">R141</f>
        <v>4582.828125</v>
      </c>
      <c r="AQ141" s="760">
        <f t="shared" ref="AQ141:AQ147" si="197">U141</f>
        <v>4452.82763671875</v>
      </c>
      <c r="AR141" s="760">
        <f t="shared" ref="AR141:AR147" si="198">X141</f>
        <v>0</v>
      </c>
      <c r="AS141" s="867"/>
      <c r="AT141" s="746">
        <f>IF(AT$140=0,0,SUMPRODUCT(AH$140:AK$140,AH141:AK141)/AT$140)</f>
        <v>4346.1955889110313</v>
      </c>
      <c r="AU141" s="743">
        <f>IF(AU$140=0,0,SUMPRODUCT(AL$140:AO$140,AL141:AO141)/AU$140)</f>
        <v>4420.0328790879494</v>
      </c>
      <c r="AV141" s="747">
        <f>IF(AV$140=0,0,SUMPRODUCT(AP$140:AS$140,AP141:AS141)/AV$140)</f>
        <v>4486.4695735831037</v>
      </c>
      <c r="AW141" s="747">
        <f t="shared" ref="AW141:AW147" si="199">SUMPRODUCT(D$140:AG$140,D141:AG141)/AW$140</f>
        <v>4400.5551818473541</v>
      </c>
      <c r="AY141" s="743">
        <f>IF(AY$140=0,0,SUMPRODUCT(AT$140:AV$140,AT141:AV141)/AY$140)</f>
        <v>4400.5551818473541</v>
      </c>
    </row>
    <row r="142" spans="1:51">
      <c r="A142" s="742" t="s">
        <v>462</v>
      </c>
      <c r="B142" s="743">
        <v>47960.873214298503</v>
      </c>
      <c r="C142" s="742"/>
      <c r="D142" s="743">
        <f t="shared" ref="D142:AG142" si="200">IF(D140=0,0,D$19)</f>
        <v>0</v>
      </c>
      <c r="E142" s="743">
        <f t="shared" si="200"/>
        <v>0</v>
      </c>
      <c r="F142" s="743">
        <f t="shared" si="200"/>
        <v>0</v>
      </c>
      <c r="G142" s="743">
        <f t="shared" si="200"/>
        <v>0</v>
      </c>
      <c r="H142" s="743">
        <f t="shared" si="200"/>
        <v>0</v>
      </c>
      <c r="I142" s="743">
        <f t="shared" si="200"/>
        <v>0</v>
      </c>
      <c r="J142" s="743">
        <f t="shared" si="200"/>
        <v>0</v>
      </c>
      <c r="K142" s="743">
        <f t="shared" si="200"/>
        <v>0</v>
      </c>
      <c r="L142" s="743">
        <f t="shared" si="200"/>
        <v>0</v>
      </c>
      <c r="M142" s="743">
        <f t="shared" si="200"/>
        <v>0</v>
      </c>
      <c r="N142" s="743">
        <f t="shared" si="200"/>
        <v>0</v>
      </c>
      <c r="O142" s="743">
        <f t="shared" si="200"/>
        <v>0</v>
      </c>
      <c r="P142" s="743">
        <f t="shared" si="200"/>
        <v>0</v>
      </c>
      <c r="Q142" s="743">
        <f t="shared" si="200"/>
        <v>0</v>
      </c>
      <c r="R142" s="743">
        <f t="shared" si="200"/>
        <v>3819.82666015625</v>
      </c>
      <c r="S142" s="743">
        <f t="shared" si="200"/>
        <v>0</v>
      </c>
      <c r="T142" s="743">
        <f t="shared" si="200"/>
        <v>0</v>
      </c>
      <c r="U142" s="743">
        <f t="shared" si="200"/>
        <v>3791.708251953125</v>
      </c>
      <c r="V142" s="743">
        <f t="shared" si="200"/>
        <v>3672.816650390625</v>
      </c>
      <c r="W142" s="743">
        <f t="shared" si="200"/>
        <v>3624.001708984375</v>
      </c>
      <c r="X142" s="743">
        <f t="shared" si="200"/>
        <v>0</v>
      </c>
      <c r="Y142" s="743">
        <f t="shared" si="200"/>
        <v>3650.5751953125</v>
      </c>
      <c r="Z142" s="743">
        <f t="shared" si="200"/>
        <v>3597.056396484375</v>
      </c>
      <c r="AA142" s="743">
        <f t="shared" si="200"/>
        <v>0</v>
      </c>
      <c r="AB142" s="743">
        <f t="shared" si="200"/>
        <v>0</v>
      </c>
      <c r="AC142" s="743">
        <f t="shared" si="200"/>
        <v>0</v>
      </c>
      <c r="AD142" s="743">
        <f t="shared" si="200"/>
        <v>0</v>
      </c>
      <c r="AE142" s="743">
        <f t="shared" si="200"/>
        <v>0</v>
      </c>
      <c r="AF142" s="743">
        <f t="shared" si="200"/>
        <v>0</v>
      </c>
      <c r="AG142" s="744">
        <f t="shared" si="200"/>
        <v>0</v>
      </c>
      <c r="AH142" s="762">
        <f t="shared" si="191"/>
        <v>3672.816650390625</v>
      </c>
      <c r="AI142" s="760">
        <f t="shared" si="192"/>
        <v>3650.5751953125</v>
      </c>
      <c r="AJ142" s="760"/>
      <c r="AK142" s="760"/>
      <c r="AL142" s="760">
        <f t="shared" si="193"/>
        <v>3624.001708984375</v>
      </c>
      <c r="AM142" s="760">
        <f t="shared" si="194"/>
        <v>3597.056396484375</v>
      </c>
      <c r="AN142" s="760">
        <f t="shared" si="195"/>
        <v>0</v>
      </c>
      <c r="AO142" s="761"/>
      <c r="AP142" s="761">
        <f t="shared" si="196"/>
        <v>3819.82666015625</v>
      </c>
      <c r="AQ142" s="760">
        <f t="shared" si="197"/>
        <v>3791.708251953125</v>
      </c>
      <c r="AR142" s="760">
        <f t="shared" si="198"/>
        <v>0</v>
      </c>
      <c r="AS142" s="867"/>
      <c r="AT142" s="746">
        <f t="shared" ref="AT142:AT147" si="201">IF(AT$140=0,0,SUMPRODUCT(AH$140:AK$140,AH142:AK142)/AT$140)</f>
        <v>3664.4554472999102</v>
      </c>
      <c r="AU142" s="743">
        <f t="shared" ref="AU142:AU147" si="202">IF(AU$140=0,0,SUMPRODUCT(AL$140:AO$140,AL142:AO142)/AU$140)</f>
        <v>3617.3315161639366</v>
      </c>
      <c r="AV142" s="747">
        <f t="shared" ref="AV142:AV147" si="203">IF(AV$140=0,0,SUMPRODUCT(AP$140:AS$140,AP142:AS142)/AV$140)</f>
        <v>3798.984822418377</v>
      </c>
      <c r="AW142" s="747">
        <f t="shared" si="199"/>
        <v>3703.7759602439951</v>
      </c>
      <c r="AY142" s="743">
        <f t="shared" ref="AY142:AY147" si="204">IF(AY$140=0,0,SUMPRODUCT(AT$140:AV$140,AT142:AV142)/AY$140)</f>
        <v>3703.7759602439951</v>
      </c>
    </row>
    <row r="143" spans="1:51">
      <c r="A143" s="742" t="s">
        <v>420</v>
      </c>
      <c r="B143" s="743">
        <v>116238.544507214</v>
      </c>
      <c r="C143" s="742"/>
      <c r="D143" s="743">
        <f t="shared" ref="D143:AG143" si="205">IF(D140=0,0,D$20)</f>
        <v>0</v>
      </c>
      <c r="E143" s="743">
        <f t="shared" si="205"/>
        <v>0</v>
      </c>
      <c r="F143" s="743">
        <f t="shared" si="205"/>
        <v>0</v>
      </c>
      <c r="G143" s="743">
        <f t="shared" si="205"/>
        <v>0</v>
      </c>
      <c r="H143" s="743">
        <f t="shared" si="205"/>
        <v>0</v>
      </c>
      <c r="I143" s="743">
        <f t="shared" si="205"/>
        <v>0</v>
      </c>
      <c r="J143" s="743">
        <f t="shared" si="205"/>
        <v>0</v>
      </c>
      <c r="K143" s="743">
        <f t="shared" si="205"/>
        <v>0</v>
      </c>
      <c r="L143" s="743">
        <f t="shared" si="205"/>
        <v>0</v>
      </c>
      <c r="M143" s="743">
        <f t="shared" si="205"/>
        <v>0</v>
      </c>
      <c r="N143" s="743">
        <f t="shared" si="205"/>
        <v>0</v>
      </c>
      <c r="O143" s="743">
        <f t="shared" si="205"/>
        <v>0</v>
      </c>
      <c r="P143" s="743">
        <f t="shared" si="205"/>
        <v>0</v>
      </c>
      <c r="Q143" s="743">
        <f t="shared" si="205"/>
        <v>0</v>
      </c>
      <c r="R143" s="743">
        <f t="shared" si="205"/>
        <v>0.14832572638988495</v>
      </c>
      <c r="S143" s="743">
        <f t="shared" si="205"/>
        <v>0</v>
      </c>
      <c r="T143" s="743">
        <f t="shared" si="205"/>
        <v>0</v>
      </c>
      <c r="U143" s="743">
        <f t="shared" si="205"/>
        <v>0.14260807633399963</v>
      </c>
      <c r="V143" s="743">
        <f t="shared" si="205"/>
        <v>0.11386600881814957</v>
      </c>
      <c r="W143" s="743">
        <f t="shared" si="205"/>
        <v>0.1719403862953186</v>
      </c>
      <c r="X143" s="743">
        <f t="shared" si="205"/>
        <v>0</v>
      </c>
      <c r="Y143" s="743">
        <f t="shared" si="205"/>
        <v>9.029320627450943E-2</v>
      </c>
      <c r="Z143" s="743">
        <f t="shared" si="205"/>
        <v>0.16780418157577515</v>
      </c>
      <c r="AA143" s="743">
        <f t="shared" si="205"/>
        <v>0</v>
      </c>
      <c r="AB143" s="743">
        <f t="shared" si="205"/>
        <v>0</v>
      </c>
      <c r="AC143" s="743">
        <f t="shared" si="205"/>
        <v>0</v>
      </c>
      <c r="AD143" s="743">
        <f t="shared" si="205"/>
        <v>0</v>
      </c>
      <c r="AE143" s="743">
        <f t="shared" si="205"/>
        <v>0</v>
      </c>
      <c r="AF143" s="743">
        <f t="shared" si="205"/>
        <v>0</v>
      </c>
      <c r="AG143" s="744">
        <f t="shared" si="205"/>
        <v>0</v>
      </c>
      <c r="AH143" s="762">
        <f t="shared" si="191"/>
        <v>0.11386600881814957</v>
      </c>
      <c r="AI143" s="760">
        <f t="shared" si="192"/>
        <v>9.029320627450943E-2</v>
      </c>
      <c r="AJ143" s="760"/>
      <c r="AK143" s="760"/>
      <c r="AL143" s="760">
        <f t="shared" si="193"/>
        <v>0.1719403862953186</v>
      </c>
      <c r="AM143" s="760">
        <f t="shared" si="194"/>
        <v>0.16780418157577515</v>
      </c>
      <c r="AN143" s="760">
        <f t="shared" si="195"/>
        <v>0</v>
      </c>
      <c r="AO143" s="761"/>
      <c r="AP143" s="761">
        <f t="shared" si="196"/>
        <v>0.14832572638988495</v>
      </c>
      <c r="AQ143" s="760">
        <f t="shared" si="197"/>
        <v>0.14260807633399963</v>
      </c>
      <c r="AR143" s="760">
        <f t="shared" si="198"/>
        <v>0</v>
      </c>
      <c r="AS143" s="867"/>
      <c r="AT143" s="746">
        <f t="shared" si="201"/>
        <v>0.1050043138979036</v>
      </c>
      <c r="AU143" s="743">
        <f t="shared" si="202"/>
        <v>0.17091648712828675</v>
      </c>
      <c r="AV143" s="747">
        <f t="shared" si="203"/>
        <v>0.14408770787027828</v>
      </c>
      <c r="AW143" s="747">
        <f t="shared" si="199"/>
        <v>0.12507583727283</v>
      </c>
      <c r="AY143" s="743">
        <f t="shared" si="204"/>
        <v>0.12507583727283</v>
      </c>
    </row>
    <row r="144" spans="1:51">
      <c r="A144" s="742" t="s">
        <v>464</v>
      </c>
      <c r="B144" s="743">
        <v>54685.953027353797</v>
      </c>
      <c r="C144" s="742"/>
      <c r="D144" s="743">
        <f t="shared" ref="D144:AG144" si="206">IF(D140=0,0,D$21)</f>
        <v>0</v>
      </c>
      <c r="E144" s="743">
        <f t="shared" si="206"/>
        <v>0</v>
      </c>
      <c r="F144" s="743">
        <f t="shared" si="206"/>
        <v>0</v>
      </c>
      <c r="G144" s="743">
        <f t="shared" si="206"/>
        <v>0</v>
      </c>
      <c r="H144" s="743">
        <f t="shared" si="206"/>
        <v>0</v>
      </c>
      <c r="I144" s="743">
        <f t="shared" si="206"/>
        <v>0</v>
      </c>
      <c r="J144" s="743">
        <f t="shared" si="206"/>
        <v>0</v>
      </c>
      <c r="K144" s="743">
        <f t="shared" si="206"/>
        <v>0</v>
      </c>
      <c r="L144" s="743">
        <f t="shared" si="206"/>
        <v>0</v>
      </c>
      <c r="M144" s="743">
        <f t="shared" si="206"/>
        <v>0</v>
      </c>
      <c r="N144" s="743">
        <f t="shared" si="206"/>
        <v>0</v>
      </c>
      <c r="O144" s="743">
        <f t="shared" si="206"/>
        <v>0</v>
      </c>
      <c r="P144" s="743">
        <f t="shared" si="206"/>
        <v>0</v>
      </c>
      <c r="Q144" s="743">
        <f t="shared" si="206"/>
        <v>0</v>
      </c>
      <c r="R144" s="743">
        <f t="shared" si="206"/>
        <v>7.0677318572998047</v>
      </c>
      <c r="S144" s="743">
        <f t="shared" si="206"/>
        <v>0</v>
      </c>
      <c r="T144" s="743">
        <f t="shared" si="206"/>
        <v>0</v>
      </c>
      <c r="U144" s="743">
        <f t="shared" si="206"/>
        <v>7.1375036239624023</v>
      </c>
      <c r="V144" s="743">
        <f t="shared" si="206"/>
        <v>8.9307069778442383</v>
      </c>
      <c r="W144" s="743">
        <f t="shared" si="206"/>
        <v>11.624541282653809</v>
      </c>
      <c r="X144" s="743">
        <f t="shared" si="206"/>
        <v>0</v>
      </c>
      <c r="Y144" s="743">
        <f t="shared" si="206"/>
        <v>8.7291669845581055</v>
      </c>
      <c r="Z144" s="743">
        <f t="shared" si="206"/>
        <v>11.979596138000488</v>
      </c>
      <c r="AA144" s="743">
        <f t="shared" si="206"/>
        <v>0</v>
      </c>
      <c r="AB144" s="743">
        <f t="shared" si="206"/>
        <v>0</v>
      </c>
      <c r="AC144" s="743">
        <f t="shared" si="206"/>
        <v>0</v>
      </c>
      <c r="AD144" s="743">
        <f t="shared" si="206"/>
        <v>0</v>
      </c>
      <c r="AE144" s="743">
        <f t="shared" si="206"/>
        <v>0</v>
      </c>
      <c r="AF144" s="743">
        <f t="shared" si="206"/>
        <v>0</v>
      </c>
      <c r="AG144" s="744">
        <f t="shared" si="206"/>
        <v>0</v>
      </c>
      <c r="AH144" s="762">
        <f t="shared" si="191"/>
        <v>8.9307069778442383</v>
      </c>
      <c r="AI144" s="760">
        <f t="shared" si="192"/>
        <v>8.7291669845581055</v>
      </c>
      <c r="AJ144" s="760"/>
      <c r="AK144" s="760"/>
      <c r="AL144" s="760">
        <f t="shared" si="193"/>
        <v>11.624541282653809</v>
      </c>
      <c r="AM144" s="760">
        <f t="shared" si="194"/>
        <v>11.979596138000488</v>
      </c>
      <c r="AN144" s="760">
        <f t="shared" si="195"/>
        <v>0</v>
      </c>
      <c r="AO144" s="761"/>
      <c r="AP144" s="761">
        <f t="shared" si="196"/>
        <v>7.0677318572998047</v>
      </c>
      <c r="AQ144" s="760">
        <f t="shared" si="197"/>
        <v>7.1375036239624023</v>
      </c>
      <c r="AR144" s="760">
        <f t="shared" si="198"/>
        <v>0</v>
      </c>
      <c r="AS144" s="867"/>
      <c r="AT144" s="746">
        <f t="shared" si="201"/>
        <v>8.8549422938859443</v>
      </c>
      <c r="AU144" s="743">
        <f t="shared" si="202"/>
        <v>11.712433540240182</v>
      </c>
      <c r="AV144" s="747">
        <f t="shared" si="203"/>
        <v>7.1194478658647924</v>
      </c>
      <c r="AW144" s="747">
        <f t="shared" si="199"/>
        <v>8.5920853378309712</v>
      </c>
      <c r="AY144" s="743">
        <f t="shared" si="204"/>
        <v>8.5920853378309694</v>
      </c>
    </row>
    <row r="145" spans="1:51">
      <c r="A145" s="742" t="s">
        <v>416</v>
      </c>
      <c r="B145" s="743"/>
      <c r="C145" s="742"/>
      <c r="D145" s="743">
        <f>IF(D140=0,0,D$22)</f>
        <v>0</v>
      </c>
      <c r="E145" s="743">
        <f>IF(E140=0,0,E$22)</f>
        <v>0</v>
      </c>
      <c r="F145" s="743">
        <f>IF(F140=0,0,F$22)</f>
        <v>0</v>
      </c>
      <c r="G145" s="743">
        <f>IF(G140=0,0,G$22)</f>
        <v>0</v>
      </c>
      <c r="H145" s="743">
        <f>IF(H140=0,0,H$22)</f>
        <v>0</v>
      </c>
      <c r="I145" s="743">
        <f t="shared" ref="I145:AG145" si="207">IF(I140=0,0,I$22)</f>
        <v>0</v>
      </c>
      <c r="J145" s="743">
        <f t="shared" si="207"/>
        <v>0</v>
      </c>
      <c r="K145" s="743">
        <f t="shared" si="207"/>
        <v>0</v>
      </c>
      <c r="L145" s="743">
        <f t="shared" si="207"/>
        <v>0</v>
      </c>
      <c r="M145" s="743">
        <f t="shared" si="207"/>
        <v>0</v>
      </c>
      <c r="N145" s="743">
        <f t="shared" si="207"/>
        <v>0</v>
      </c>
      <c r="O145" s="743">
        <f t="shared" si="207"/>
        <v>0</v>
      </c>
      <c r="P145" s="743">
        <f t="shared" si="207"/>
        <v>0</v>
      </c>
      <c r="Q145" s="743">
        <f t="shared" si="207"/>
        <v>0</v>
      </c>
      <c r="R145" s="743">
        <f t="shared" si="207"/>
        <v>38.605861663818359</v>
      </c>
      <c r="S145" s="743">
        <f t="shared" si="207"/>
        <v>0</v>
      </c>
      <c r="T145" s="743">
        <f t="shared" si="207"/>
        <v>0</v>
      </c>
      <c r="U145" s="743">
        <f t="shared" si="207"/>
        <v>38.886619567871094</v>
      </c>
      <c r="V145" s="743">
        <f t="shared" si="207"/>
        <v>37.687946319580078</v>
      </c>
      <c r="W145" s="743">
        <f t="shared" si="207"/>
        <v>37.029930114746094</v>
      </c>
      <c r="X145" s="743">
        <f t="shared" si="207"/>
        <v>0</v>
      </c>
      <c r="Y145" s="743">
        <f t="shared" si="207"/>
        <v>37.757518768310547</v>
      </c>
      <c r="Z145" s="743">
        <f t="shared" si="207"/>
        <v>36.866626739501953</v>
      </c>
      <c r="AA145" s="743">
        <f t="shared" si="207"/>
        <v>0</v>
      </c>
      <c r="AB145" s="743">
        <f t="shared" si="207"/>
        <v>0</v>
      </c>
      <c r="AC145" s="743">
        <f t="shared" si="207"/>
        <v>0</v>
      </c>
      <c r="AD145" s="743">
        <f t="shared" si="207"/>
        <v>0</v>
      </c>
      <c r="AE145" s="743">
        <f t="shared" si="207"/>
        <v>0</v>
      </c>
      <c r="AF145" s="743">
        <f t="shared" si="207"/>
        <v>0</v>
      </c>
      <c r="AG145" s="744">
        <f t="shared" si="207"/>
        <v>0</v>
      </c>
      <c r="AH145" s="762">
        <f t="shared" si="191"/>
        <v>37.687946319580078</v>
      </c>
      <c r="AI145" s="760">
        <f t="shared" si="192"/>
        <v>37.757518768310547</v>
      </c>
      <c r="AJ145" s="760"/>
      <c r="AK145" s="760"/>
      <c r="AL145" s="760">
        <f t="shared" si="193"/>
        <v>37.029930114746094</v>
      </c>
      <c r="AM145" s="760">
        <f t="shared" si="194"/>
        <v>36.866626739501953</v>
      </c>
      <c r="AN145" s="760">
        <f t="shared" si="195"/>
        <v>0</v>
      </c>
      <c r="AO145" s="761"/>
      <c r="AP145" s="761">
        <f t="shared" si="196"/>
        <v>38.605861663818359</v>
      </c>
      <c r="AQ145" s="760">
        <f t="shared" si="197"/>
        <v>38.886619567871094</v>
      </c>
      <c r="AR145" s="760">
        <f t="shared" si="198"/>
        <v>0</v>
      </c>
      <c r="AS145" s="867"/>
      <c r="AT145" s="746">
        <f t="shared" si="201"/>
        <v>37.714100605408525</v>
      </c>
      <c r="AU145" s="743">
        <f t="shared" si="202"/>
        <v>36.989505087160801</v>
      </c>
      <c r="AV145" s="747">
        <f t="shared" si="203"/>
        <v>38.813964150901612</v>
      </c>
      <c r="AW145" s="747">
        <f t="shared" si="199"/>
        <v>37.998705852879404</v>
      </c>
      <c r="AY145" s="743">
        <f t="shared" si="204"/>
        <v>37.998705852879404</v>
      </c>
    </row>
    <row r="146" spans="1:51">
      <c r="A146" s="742" t="s">
        <v>465</v>
      </c>
      <c r="B146" s="743"/>
      <c r="C146" s="742"/>
      <c r="D146" s="743">
        <f t="shared" ref="D146:Q146" si="208">IF(D140=0,0,D$23)</f>
        <v>0</v>
      </c>
      <c r="E146" s="743">
        <f t="shared" si="208"/>
        <v>0</v>
      </c>
      <c r="F146" s="743">
        <f t="shared" si="208"/>
        <v>0</v>
      </c>
      <c r="G146" s="743">
        <f t="shared" si="208"/>
        <v>0</v>
      </c>
      <c r="H146" s="743">
        <f t="shared" si="208"/>
        <v>0</v>
      </c>
      <c r="I146" s="743">
        <f t="shared" si="208"/>
        <v>0</v>
      </c>
      <c r="J146" s="743">
        <f t="shared" si="208"/>
        <v>0</v>
      </c>
      <c r="K146" s="743">
        <f t="shared" si="208"/>
        <v>0</v>
      </c>
      <c r="L146" s="743">
        <f t="shared" si="208"/>
        <v>0</v>
      </c>
      <c r="M146" s="743">
        <f t="shared" si="208"/>
        <v>0</v>
      </c>
      <c r="N146" s="743">
        <f t="shared" si="208"/>
        <v>0</v>
      </c>
      <c r="O146" s="743">
        <f t="shared" si="208"/>
        <v>0</v>
      </c>
      <c r="P146" s="743">
        <f t="shared" si="208"/>
        <v>0</v>
      </c>
      <c r="Q146" s="743">
        <f t="shared" si="208"/>
        <v>0</v>
      </c>
      <c r="R146" s="743">
        <f>IF(R140=0,0,R$23)</f>
        <v>26.412843704223633</v>
      </c>
      <c r="S146" s="743">
        <f t="shared" ref="S146:AG146" si="209">IF(S140=0,0,S$23)</f>
        <v>0</v>
      </c>
      <c r="T146" s="743">
        <f t="shared" si="209"/>
        <v>0</v>
      </c>
      <c r="U146" s="743">
        <f t="shared" si="209"/>
        <v>28.298345565795898</v>
      </c>
      <c r="V146" s="743">
        <f t="shared" si="209"/>
        <v>25.875955581665039</v>
      </c>
      <c r="W146" s="743">
        <f t="shared" si="209"/>
        <v>22.734758377075195</v>
      </c>
      <c r="X146" s="743">
        <f t="shared" si="209"/>
        <v>0</v>
      </c>
      <c r="Y146" s="743">
        <f t="shared" si="209"/>
        <v>27.252420425415039</v>
      </c>
      <c r="Z146" s="743">
        <f t="shared" si="209"/>
        <v>23.772018432617188</v>
      </c>
      <c r="AA146" s="743">
        <f t="shared" si="209"/>
        <v>0</v>
      </c>
      <c r="AB146" s="743">
        <f t="shared" si="209"/>
        <v>0</v>
      </c>
      <c r="AC146" s="743">
        <f t="shared" si="209"/>
        <v>0</v>
      </c>
      <c r="AD146" s="743">
        <f t="shared" si="209"/>
        <v>0</v>
      </c>
      <c r="AE146" s="743">
        <f t="shared" si="209"/>
        <v>0</v>
      </c>
      <c r="AF146" s="743">
        <f t="shared" si="209"/>
        <v>0</v>
      </c>
      <c r="AG146" s="743">
        <f t="shared" si="209"/>
        <v>0</v>
      </c>
      <c r="AH146" s="762">
        <f t="shared" si="191"/>
        <v>25.875955581665039</v>
      </c>
      <c r="AI146" s="760">
        <f t="shared" si="192"/>
        <v>27.252420425415039</v>
      </c>
      <c r="AJ146" s="760"/>
      <c r="AK146" s="760"/>
      <c r="AL146" s="760">
        <f t="shared" si="193"/>
        <v>22.734758377075195</v>
      </c>
      <c r="AM146" s="760">
        <f t="shared" si="194"/>
        <v>23.772018432617188</v>
      </c>
      <c r="AN146" s="760">
        <f t="shared" si="195"/>
        <v>0</v>
      </c>
      <c r="AO146" s="761"/>
      <c r="AP146" s="761">
        <f t="shared" si="196"/>
        <v>26.412843704223633</v>
      </c>
      <c r="AQ146" s="760">
        <f t="shared" si="197"/>
        <v>28.298345565795898</v>
      </c>
      <c r="AR146" s="760">
        <f t="shared" si="198"/>
        <v>0</v>
      </c>
      <c r="AS146" s="867"/>
      <c r="AT146" s="746">
        <f t="shared" si="201"/>
        <v>26.393408332188649</v>
      </c>
      <c r="AU146" s="743">
        <f t="shared" si="202"/>
        <v>22.991527511795901</v>
      </c>
      <c r="AV146" s="747">
        <f t="shared" si="203"/>
        <v>27.810409440145332</v>
      </c>
      <c r="AW146" s="747">
        <f t="shared" si="199"/>
        <v>26.49191157552184</v>
      </c>
      <c r="AY146" s="743">
        <f t="shared" si="204"/>
        <v>26.491911575521847</v>
      </c>
    </row>
    <row r="147" spans="1:51" ht="15" thickBot="1">
      <c r="A147" s="742" t="s">
        <v>419</v>
      </c>
      <c r="B147" s="743"/>
      <c r="C147" s="742"/>
      <c r="D147" s="743">
        <f t="shared" ref="D147:Q147" si="210">IF(D140=0,0,D$24)</f>
        <v>0</v>
      </c>
      <c r="E147" s="743">
        <f t="shared" si="210"/>
        <v>0</v>
      </c>
      <c r="F147" s="743">
        <f t="shared" si="210"/>
        <v>0</v>
      </c>
      <c r="G147" s="743">
        <f t="shared" si="210"/>
        <v>0</v>
      </c>
      <c r="H147" s="743">
        <f t="shared" si="210"/>
        <v>0</v>
      </c>
      <c r="I147" s="743">
        <f t="shared" si="210"/>
        <v>0</v>
      </c>
      <c r="J147" s="743">
        <f t="shared" si="210"/>
        <v>0</v>
      </c>
      <c r="K147" s="743">
        <f t="shared" si="210"/>
        <v>0</v>
      </c>
      <c r="L147" s="743">
        <f t="shared" si="210"/>
        <v>0</v>
      </c>
      <c r="M147" s="743">
        <f t="shared" si="210"/>
        <v>0</v>
      </c>
      <c r="N147" s="743">
        <f t="shared" si="210"/>
        <v>0</v>
      </c>
      <c r="O147" s="743">
        <f t="shared" si="210"/>
        <v>0</v>
      </c>
      <c r="P147" s="743">
        <f t="shared" si="210"/>
        <v>0</v>
      </c>
      <c r="Q147" s="743">
        <f t="shared" si="210"/>
        <v>0</v>
      </c>
      <c r="R147" s="743">
        <f>IF(R140=0,0,R$24)</f>
        <v>37.768016815185547</v>
      </c>
      <c r="S147" s="743">
        <f t="shared" ref="S147:AG147" si="211">IF(S140=0,0,S$24)</f>
        <v>0</v>
      </c>
      <c r="T147" s="743">
        <f t="shared" si="211"/>
        <v>0</v>
      </c>
      <c r="U147" s="743">
        <f t="shared" si="211"/>
        <v>37.175022125244141</v>
      </c>
      <c r="V147" s="743">
        <f t="shared" si="211"/>
        <v>36.646259307861328</v>
      </c>
      <c r="W147" s="743">
        <f t="shared" si="211"/>
        <v>36.743991851806641</v>
      </c>
      <c r="X147" s="743">
        <f t="shared" si="211"/>
        <v>0</v>
      </c>
      <c r="Y147" s="743">
        <f t="shared" si="211"/>
        <v>36.197654724121094</v>
      </c>
      <c r="Z147" s="743">
        <f t="shared" si="211"/>
        <v>36.8739013671875</v>
      </c>
      <c r="AA147" s="743">
        <f t="shared" si="211"/>
        <v>0</v>
      </c>
      <c r="AB147" s="743">
        <f t="shared" si="211"/>
        <v>0</v>
      </c>
      <c r="AC147" s="743">
        <f t="shared" si="211"/>
        <v>0</v>
      </c>
      <c r="AD147" s="743">
        <f t="shared" si="211"/>
        <v>0</v>
      </c>
      <c r="AE147" s="743">
        <f t="shared" si="211"/>
        <v>0</v>
      </c>
      <c r="AF147" s="743">
        <f t="shared" si="211"/>
        <v>0</v>
      </c>
      <c r="AG147" s="743">
        <f t="shared" si="211"/>
        <v>0</v>
      </c>
      <c r="AH147" s="762">
        <f t="shared" si="191"/>
        <v>36.646259307861328</v>
      </c>
      <c r="AI147" s="760">
        <f t="shared" si="192"/>
        <v>36.197654724121094</v>
      </c>
      <c r="AJ147" s="760"/>
      <c r="AK147" s="760"/>
      <c r="AL147" s="760">
        <f t="shared" si="193"/>
        <v>36.743991851806641</v>
      </c>
      <c r="AM147" s="760">
        <f t="shared" si="194"/>
        <v>36.8739013671875</v>
      </c>
      <c r="AN147" s="760">
        <f t="shared" si="195"/>
        <v>0</v>
      </c>
      <c r="AO147" s="761"/>
      <c r="AP147" s="761">
        <f t="shared" si="196"/>
        <v>37.768016815185547</v>
      </c>
      <c r="AQ147" s="760">
        <f t="shared" si="197"/>
        <v>37.175022125244141</v>
      </c>
      <c r="AR147" s="760">
        <f t="shared" si="198"/>
        <v>0</v>
      </c>
      <c r="AS147" s="929"/>
      <c r="AT147" s="746">
        <f t="shared" si="201"/>
        <v>36.477615933635022</v>
      </c>
      <c r="AU147" s="743">
        <f t="shared" si="202"/>
        <v>36.776150377219928</v>
      </c>
      <c r="AV147" s="747">
        <f t="shared" si="203"/>
        <v>37.328479163626533</v>
      </c>
      <c r="AW147" s="777">
        <f t="shared" si="199"/>
        <v>36.791121435322857</v>
      </c>
      <c r="AY147" s="743">
        <f t="shared" si="204"/>
        <v>36.791121435322864</v>
      </c>
    </row>
    <row r="154" spans="1:51">
      <c r="B154" s="880" t="s">
        <v>458</v>
      </c>
      <c r="E154" s="817" t="s">
        <v>481</v>
      </c>
      <c r="F154" s="881">
        <v>13483.24</v>
      </c>
      <c r="G154" s="731">
        <v>15358.2888010635</v>
      </c>
      <c r="S154" s="880" t="s">
        <v>458</v>
      </c>
      <c r="T154" s="880" t="s">
        <v>209</v>
      </c>
    </row>
    <row r="155" spans="1:51">
      <c r="B155" s="731" t="s">
        <v>459</v>
      </c>
      <c r="E155" s="817" t="s">
        <v>482</v>
      </c>
      <c r="F155" s="881">
        <v>71559.64</v>
      </c>
      <c r="G155" s="731">
        <v>81511.092112885104</v>
      </c>
      <c r="S155" s="731" t="s">
        <v>459</v>
      </c>
      <c r="U155" s="731">
        <f>Y17-Y39</f>
        <v>24031.045251643875</v>
      </c>
      <c r="V155" s="731">
        <f>AB17-AB39</f>
        <v>70194.8046875</v>
      </c>
      <c r="W155" s="731">
        <f>AE17-AE39</f>
        <v>2524.28955078125</v>
      </c>
      <c r="AH155" s="731">
        <f>SUM(T155:AG155)</f>
        <v>96750.139489925117</v>
      </c>
    </row>
    <row r="156" spans="1:51">
      <c r="B156" s="731" t="s">
        <v>460</v>
      </c>
      <c r="E156" s="817" t="s">
        <v>483</v>
      </c>
      <c r="F156" s="881">
        <v>11527.54</v>
      </c>
      <c r="G156" s="731">
        <v>13130.6190860514</v>
      </c>
      <c r="S156" s="731" t="s">
        <v>460</v>
      </c>
      <c r="U156" s="731">
        <f t="shared" ref="U156:U162" si="212">Y18</f>
        <v>4280.3125</v>
      </c>
      <c r="V156" s="731">
        <f t="shared" ref="V156:V162" si="213">AB18</f>
        <v>4280.3125</v>
      </c>
      <c r="W156" s="731">
        <f t="shared" ref="W156:W162" si="214">AE18</f>
        <v>4351.2998046875</v>
      </c>
      <c r="AH156" s="731">
        <f>IF($AH$155=0,0,(SUMPRODUCT(U156:W156,$U$155:$W$155)/AH$155))</f>
        <v>4282.1646163112064</v>
      </c>
    </row>
    <row r="157" spans="1:51">
      <c r="B157" s="731" t="s">
        <v>462</v>
      </c>
      <c r="F157" s="882">
        <v>96570.42</v>
      </c>
      <c r="G157" s="731">
        <v>110000</v>
      </c>
      <c r="S157" s="731" t="s">
        <v>462</v>
      </c>
      <c r="U157" s="731">
        <f t="shared" si="212"/>
        <v>3650.5751953125</v>
      </c>
      <c r="V157" s="731">
        <f t="shared" si="213"/>
        <v>3650.5751953125</v>
      </c>
      <c r="W157" s="731">
        <f t="shared" si="214"/>
        <v>3817.045654296875</v>
      </c>
      <c r="AH157" s="731">
        <f t="shared" ref="AH157:AH162" si="215">IF($AH$155=0,0,(SUMPRODUCT(U157:W157,$U$155:$W$155)/AH$155))</f>
        <v>3654.9185445039689</v>
      </c>
    </row>
    <row r="158" spans="1:51">
      <c r="B158" s="731" t="s">
        <v>420</v>
      </c>
      <c r="S158" s="731" t="s">
        <v>420</v>
      </c>
      <c r="U158" s="731">
        <f t="shared" si="212"/>
        <v>9.029320627450943E-2</v>
      </c>
      <c r="V158" s="731">
        <f t="shared" si="213"/>
        <v>9.029320627450943E-2</v>
      </c>
      <c r="W158" s="731">
        <f t="shared" si="214"/>
        <v>0.11249123513698578</v>
      </c>
      <c r="AH158" s="731">
        <f t="shared" si="215"/>
        <v>9.0872370838001607E-2</v>
      </c>
    </row>
    <row r="159" spans="1:51">
      <c r="B159" s="731" t="s">
        <v>464</v>
      </c>
      <c r="S159" s="731" t="s">
        <v>464</v>
      </c>
      <c r="U159" s="731">
        <f t="shared" si="212"/>
        <v>8.7291669845581055</v>
      </c>
      <c r="V159" s="731">
        <f t="shared" si="213"/>
        <v>8.7291669845581055</v>
      </c>
      <c r="W159" s="731">
        <f t="shared" si="214"/>
        <v>7.3100566864013672</v>
      </c>
      <c r="AH159" s="731">
        <f t="shared" si="215"/>
        <v>8.6921412467562895</v>
      </c>
    </row>
    <row r="160" spans="1:51">
      <c r="B160" s="731" t="s">
        <v>416</v>
      </c>
      <c r="S160" s="731" t="s">
        <v>416</v>
      </c>
      <c r="U160" s="731">
        <f t="shared" si="212"/>
        <v>37.757518768310547</v>
      </c>
      <c r="V160" s="731">
        <f t="shared" si="213"/>
        <v>37.757518768310547</v>
      </c>
      <c r="W160" s="731">
        <f t="shared" si="214"/>
        <v>37.535720825195313</v>
      </c>
      <c r="AH160" s="731">
        <f t="shared" si="215"/>
        <v>37.751731880217754</v>
      </c>
    </row>
    <row r="161" spans="2:34">
      <c r="B161" s="731" t="s">
        <v>465</v>
      </c>
      <c r="S161" s="731" t="s">
        <v>465</v>
      </c>
      <c r="U161" s="731">
        <f t="shared" si="212"/>
        <v>27.252420425415039</v>
      </c>
      <c r="V161" s="731">
        <f t="shared" si="213"/>
        <v>27.252420425415039</v>
      </c>
      <c r="W161" s="731">
        <f t="shared" si="214"/>
        <v>28.867856979370117</v>
      </c>
      <c r="AH161" s="731">
        <f t="shared" si="215"/>
        <v>27.29456847434394</v>
      </c>
    </row>
    <row r="162" spans="2:34">
      <c r="B162" s="731" t="s">
        <v>419</v>
      </c>
      <c r="S162" s="731" t="s">
        <v>419</v>
      </c>
      <c r="U162" s="731">
        <f t="shared" si="212"/>
        <v>36.197654724121094</v>
      </c>
      <c r="V162" s="731">
        <f t="shared" si="213"/>
        <v>36.197654724121094</v>
      </c>
      <c r="W162" s="731">
        <f t="shared" si="214"/>
        <v>36.288471221923828</v>
      </c>
      <c r="AH162" s="731">
        <f t="shared" si="215"/>
        <v>36.200024200151319</v>
      </c>
    </row>
    <row r="164" spans="2:34">
      <c r="B164" s="880" t="s">
        <v>458</v>
      </c>
      <c r="S164" s="880" t="s">
        <v>458</v>
      </c>
      <c r="T164" s="880" t="s">
        <v>208</v>
      </c>
    </row>
    <row r="165" spans="2:34">
      <c r="B165" s="731" t="s">
        <v>459</v>
      </c>
      <c r="S165" s="731" t="s">
        <v>459</v>
      </c>
      <c r="AH165" s="731">
        <f>SUM(T165:AG165)</f>
        <v>0</v>
      </c>
    </row>
    <row r="166" spans="2:34">
      <c r="B166" s="731" t="s">
        <v>460</v>
      </c>
      <c r="S166" s="731" t="s">
        <v>460</v>
      </c>
    </row>
    <row r="167" spans="2:34">
      <c r="B167" s="731" t="s">
        <v>462</v>
      </c>
      <c r="S167" s="731" t="s">
        <v>462</v>
      </c>
    </row>
    <row r="168" spans="2:34">
      <c r="B168" s="731" t="s">
        <v>420</v>
      </c>
      <c r="S168" s="731" t="s">
        <v>420</v>
      </c>
    </row>
    <row r="169" spans="2:34">
      <c r="B169" s="731" t="s">
        <v>464</v>
      </c>
      <c r="S169" s="731" t="s">
        <v>464</v>
      </c>
    </row>
    <row r="170" spans="2:34">
      <c r="B170" s="731" t="s">
        <v>416</v>
      </c>
      <c r="S170" s="731" t="s">
        <v>416</v>
      </c>
    </row>
    <row r="171" spans="2:34">
      <c r="B171" s="731" t="s">
        <v>465</v>
      </c>
      <c r="S171" s="731" t="s">
        <v>465</v>
      </c>
    </row>
    <row r="172" spans="2:34">
      <c r="B172" s="731" t="s">
        <v>419</v>
      </c>
      <c r="S172" s="731" t="s">
        <v>419</v>
      </c>
    </row>
    <row r="174" spans="2:34">
      <c r="B174" s="880" t="s">
        <v>458</v>
      </c>
      <c r="S174" s="880" t="s">
        <v>458</v>
      </c>
      <c r="T174" s="880" t="s">
        <v>210</v>
      </c>
    </row>
    <row r="175" spans="2:34">
      <c r="B175" s="731" t="s">
        <v>459</v>
      </c>
      <c r="S175" s="731" t="s">
        <v>459</v>
      </c>
      <c r="U175" s="731">
        <f>U17-U39</f>
        <v>13398.625</v>
      </c>
      <c r="V175" s="731">
        <f>X17-X39</f>
        <v>74004.375</v>
      </c>
      <c r="W175" s="731">
        <f>AA17-AA39</f>
        <v>33170.98046875</v>
      </c>
      <c r="X175" s="731">
        <f>AD17-AD39</f>
        <v>33170.98046875</v>
      </c>
      <c r="AH175" s="731">
        <f>SUM(T175:AG175)</f>
        <v>153744.9609375</v>
      </c>
    </row>
    <row r="176" spans="2:34">
      <c r="B176" s="731" t="s">
        <v>460</v>
      </c>
      <c r="S176" s="731" t="s">
        <v>460</v>
      </c>
      <c r="U176" s="731">
        <f t="shared" ref="U176:U182" si="216">U18</f>
        <v>4452.82763671875</v>
      </c>
      <c r="V176" s="731">
        <f t="shared" ref="V176:V182" si="217">X18</f>
        <v>4287.044921875</v>
      </c>
      <c r="W176" s="731">
        <f t="shared" ref="W176:W182" si="218">AA18</f>
        <v>4338.39453125</v>
      </c>
      <c r="X176" s="731">
        <f t="shared" ref="X176:X182" si="219">AD18</f>
        <v>4338.39453125</v>
      </c>
      <c r="AH176" s="731">
        <f>IF($AH$175=0,0,(SUMPRODUCT(U176:X176,$U$175:$X$175)/AH$175))</f>
        <v>4323.6503115584601</v>
      </c>
    </row>
    <row r="177" spans="2:34">
      <c r="B177" s="731" t="s">
        <v>462</v>
      </c>
      <c r="S177" s="731" t="s">
        <v>462</v>
      </c>
      <c r="U177" s="731">
        <f t="shared" si="216"/>
        <v>3791.708251953125</v>
      </c>
      <c r="V177" s="731">
        <f t="shared" si="217"/>
        <v>3631.414306640625</v>
      </c>
      <c r="W177" s="731">
        <f t="shared" si="218"/>
        <v>3679.520263671875</v>
      </c>
      <c r="X177" s="731">
        <f t="shared" si="219"/>
        <v>3679.520263671875</v>
      </c>
      <c r="AH177" s="731">
        <f t="shared" ref="AH177:AH182" si="220">IF($AH$175=0,0,(SUMPRODUCT(U177:X177,$U$175:$X$175)/AH$175))</f>
        <v>3666.1417016243954</v>
      </c>
    </row>
    <row r="178" spans="2:34">
      <c r="B178" s="731" t="s">
        <v>420</v>
      </c>
      <c r="S178" s="731" t="s">
        <v>420</v>
      </c>
      <c r="U178" s="731">
        <f t="shared" si="216"/>
        <v>0.14260807633399963</v>
      </c>
      <c r="V178" s="731">
        <f t="shared" si="217"/>
        <v>0.1398918479681015</v>
      </c>
      <c r="W178" s="731">
        <f t="shared" si="218"/>
        <v>0.136100172996521</v>
      </c>
      <c r="X178" s="731">
        <f t="shared" si="219"/>
        <v>0.136100172996521</v>
      </c>
      <c r="AH178" s="731">
        <f t="shared" si="220"/>
        <v>0.13849243021644769</v>
      </c>
    </row>
    <row r="179" spans="2:34">
      <c r="B179" s="731" t="s">
        <v>464</v>
      </c>
      <c r="S179" s="731" t="s">
        <v>464</v>
      </c>
      <c r="U179" s="731">
        <f t="shared" si="216"/>
        <v>7.1375036239624023</v>
      </c>
      <c r="V179" s="731">
        <f t="shared" si="217"/>
        <v>8.9272832870483398</v>
      </c>
      <c r="W179" s="731">
        <f t="shared" si="218"/>
        <v>9.6160745620727539</v>
      </c>
      <c r="X179" s="731">
        <f t="shared" si="219"/>
        <v>9.6160745620727539</v>
      </c>
      <c r="AH179" s="731">
        <f t="shared" si="220"/>
        <v>9.0685248418351225</v>
      </c>
    </row>
    <row r="180" spans="2:34">
      <c r="B180" s="731" t="s">
        <v>416</v>
      </c>
      <c r="S180" s="731" t="s">
        <v>416</v>
      </c>
      <c r="U180" s="731">
        <f t="shared" si="216"/>
        <v>38.886619567871094</v>
      </c>
      <c r="V180" s="731">
        <f t="shared" si="217"/>
        <v>38.726348876953125</v>
      </c>
      <c r="W180" s="731">
        <f t="shared" si="218"/>
        <v>37.91650390625</v>
      </c>
      <c r="X180" s="731">
        <f t="shared" si="219"/>
        <v>37.91650390625</v>
      </c>
      <c r="AH180" s="731">
        <f t="shared" si="220"/>
        <v>38.390862782246678</v>
      </c>
    </row>
    <row r="181" spans="2:34">
      <c r="B181" s="731" t="s">
        <v>465</v>
      </c>
      <c r="S181" s="731" t="s">
        <v>465</v>
      </c>
      <c r="U181" s="731">
        <f t="shared" si="216"/>
        <v>28.298345565795898</v>
      </c>
      <c r="V181" s="731">
        <f t="shared" si="217"/>
        <v>27.863252639770508</v>
      </c>
      <c r="W181" s="731">
        <f t="shared" si="218"/>
        <v>26.967010498046875</v>
      </c>
      <c r="X181" s="731">
        <f t="shared" si="219"/>
        <v>26.967010498046875</v>
      </c>
      <c r="AH181" s="731">
        <f t="shared" si="220"/>
        <v>27.514435911899962</v>
      </c>
    </row>
    <row r="182" spans="2:34">
      <c r="B182" s="731" t="s">
        <v>419</v>
      </c>
      <c r="S182" s="731" t="s">
        <v>419</v>
      </c>
      <c r="U182" s="731">
        <f t="shared" si="216"/>
        <v>37.175022125244141</v>
      </c>
      <c r="V182" s="731">
        <f t="shared" si="217"/>
        <v>37.020408630371094</v>
      </c>
      <c r="W182" s="731">
        <f t="shared" si="218"/>
        <v>37.516735076904297</v>
      </c>
      <c r="X182" s="731">
        <f t="shared" si="219"/>
        <v>37.516735076904297</v>
      </c>
      <c r="AH182" s="731">
        <f t="shared" si="220"/>
        <v>37.248051069853226</v>
      </c>
    </row>
    <row r="183" spans="2:34">
      <c r="AH183" s="817"/>
    </row>
  </sheetData>
  <mergeCells count="17">
    <mergeCell ref="AT4:AV4"/>
    <mergeCell ref="AH5:AI5"/>
    <mergeCell ref="AL5:AM5"/>
    <mergeCell ref="AP5:AQ5"/>
    <mergeCell ref="D3:AG3"/>
    <mergeCell ref="AT3:AV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Q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theme="0" tint="-0.34998626667073579"/>
  </sheetPr>
  <dimension ref="B1:AG110"/>
  <sheetViews>
    <sheetView zoomScale="70" zoomScaleNormal="70" workbookViewId="0">
      <pane xSplit="2" ySplit="3" topLeftCell="K43" activePane="bottomRight" state="frozen"/>
      <selection pane="bottomRight" activeCell="C1" sqref="C1"/>
      <selection pane="bottomLeft" activeCell="A4" sqref="A4"/>
      <selection pane="topRight" activeCell="C1" sqref="C1"/>
    </sheetView>
  </sheetViews>
  <sheetFormatPr defaultRowHeight="14.45"/>
  <cols>
    <col min="2" max="2" width="12.7109375" customWidth="1"/>
    <col min="3" max="3" width="12.85546875" customWidth="1"/>
    <col min="4" max="4" width="10" bestFit="1" customWidth="1"/>
    <col min="5" max="5" width="11.28515625" customWidth="1"/>
    <col min="6" max="9" width="11.140625" bestFit="1" customWidth="1"/>
    <col min="10" max="10" width="12.28515625" bestFit="1" customWidth="1"/>
    <col min="11" max="12" width="11.140625" bestFit="1" customWidth="1"/>
    <col min="13" max="13" width="12.28515625" bestFit="1" customWidth="1"/>
    <col min="14" max="15" width="11.140625" bestFit="1" customWidth="1"/>
    <col min="16" max="16" width="12.28515625" bestFit="1" customWidth="1"/>
    <col min="17" max="18" width="11.140625" bestFit="1" customWidth="1"/>
    <col min="19" max="19" width="12.28515625" bestFit="1" customWidth="1"/>
    <col min="20" max="21" width="11.140625" bestFit="1" customWidth="1"/>
    <col min="22" max="22" width="12.28515625" bestFit="1" customWidth="1"/>
    <col min="23" max="24" width="11.140625" bestFit="1" customWidth="1"/>
    <col min="25" max="25" width="12.28515625" bestFit="1" customWidth="1"/>
    <col min="26" max="30" width="11.140625" bestFit="1" customWidth="1"/>
    <col min="31" max="32" width="10" bestFit="1" customWidth="1"/>
    <col min="33" max="33" width="13.7109375" bestFit="1" customWidth="1"/>
  </cols>
  <sheetData>
    <row r="1" spans="2:33"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  <c r="P1" s="1384"/>
      <c r="Q1" s="1384"/>
      <c r="R1" s="1384"/>
      <c r="S1" s="1384"/>
      <c r="T1" s="1384"/>
      <c r="U1" s="1384"/>
      <c r="V1" s="1384"/>
      <c r="W1" s="1384"/>
      <c r="X1" s="1384"/>
      <c r="Y1" s="1384"/>
      <c r="Z1" s="1384"/>
      <c r="AA1" s="1384"/>
      <c r="AB1" s="1384"/>
      <c r="AC1" s="1384"/>
      <c r="AD1" s="1384"/>
      <c r="AE1" s="1384"/>
      <c r="AF1" s="1385"/>
    </row>
    <row r="2" spans="2:33">
      <c r="B2" s="392" t="s">
        <v>484</v>
      </c>
      <c r="C2" s="1389" t="s">
        <v>433</v>
      </c>
      <c r="D2" s="1390"/>
      <c r="E2" s="1391"/>
      <c r="F2" s="1389" t="s">
        <v>434</v>
      </c>
      <c r="G2" s="1390"/>
      <c r="H2" s="1391"/>
      <c r="I2" s="1389" t="s">
        <v>435</v>
      </c>
      <c r="J2" s="1390"/>
      <c r="K2" s="1391"/>
      <c r="L2" s="1389" t="s">
        <v>436</v>
      </c>
      <c r="M2" s="1390"/>
      <c r="N2" s="1391"/>
      <c r="O2" s="1389" t="s">
        <v>437</v>
      </c>
      <c r="P2" s="1390"/>
      <c r="Q2" s="1391"/>
      <c r="R2" s="1389" t="s">
        <v>438</v>
      </c>
      <c r="S2" s="1390"/>
      <c r="T2" s="1391"/>
      <c r="U2" s="1389" t="s">
        <v>439</v>
      </c>
      <c r="V2" s="1390"/>
      <c r="W2" s="1391"/>
      <c r="X2" s="1389" t="s">
        <v>440</v>
      </c>
      <c r="Y2" s="1390"/>
      <c r="Z2" s="1391"/>
      <c r="AA2" s="1389" t="s">
        <v>441</v>
      </c>
      <c r="AB2" s="1390"/>
      <c r="AC2" s="1391"/>
      <c r="AD2" s="1389" t="s">
        <v>442</v>
      </c>
      <c r="AE2" s="1390"/>
      <c r="AF2" s="1390"/>
    </row>
    <row r="3" spans="2:33">
      <c r="B3" s="392" t="s">
        <v>485</v>
      </c>
      <c r="C3" s="790" t="s">
        <v>209</v>
      </c>
      <c r="D3" s="738" t="s">
        <v>208</v>
      </c>
      <c r="E3" s="790" t="s">
        <v>210</v>
      </c>
      <c r="F3" s="738" t="s">
        <v>209</v>
      </c>
      <c r="G3" s="738" t="s">
        <v>208</v>
      </c>
      <c r="H3" s="790" t="s">
        <v>210</v>
      </c>
      <c r="I3" s="790" t="s">
        <v>209</v>
      </c>
      <c r="J3" s="738" t="s">
        <v>208</v>
      </c>
      <c r="K3" s="738" t="s">
        <v>210</v>
      </c>
      <c r="L3" s="738" t="s">
        <v>209</v>
      </c>
      <c r="M3" s="790" t="s">
        <v>208</v>
      </c>
      <c r="N3" s="738" t="s">
        <v>210</v>
      </c>
      <c r="O3" s="738" t="s">
        <v>209</v>
      </c>
      <c r="P3" s="738" t="s">
        <v>208</v>
      </c>
      <c r="Q3" s="738" t="s">
        <v>210</v>
      </c>
      <c r="R3" s="738" t="s">
        <v>209</v>
      </c>
      <c r="S3" s="738" t="s">
        <v>208</v>
      </c>
      <c r="T3" s="738" t="s">
        <v>210</v>
      </c>
      <c r="U3" s="738" t="s">
        <v>209</v>
      </c>
      <c r="V3" s="738" t="s">
        <v>208</v>
      </c>
      <c r="W3" s="738" t="s">
        <v>210</v>
      </c>
      <c r="X3" s="738" t="s">
        <v>209</v>
      </c>
      <c r="Y3" s="738" t="s">
        <v>208</v>
      </c>
      <c r="Z3" s="738" t="s">
        <v>210</v>
      </c>
      <c r="AA3" s="738" t="s">
        <v>209</v>
      </c>
      <c r="AB3" s="738" t="s">
        <v>208</v>
      </c>
      <c r="AC3" s="738" t="s">
        <v>210</v>
      </c>
      <c r="AD3" s="738" t="s">
        <v>209</v>
      </c>
      <c r="AE3" s="738" t="s">
        <v>208</v>
      </c>
      <c r="AF3" s="738" t="s">
        <v>210</v>
      </c>
      <c r="AG3" s="757" t="s">
        <v>486</v>
      </c>
    </row>
    <row r="4" spans="2:33">
      <c r="B4" s="540">
        <v>1</v>
      </c>
      <c r="C4" s="778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743"/>
      <c r="O4" s="743"/>
      <c r="P4" s="743"/>
      <c r="Q4" s="743"/>
      <c r="R4" s="743">
        <v>866.42</v>
      </c>
      <c r="S4" s="743">
        <v>66.34</v>
      </c>
      <c r="T4" s="743"/>
      <c r="U4" s="743"/>
      <c r="V4" s="743"/>
      <c r="W4" s="743"/>
      <c r="X4" s="743"/>
      <c r="Y4" s="743"/>
      <c r="Z4" s="743"/>
      <c r="AA4" s="743"/>
      <c r="AB4" s="743"/>
      <c r="AC4" s="743"/>
      <c r="AD4" s="743"/>
      <c r="AE4" s="743"/>
      <c r="AF4" s="743"/>
      <c r="AG4" s="362">
        <f>SUM(C4:AF4)</f>
        <v>932.76</v>
      </c>
    </row>
    <row r="5" spans="2:33">
      <c r="B5" s="540">
        <v>2</v>
      </c>
      <c r="C5" s="778"/>
      <c r="D5" s="743"/>
      <c r="E5" s="743"/>
      <c r="F5" s="743"/>
      <c r="G5" s="743"/>
      <c r="H5" s="743"/>
      <c r="I5" s="743"/>
      <c r="J5" s="743"/>
      <c r="K5" s="743"/>
      <c r="L5" s="743"/>
      <c r="M5" s="743"/>
      <c r="N5" s="743"/>
      <c r="O5" s="743"/>
      <c r="P5" s="743"/>
      <c r="Q5" s="743"/>
      <c r="R5" s="743">
        <v>4211.88</v>
      </c>
      <c r="S5" s="743"/>
      <c r="T5" s="743"/>
      <c r="U5" s="743"/>
      <c r="V5" s="743"/>
      <c r="W5" s="743"/>
      <c r="X5" s="743"/>
      <c r="Y5" s="743"/>
      <c r="Z5" s="743"/>
      <c r="AA5" s="743"/>
      <c r="AB5" s="743"/>
      <c r="AC5" s="743"/>
      <c r="AD5" s="743"/>
      <c r="AE5" s="743"/>
      <c r="AF5" s="743"/>
      <c r="AG5" s="362">
        <f t="shared" ref="AG5:AG34" si="0">SUM(C5:AF5)</f>
        <v>4211.88</v>
      </c>
    </row>
    <row r="6" spans="2:33">
      <c r="B6" s="540">
        <v>3</v>
      </c>
      <c r="C6" s="778"/>
      <c r="D6" s="743"/>
      <c r="E6" s="743"/>
      <c r="F6" s="743"/>
      <c r="G6" s="743"/>
      <c r="H6" s="743"/>
      <c r="I6" s="743"/>
      <c r="J6" s="743"/>
      <c r="K6" s="743"/>
      <c r="L6" s="743"/>
      <c r="M6" s="743"/>
      <c r="N6" s="743"/>
      <c r="O6" s="743"/>
      <c r="P6" s="743"/>
      <c r="Q6" s="743"/>
      <c r="R6" s="743"/>
      <c r="S6" s="743"/>
      <c r="T6" s="743"/>
      <c r="U6" s="743">
        <v>3915.34</v>
      </c>
      <c r="V6" s="743"/>
      <c r="W6" s="743"/>
      <c r="X6" s="743"/>
      <c r="Y6" s="743"/>
      <c r="Z6" s="743"/>
      <c r="AA6" s="743"/>
      <c r="AB6" s="743"/>
      <c r="AC6" s="743"/>
      <c r="AD6" s="743"/>
      <c r="AE6" s="743"/>
      <c r="AF6" s="743"/>
      <c r="AG6" s="362">
        <f t="shared" si="0"/>
        <v>3915.34</v>
      </c>
    </row>
    <row r="7" spans="2:33">
      <c r="B7" s="540">
        <v>4</v>
      </c>
      <c r="C7" s="778"/>
      <c r="D7" s="743"/>
      <c r="E7" s="743"/>
      <c r="F7" s="743"/>
      <c r="G7" s="743"/>
      <c r="H7" s="743"/>
      <c r="I7" s="743"/>
      <c r="J7" s="743"/>
      <c r="K7" s="743"/>
      <c r="L7" s="743"/>
      <c r="M7" s="743"/>
      <c r="N7" s="743"/>
      <c r="O7" s="743"/>
      <c r="P7" s="743"/>
      <c r="Q7" s="743"/>
      <c r="R7" s="743"/>
      <c r="S7" s="743"/>
      <c r="T7" s="743"/>
      <c r="U7" s="743">
        <v>2670.84</v>
      </c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362">
        <f t="shared" si="0"/>
        <v>2670.84</v>
      </c>
    </row>
    <row r="8" spans="2:33">
      <c r="B8" s="540">
        <v>5</v>
      </c>
      <c r="C8" s="778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>
        <v>227.4</v>
      </c>
      <c r="Q8" s="743"/>
      <c r="R8" s="743"/>
      <c r="S8" s="743"/>
      <c r="T8" s="743">
        <v>221.12</v>
      </c>
      <c r="U8" s="743"/>
      <c r="V8" s="743"/>
      <c r="W8" s="743"/>
      <c r="X8" s="743"/>
      <c r="Y8" s="743"/>
      <c r="Z8" s="743"/>
      <c r="AA8" s="743"/>
      <c r="AB8" s="743"/>
      <c r="AC8" s="743"/>
      <c r="AD8" s="743"/>
      <c r="AE8" s="743"/>
      <c r="AF8" s="743"/>
      <c r="AG8" s="362">
        <f t="shared" si="0"/>
        <v>448.52</v>
      </c>
    </row>
    <row r="9" spans="2:33">
      <c r="B9" s="540">
        <v>6</v>
      </c>
      <c r="C9" s="778"/>
      <c r="D9" s="743"/>
      <c r="E9" s="743"/>
      <c r="F9" s="743"/>
      <c r="G9" s="743"/>
      <c r="H9" s="743"/>
      <c r="I9" s="743"/>
      <c r="J9" s="743"/>
      <c r="K9" s="743"/>
      <c r="L9" s="743"/>
      <c r="M9" s="743"/>
      <c r="N9" s="743"/>
      <c r="O9" s="743"/>
      <c r="P9" s="743"/>
      <c r="Q9" s="743"/>
      <c r="R9" s="743">
        <v>1046.5</v>
      </c>
      <c r="S9" s="743"/>
      <c r="T9" s="743"/>
      <c r="U9" s="743"/>
      <c r="V9" s="743"/>
      <c r="W9" s="743">
        <v>1112.3599999999999</v>
      </c>
      <c r="X9" s="743"/>
      <c r="Y9" s="743"/>
      <c r="Z9" s="743"/>
      <c r="AA9" s="743"/>
      <c r="AB9" s="743"/>
      <c r="AC9" s="743"/>
      <c r="AD9" s="743"/>
      <c r="AE9" s="743"/>
      <c r="AF9" s="743"/>
      <c r="AG9" s="362">
        <f t="shared" si="0"/>
        <v>2158.8599999999997</v>
      </c>
    </row>
    <row r="10" spans="2:33">
      <c r="B10" s="540">
        <v>7</v>
      </c>
      <c r="C10" s="778"/>
      <c r="D10" s="743"/>
      <c r="E10" s="743"/>
      <c r="F10" s="743"/>
      <c r="G10" s="743"/>
      <c r="H10" s="743"/>
      <c r="I10" s="743"/>
      <c r="J10" s="743"/>
      <c r="K10" s="743"/>
      <c r="L10" s="743"/>
      <c r="M10" s="743"/>
      <c r="N10" s="743"/>
      <c r="O10" s="743"/>
      <c r="P10" s="743"/>
      <c r="Q10" s="743"/>
      <c r="R10" s="743"/>
      <c r="S10" s="743"/>
      <c r="T10" s="743"/>
      <c r="U10" s="743">
        <v>620.96</v>
      </c>
      <c r="V10" s="743"/>
      <c r="W10" s="743">
        <v>646.58000000000004</v>
      </c>
      <c r="X10" s="743"/>
      <c r="Y10" s="743"/>
      <c r="Z10" s="743"/>
      <c r="AA10" s="743"/>
      <c r="AB10" s="743"/>
      <c r="AC10" s="743"/>
      <c r="AD10" s="743"/>
      <c r="AE10" s="743"/>
      <c r="AF10" s="743"/>
      <c r="AG10" s="362">
        <f t="shared" si="0"/>
        <v>1267.54</v>
      </c>
    </row>
    <row r="11" spans="2:33">
      <c r="B11" s="540">
        <v>8</v>
      </c>
      <c r="C11" s="778"/>
      <c r="D11" s="743"/>
      <c r="E11" s="743"/>
      <c r="F11" s="743"/>
      <c r="G11" s="743"/>
      <c r="H11" s="743"/>
      <c r="I11" s="743"/>
      <c r="J11" s="743"/>
      <c r="K11" s="743"/>
      <c r="L11" s="743"/>
      <c r="M11" s="743"/>
      <c r="N11" s="743"/>
      <c r="O11" s="743"/>
      <c r="P11" s="743"/>
      <c r="Q11" s="743"/>
      <c r="R11" s="743"/>
      <c r="S11" s="743"/>
      <c r="T11" s="743"/>
      <c r="U11" s="743"/>
      <c r="V11" s="743"/>
      <c r="W11" s="743">
        <v>1404.58</v>
      </c>
      <c r="X11" s="743"/>
      <c r="Y11" s="743"/>
      <c r="Z11" s="743"/>
      <c r="AA11" s="743"/>
      <c r="AB11" s="743"/>
      <c r="AC11" s="743"/>
      <c r="AD11" s="743"/>
      <c r="AE11" s="743"/>
      <c r="AF11" s="743"/>
      <c r="AG11" s="362">
        <f t="shared" si="0"/>
        <v>1404.58</v>
      </c>
    </row>
    <row r="12" spans="2:33">
      <c r="B12" s="540">
        <v>9</v>
      </c>
      <c r="C12" s="778"/>
      <c r="D12" s="743"/>
      <c r="E12" s="743"/>
      <c r="F12" s="743"/>
      <c r="G12" s="743"/>
      <c r="H12" s="743"/>
      <c r="I12" s="743"/>
      <c r="J12" s="743"/>
      <c r="K12" s="743"/>
      <c r="L12" s="743"/>
      <c r="M12" s="743"/>
      <c r="N12" s="743"/>
      <c r="O12" s="743"/>
      <c r="P12" s="743"/>
      <c r="Q12" s="743"/>
      <c r="R12" s="743"/>
      <c r="S12" s="743"/>
      <c r="T12" s="743"/>
      <c r="U12" s="743"/>
      <c r="V12" s="743">
        <v>1086.96</v>
      </c>
      <c r="W12" s="743">
        <v>1596.34</v>
      </c>
      <c r="X12" s="743"/>
      <c r="Y12" s="743"/>
      <c r="Z12" s="743"/>
      <c r="AA12" s="743"/>
      <c r="AB12" s="743"/>
      <c r="AC12" s="743"/>
      <c r="AD12" s="743"/>
      <c r="AE12" s="743"/>
      <c r="AF12" s="743"/>
      <c r="AG12" s="362">
        <f t="shared" si="0"/>
        <v>2683.3</v>
      </c>
    </row>
    <row r="13" spans="2:33">
      <c r="B13" s="540">
        <v>10</v>
      </c>
      <c r="C13" s="778"/>
      <c r="D13" s="743"/>
      <c r="E13" s="743"/>
      <c r="F13" s="743"/>
      <c r="G13" s="743"/>
      <c r="H13" s="743"/>
      <c r="I13" s="743"/>
      <c r="J13" s="743"/>
      <c r="K13" s="743"/>
      <c r="L13" s="743"/>
      <c r="M13" s="743"/>
      <c r="N13" s="743"/>
      <c r="O13" s="743"/>
      <c r="P13" s="743"/>
      <c r="Q13" s="743"/>
      <c r="R13" s="743"/>
      <c r="S13" s="743"/>
      <c r="T13" s="743"/>
      <c r="U13" s="743"/>
      <c r="V13" s="743">
        <v>283.52</v>
      </c>
      <c r="W13" s="743">
        <v>1710.8</v>
      </c>
      <c r="X13" s="743"/>
      <c r="Y13" s="743"/>
      <c r="Z13" s="743"/>
      <c r="AA13" s="743"/>
      <c r="AB13" s="743"/>
      <c r="AC13" s="743"/>
      <c r="AD13" s="743"/>
      <c r="AE13" s="743"/>
      <c r="AF13" s="743"/>
      <c r="AG13" s="362">
        <f t="shared" si="0"/>
        <v>1994.32</v>
      </c>
    </row>
    <row r="14" spans="2:33">
      <c r="B14" s="540">
        <v>11</v>
      </c>
      <c r="C14" s="778"/>
      <c r="D14" s="743"/>
      <c r="E14" s="743"/>
      <c r="F14" s="743"/>
      <c r="G14" s="743"/>
      <c r="H14" s="743"/>
      <c r="I14" s="743"/>
      <c r="J14" s="743"/>
      <c r="K14" s="743"/>
      <c r="L14" s="743"/>
      <c r="M14" s="743"/>
      <c r="N14" s="743"/>
      <c r="O14" s="743"/>
      <c r="P14" s="743"/>
      <c r="Q14" s="743"/>
      <c r="R14" s="743"/>
      <c r="S14" s="743"/>
      <c r="T14" s="743"/>
      <c r="U14" s="743">
        <v>109.68</v>
      </c>
      <c r="V14" s="743"/>
      <c r="W14" s="743">
        <v>112.7</v>
      </c>
      <c r="X14" s="743"/>
      <c r="Y14" s="743"/>
      <c r="Z14" s="743"/>
      <c r="AA14" s="743"/>
      <c r="AB14" s="743"/>
      <c r="AC14" s="743"/>
      <c r="AD14" s="743"/>
      <c r="AE14" s="743"/>
      <c r="AF14" s="743"/>
      <c r="AG14" s="362">
        <f t="shared" si="0"/>
        <v>222.38</v>
      </c>
    </row>
    <row r="15" spans="2:33">
      <c r="B15" s="540">
        <v>12</v>
      </c>
      <c r="C15" s="778"/>
      <c r="D15" s="743"/>
      <c r="E15" s="743"/>
      <c r="F15" s="743"/>
      <c r="G15" s="743"/>
      <c r="H15" s="743"/>
      <c r="I15" s="743"/>
      <c r="J15" s="743"/>
      <c r="K15" s="743"/>
      <c r="L15" s="743"/>
      <c r="M15" s="743"/>
      <c r="N15" s="743"/>
      <c r="O15" s="743"/>
      <c r="P15" s="743"/>
      <c r="Q15" s="743"/>
      <c r="R15" s="743"/>
      <c r="S15" s="743"/>
      <c r="T15" s="743"/>
      <c r="U15" s="743"/>
      <c r="V15" s="743"/>
      <c r="W15" s="743"/>
      <c r="X15" s="743"/>
      <c r="Y15" s="743"/>
      <c r="Z15" s="743"/>
      <c r="AA15" s="743"/>
      <c r="AB15" s="743"/>
      <c r="AC15" s="743"/>
      <c r="AD15" s="743"/>
      <c r="AE15" s="743"/>
      <c r="AF15" s="743"/>
      <c r="AG15" s="362">
        <f t="shared" si="0"/>
        <v>0</v>
      </c>
    </row>
    <row r="16" spans="2:33">
      <c r="B16" s="540">
        <v>13</v>
      </c>
      <c r="C16" s="778"/>
      <c r="D16" s="743"/>
      <c r="E16" s="743"/>
      <c r="F16" s="743"/>
      <c r="G16" s="743"/>
      <c r="H16" s="743"/>
      <c r="I16" s="743"/>
      <c r="J16" s="743"/>
      <c r="K16" s="743"/>
      <c r="L16" s="743"/>
      <c r="M16" s="743"/>
      <c r="N16" s="743"/>
      <c r="O16" s="743"/>
      <c r="P16" s="743"/>
      <c r="Q16" s="743"/>
      <c r="R16" s="743"/>
      <c r="S16" s="743"/>
      <c r="T16" s="743"/>
      <c r="U16" s="743"/>
      <c r="V16" s="743"/>
      <c r="W16" s="743"/>
      <c r="X16" s="743"/>
      <c r="Y16" s="743"/>
      <c r="Z16" s="743"/>
      <c r="AA16" s="743"/>
      <c r="AB16" s="743"/>
      <c r="AC16" s="743"/>
      <c r="AD16" s="743"/>
      <c r="AE16" s="743"/>
      <c r="AF16" s="743"/>
      <c r="AG16" s="362">
        <f t="shared" si="0"/>
        <v>0</v>
      </c>
    </row>
    <row r="17" spans="2:33">
      <c r="B17" s="540">
        <v>14</v>
      </c>
      <c r="C17" s="778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743"/>
      <c r="O17" s="743"/>
      <c r="P17" s="743"/>
      <c r="Q17" s="743"/>
      <c r="R17" s="743"/>
      <c r="S17" s="743"/>
      <c r="T17" s="743"/>
      <c r="U17" s="743"/>
      <c r="V17" s="743"/>
      <c r="W17" s="743"/>
      <c r="X17" s="743"/>
      <c r="Y17" s="743"/>
      <c r="Z17" s="743"/>
      <c r="AA17" s="743"/>
      <c r="AB17" s="743"/>
      <c r="AC17" s="743"/>
      <c r="AD17" s="743"/>
      <c r="AE17" s="743"/>
      <c r="AF17" s="743"/>
      <c r="AG17" s="362">
        <f t="shared" si="0"/>
        <v>0</v>
      </c>
    </row>
    <row r="18" spans="2:33">
      <c r="B18" s="540">
        <v>15</v>
      </c>
      <c r="C18" s="778"/>
      <c r="D18" s="743"/>
      <c r="E18" s="743"/>
      <c r="F18" s="743"/>
      <c r="G18" s="743"/>
      <c r="H18" s="743"/>
      <c r="I18" s="743"/>
      <c r="J18" s="743"/>
      <c r="K18" s="743"/>
      <c r="L18" s="743"/>
      <c r="M18" s="743"/>
      <c r="N18" s="743"/>
      <c r="O18" s="743"/>
      <c r="P18" s="743"/>
      <c r="Q18" s="743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362">
        <f t="shared" si="0"/>
        <v>0</v>
      </c>
    </row>
    <row r="19" spans="2:33">
      <c r="B19" s="540">
        <v>16</v>
      </c>
      <c r="C19" s="778"/>
      <c r="D19" s="743"/>
      <c r="E19" s="743"/>
      <c r="F19" s="743"/>
      <c r="G19" s="743"/>
      <c r="H19" s="743"/>
      <c r="I19" s="743"/>
      <c r="J19" s="743"/>
      <c r="K19" s="743"/>
      <c r="L19" s="743"/>
      <c r="M19" s="743"/>
      <c r="N19" s="743"/>
      <c r="O19" s="743"/>
      <c r="P19" s="743"/>
      <c r="Q19" s="743"/>
      <c r="R19" s="743"/>
      <c r="S19" s="743"/>
      <c r="T19" s="743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  <c r="AF19" s="743"/>
      <c r="AG19" s="362">
        <f t="shared" si="0"/>
        <v>0</v>
      </c>
    </row>
    <row r="20" spans="2:33">
      <c r="B20" s="540">
        <v>17</v>
      </c>
      <c r="C20" s="778"/>
      <c r="D20" s="743"/>
      <c r="E20" s="743"/>
      <c r="F20" s="743"/>
      <c r="G20" s="743"/>
      <c r="H20" s="743"/>
      <c r="I20" s="743"/>
      <c r="J20" s="743"/>
      <c r="K20" s="743"/>
      <c r="L20" s="743"/>
      <c r="M20" s="743"/>
      <c r="N20" s="743"/>
      <c r="O20" s="743"/>
      <c r="P20" s="743"/>
      <c r="Q20" s="743"/>
      <c r="R20" s="743"/>
      <c r="S20" s="743"/>
      <c r="T20" s="743"/>
      <c r="U20" s="743"/>
      <c r="V20" s="743"/>
      <c r="W20" s="743"/>
      <c r="X20" s="743"/>
      <c r="Y20" s="743"/>
      <c r="Z20" s="743"/>
      <c r="AA20" s="743"/>
      <c r="AB20" s="743"/>
      <c r="AC20" s="743"/>
      <c r="AD20" s="743"/>
      <c r="AE20" s="743"/>
      <c r="AF20" s="743"/>
      <c r="AG20" s="362">
        <f t="shared" si="0"/>
        <v>0</v>
      </c>
    </row>
    <row r="21" spans="2:33">
      <c r="B21" s="540">
        <v>18</v>
      </c>
      <c r="C21" s="778"/>
      <c r="D21" s="743"/>
      <c r="E21" s="743"/>
      <c r="F21" s="743"/>
      <c r="G21" s="743"/>
      <c r="H21" s="743"/>
      <c r="I21" s="743"/>
      <c r="J21" s="743"/>
      <c r="K21" s="743"/>
      <c r="L21" s="743"/>
      <c r="M21" s="743"/>
      <c r="N21" s="743"/>
      <c r="O21" s="743"/>
      <c r="P21" s="743"/>
      <c r="Q21" s="743"/>
      <c r="R21" s="743"/>
      <c r="S21" s="743"/>
      <c r="T21" s="743"/>
      <c r="U21" s="743"/>
      <c r="V21" s="743"/>
      <c r="W21" s="743"/>
      <c r="X21" s="743"/>
      <c r="Y21" s="743"/>
      <c r="Z21" s="743"/>
      <c r="AA21" s="743"/>
      <c r="AB21" s="743"/>
      <c r="AC21" s="743"/>
      <c r="AD21" s="743"/>
      <c r="AE21" s="743"/>
      <c r="AF21" s="743"/>
      <c r="AG21" s="362">
        <f t="shared" si="0"/>
        <v>0</v>
      </c>
    </row>
    <row r="22" spans="2:33">
      <c r="B22" s="540">
        <v>19</v>
      </c>
      <c r="C22" s="778"/>
      <c r="D22" s="743"/>
      <c r="E22" s="743"/>
      <c r="F22" s="743"/>
      <c r="G22" s="743"/>
      <c r="H22" s="743"/>
      <c r="I22" s="743"/>
      <c r="J22" s="743"/>
      <c r="K22" s="743"/>
      <c r="L22" s="743"/>
      <c r="M22" s="743"/>
      <c r="N22" s="743"/>
      <c r="O22" s="743"/>
      <c r="P22" s="743"/>
      <c r="Q22" s="743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362">
        <f t="shared" si="0"/>
        <v>0</v>
      </c>
    </row>
    <row r="23" spans="2:33">
      <c r="B23" s="540">
        <v>20</v>
      </c>
      <c r="C23" s="778"/>
      <c r="D23" s="743"/>
      <c r="E23" s="743"/>
      <c r="F23" s="743"/>
      <c r="G23" s="743"/>
      <c r="H23" s="743"/>
      <c r="I23" s="743"/>
      <c r="J23" s="743"/>
      <c r="K23" s="743"/>
      <c r="L23" s="743"/>
      <c r="M23" s="743"/>
      <c r="N23" s="743"/>
      <c r="O23" s="743"/>
      <c r="P23" s="743"/>
      <c r="Q23" s="743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362">
        <f t="shared" si="0"/>
        <v>0</v>
      </c>
    </row>
    <row r="24" spans="2:33">
      <c r="B24" s="540">
        <v>21</v>
      </c>
      <c r="C24" s="778"/>
      <c r="D24" s="743"/>
      <c r="E24" s="743"/>
      <c r="F24" s="743"/>
      <c r="G24" s="743"/>
      <c r="H24" s="743"/>
      <c r="I24" s="743"/>
      <c r="J24" s="743"/>
      <c r="K24" s="743"/>
      <c r="L24" s="743"/>
      <c r="M24" s="743"/>
      <c r="N24" s="743"/>
      <c r="O24" s="743"/>
      <c r="P24" s="743"/>
      <c r="Q24" s="743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362">
        <f t="shared" si="0"/>
        <v>0</v>
      </c>
    </row>
    <row r="25" spans="2:33">
      <c r="B25" s="540">
        <v>22</v>
      </c>
      <c r="C25" s="778"/>
      <c r="D25" s="743"/>
      <c r="E25" s="743"/>
      <c r="F25" s="743"/>
      <c r="G25" s="743"/>
      <c r="H25" s="743"/>
      <c r="I25" s="743"/>
      <c r="J25" s="743"/>
      <c r="K25" s="743"/>
      <c r="L25" s="743"/>
      <c r="M25" s="743"/>
      <c r="N25" s="743"/>
      <c r="O25" s="743"/>
      <c r="P25" s="743"/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3"/>
      <c r="AD25" s="743"/>
      <c r="AE25" s="743"/>
      <c r="AF25" s="743"/>
      <c r="AG25" s="362">
        <f t="shared" si="0"/>
        <v>0</v>
      </c>
    </row>
    <row r="26" spans="2:33">
      <c r="B26" s="540">
        <v>23</v>
      </c>
      <c r="C26" s="778"/>
      <c r="D26" s="743"/>
      <c r="E26" s="743"/>
      <c r="F26" s="743"/>
      <c r="G26" s="743"/>
      <c r="H26" s="743"/>
      <c r="I26" s="743"/>
      <c r="J26" s="743"/>
      <c r="K26" s="743"/>
      <c r="L26" s="743"/>
      <c r="M26" s="743"/>
      <c r="N26" s="743"/>
      <c r="O26" s="743"/>
      <c r="P26" s="743"/>
      <c r="Q26" s="743"/>
      <c r="R26" s="743"/>
      <c r="S26" s="743"/>
      <c r="T26" s="743"/>
      <c r="U26" s="743"/>
      <c r="V26" s="743"/>
      <c r="W26" s="743"/>
      <c r="X26" s="743"/>
      <c r="Y26" s="743"/>
      <c r="Z26" s="743"/>
      <c r="AA26" s="743"/>
      <c r="AB26" s="743"/>
      <c r="AC26" s="743"/>
      <c r="AD26" s="743"/>
      <c r="AE26" s="743"/>
      <c r="AF26" s="743"/>
      <c r="AG26" s="362">
        <f t="shared" si="0"/>
        <v>0</v>
      </c>
    </row>
    <row r="27" spans="2:33">
      <c r="B27" s="540">
        <v>24</v>
      </c>
      <c r="C27" s="778"/>
      <c r="D27" s="743"/>
      <c r="E27" s="743"/>
      <c r="F27" s="743"/>
      <c r="G27" s="743"/>
      <c r="H27" s="743"/>
      <c r="I27" s="743"/>
      <c r="J27" s="743"/>
      <c r="K27" s="743"/>
      <c r="L27" s="743"/>
      <c r="M27" s="743"/>
      <c r="N27" s="743"/>
      <c r="O27" s="743"/>
      <c r="P27" s="743"/>
      <c r="Q27" s="743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362">
        <f t="shared" si="0"/>
        <v>0</v>
      </c>
    </row>
    <row r="28" spans="2:33">
      <c r="B28" s="540">
        <v>25</v>
      </c>
      <c r="C28" s="778"/>
      <c r="D28" s="743"/>
      <c r="E28" s="743"/>
      <c r="F28" s="743"/>
      <c r="G28" s="743"/>
      <c r="H28" s="743"/>
      <c r="I28" s="743"/>
      <c r="J28" s="743"/>
      <c r="K28" s="743"/>
      <c r="L28" s="743"/>
      <c r="M28" s="743"/>
      <c r="N28" s="743"/>
      <c r="O28" s="743"/>
      <c r="P28" s="743"/>
      <c r="Q28" s="743"/>
      <c r="R28" s="743"/>
      <c r="S28" s="743"/>
      <c r="T28" s="743"/>
      <c r="U28" s="743"/>
      <c r="V28" s="743"/>
      <c r="W28" s="743"/>
      <c r="X28" s="743"/>
      <c r="Y28" s="743"/>
      <c r="Z28" s="743"/>
      <c r="AA28" s="743"/>
      <c r="AB28" s="743"/>
      <c r="AC28" s="743"/>
      <c r="AD28" s="743"/>
      <c r="AE28" s="743"/>
      <c r="AF28" s="743"/>
      <c r="AG28" s="362">
        <f t="shared" si="0"/>
        <v>0</v>
      </c>
    </row>
    <row r="29" spans="2:33">
      <c r="B29" s="540">
        <v>26</v>
      </c>
      <c r="C29" s="778"/>
      <c r="D29" s="743"/>
      <c r="E29" s="743"/>
      <c r="F29" s="743"/>
      <c r="G29" s="743"/>
      <c r="H29" s="743"/>
      <c r="I29" s="743"/>
      <c r="J29" s="743"/>
      <c r="K29" s="743"/>
      <c r="L29" s="743"/>
      <c r="M29" s="743"/>
      <c r="N29" s="743"/>
      <c r="O29" s="743"/>
      <c r="P29" s="743"/>
      <c r="Q29" s="743"/>
      <c r="R29" s="743"/>
      <c r="S29" s="743"/>
      <c r="T29" s="743"/>
      <c r="U29" s="743"/>
      <c r="V29" s="743"/>
      <c r="W29" s="743"/>
      <c r="X29" s="743"/>
      <c r="Y29" s="743"/>
      <c r="Z29" s="743"/>
      <c r="AA29" s="743"/>
      <c r="AB29" s="743"/>
      <c r="AC29" s="743"/>
      <c r="AD29" s="743"/>
      <c r="AE29" s="743"/>
      <c r="AF29" s="743"/>
      <c r="AG29" s="362">
        <f t="shared" si="0"/>
        <v>0</v>
      </c>
    </row>
    <row r="30" spans="2:33">
      <c r="B30" s="540">
        <v>27</v>
      </c>
      <c r="C30" s="778"/>
      <c r="D30" s="743"/>
      <c r="E30" s="743"/>
      <c r="F30" s="743"/>
      <c r="G30" s="743"/>
      <c r="H30" s="743"/>
      <c r="I30" s="743"/>
      <c r="J30" s="743"/>
      <c r="K30" s="743"/>
      <c r="L30" s="743"/>
      <c r="M30" s="743"/>
      <c r="N30" s="743"/>
      <c r="O30" s="743"/>
      <c r="P30" s="743"/>
      <c r="Q30" s="743"/>
      <c r="R30" s="743"/>
      <c r="S30" s="743"/>
      <c r="T30" s="743"/>
      <c r="U30" s="743"/>
      <c r="V30" s="743"/>
      <c r="W30" s="743"/>
      <c r="X30" s="743"/>
      <c r="Y30" s="743"/>
      <c r="Z30" s="743"/>
      <c r="AA30" s="743"/>
      <c r="AB30" s="743"/>
      <c r="AC30" s="743"/>
      <c r="AD30" s="743"/>
      <c r="AE30" s="743"/>
      <c r="AF30" s="743"/>
      <c r="AG30" s="362">
        <f t="shared" si="0"/>
        <v>0</v>
      </c>
    </row>
    <row r="31" spans="2:33">
      <c r="B31" s="540">
        <v>28</v>
      </c>
      <c r="C31" s="778"/>
      <c r="D31" s="743"/>
      <c r="E31" s="743"/>
      <c r="F31" s="743"/>
      <c r="G31" s="743"/>
      <c r="H31" s="743"/>
      <c r="I31" s="743"/>
      <c r="J31" s="743"/>
      <c r="K31" s="743"/>
      <c r="L31" s="743"/>
      <c r="M31" s="743"/>
      <c r="N31" s="743"/>
      <c r="O31" s="743"/>
      <c r="P31" s="743"/>
      <c r="Q31" s="743"/>
      <c r="R31" s="743"/>
      <c r="S31" s="743"/>
      <c r="T31" s="743"/>
      <c r="U31" s="743"/>
      <c r="V31" s="743"/>
      <c r="W31" s="743"/>
      <c r="X31" s="743"/>
      <c r="Y31" s="743"/>
      <c r="Z31" s="743"/>
      <c r="AA31" s="743"/>
      <c r="AB31" s="743"/>
      <c r="AC31" s="743"/>
      <c r="AD31" s="743"/>
      <c r="AE31" s="743"/>
      <c r="AF31" s="743"/>
      <c r="AG31" s="362">
        <f t="shared" si="0"/>
        <v>0</v>
      </c>
    </row>
    <row r="32" spans="2:33">
      <c r="B32" s="540">
        <v>29</v>
      </c>
      <c r="C32" s="778"/>
      <c r="D32" s="743"/>
      <c r="E32" s="743"/>
      <c r="F32" s="743"/>
      <c r="G32" s="743"/>
      <c r="H32" s="743"/>
      <c r="I32" s="743"/>
      <c r="J32" s="743"/>
      <c r="K32" s="743"/>
      <c r="L32" s="743"/>
      <c r="M32" s="743"/>
      <c r="N32" s="743"/>
      <c r="O32" s="743"/>
      <c r="P32" s="743"/>
      <c r="Q32" s="743"/>
      <c r="R32" s="743"/>
      <c r="S32" s="743"/>
      <c r="T32" s="743"/>
      <c r="U32" s="743"/>
      <c r="V32" s="743"/>
      <c r="W32" s="743"/>
      <c r="X32" s="743"/>
      <c r="Y32" s="743"/>
      <c r="Z32" s="743"/>
      <c r="AA32" s="743"/>
      <c r="AB32" s="743"/>
      <c r="AC32" s="743"/>
      <c r="AD32" s="743"/>
      <c r="AE32" s="743"/>
      <c r="AF32" s="743"/>
      <c r="AG32" s="362">
        <f t="shared" si="0"/>
        <v>0</v>
      </c>
    </row>
    <row r="33" spans="2:33">
      <c r="B33" s="540">
        <v>30</v>
      </c>
      <c r="C33" s="778"/>
      <c r="D33" s="743"/>
      <c r="E33" s="743"/>
      <c r="F33" s="743"/>
      <c r="G33" s="743"/>
      <c r="H33" s="743"/>
      <c r="I33" s="743"/>
      <c r="J33" s="743"/>
      <c r="K33" s="743"/>
      <c r="L33" s="743"/>
      <c r="M33" s="743"/>
      <c r="N33" s="743"/>
      <c r="O33" s="743"/>
      <c r="P33" s="743"/>
      <c r="Q33" s="743"/>
      <c r="R33" s="743"/>
      <c r="S33" s="743"/>
      <c r="T33" s="743"/>
      <c r="U33" s="743"/>
      <c r="V33" s="743"/>
      <c r="W33" s="743"/>
      <c r="X33" s="743"/>
      <c r="Y33" s="743"/>
      <c r="Z33" s="743"/>
      <c r="AA33" s="743"/>
      <c r="AB33" s="743"/>
      <c r="AC33" s="743"/>
      <c r="AD33" s="743"/>
      <c r="AE33" s="743"/>
      <c r="AF33" s="743"/>
      <c r="AG33" s="362">
        <f t="shared" si="0"/>
        <v>0</v>
      </c>
    </row>
    <row r="34" spans="2:33">
      <c r="B34" s="540">
        <v>31</v>
      </c>
      <c r="C34" s="778"/>
      <c r="D34" s="743"/>
      <c r="E34" s="743"/>
      <c r="F34" s="743"/>
      <c r="G34" s="743"/>
      <c r="H34" s="743"/>
      <c r="I34" s="743"/>
      <c r="J34" s="743"/>
      <c r="K34" s="743"/>
      <c r="L34" s="743"/>
      <c r="M34" s="743"/>
      <c r="N34" s="743"/>
      <c r="O34" s="743"/>
      <c r="P34" s="743"/>
      <c r="Q34" s="743"/>
      <c r="R34" s="743"/>
      <c r="S34" s="743"/>
      <c r="T34" s="743"/>
      <c r="U34" s="743"/>
      <c r="V34" s="743"/>
      <c r="W34" s="743"/>
      <c r="X34" s="743"/>
      <c r="Y34" s="743"/>
      <c r="Z34" s="743"/>
      <c r="AA34" s="743"/>
      <c r="AB34" s="743"/>
      <c r="AC34" s="743"/>
      <c r="AD34" s="743"/>
      <c r="AE34" s="743"/>
      <c r="AF34" s="743"/>
      <c r="AG34" s="362">
        <f t="shared" si="0"/>
        <v>0</v>
      </c>
    </row>
    <row r="35" spans="2:33">
      <c r="B35" s="361" t="s">
        <v>72</v>
      </c>
      <c r="C35" s="779">
        <f>SUM(C4:C34)</f>
        <v>0</v>
      </c>
      <c r="D35" s="779">
        <f t="shared" ref="D35:AF35" si="1">SUM(D4:D34)</f>
        <v>0</v>
      </c>
      <c r="E35" s="779">
        <f t="shared" si="1"/>
        <v>0</v>
      </c>
      <c r="F35" s="779">
        <f t="shared" si="1"/>
        <v>0</v>
      </c>
      <c r="G35" s="779">
        <f t="shared" si="1"/>
        <v>0</v>
      </c>
      <c r="H35" s="779">
        <f t="shared" si="1"/>
        <v>0</v>
      </c>
      <c r="I35" s="779">
        <f t="shared" si="1"/>
        <v>0</v>
      </c>
      <c r="J35" s="779">
        <f t="shared" si="1"/>
        <v>0</v>
      </c>
      <c r="K35" s="779">
        <f t="shared" si="1"/>
        <v>0</v>
      </c>
      <c r="L35" s="779">
        <f t="shared" si="1"/>
        <v>0</v>
      </c>
      <c r="M35" s="779">
        <f t="shared" si="1"/>
        <v>0</v>
      </c>
      <c r="N35" s="779">
        <f t="shared" si="1"/>
        <v>0</v>
      </c>
      <c r="O35" s="779">
        <f t="shared" si="1"/>
        <v>0</v>
      </c>
      <c r="P35" s="779">
        <f t="shared" si="1"/>
        <v>227.4</v>
      </c>
      <c r="Q35" s="779">
        <f t="shared" si="1"/>
        <v>0</v>
      </c>
      <c r="R35" s="779">
        <f t="shared" si="1"/>
        <v>6124.8</v>
      </c>
      <c r="S35" s="779">
        <f t="shared" si="1"/>
        <v>66.34</v>
      </c>
      <c r="T35" s="779">
        <f t="shared" si="1"/>
        <v>221.12</v>
      </c>
      <c r="U35" s="779">
        <f t="shared" si="1"/>
        <v>7316.8200000000006</v>
      </c>
      <c r="V35" s="779">
        <f t="shared" si="1"/>
        <v>1370.48</v>
      </c>
      <c r="W35" s="779">
        <f t="shared" si="1"/>
        <v>6583.36</v>
      </c>
      <c r="X35" s="779">
        <f t="shared" si="1"/>
        <v>0</v>
      </c>
      <c r="Y35" s="779">
        <f t="shared" si="1"/>
        <v>0</v>
      </c>
      <c r="Z35" s="779">
        <f t="shared" si="1"/>
        <v>0</v>
      </c>
      <c r="AA35" s="779">
        <f t="shared" si="1"/>
        <v>0</v>
      </c>
      <c r="AB35" s="779">
        <f t="shared" si="1"/>
        <v>0</v>
      </c>
      <c r="AC35" s="779">
        <f t="shared" si="1"/>
        <v>0</v>
      </c>
      <c r="AD35" s="779">
        <f t="shared" si="1"/>
        <v>0</v>
      </c>
      <c r="AE35" s="779">
        <f t="shared" si="1"/>
        <v>0</v>
      </c>
      <c r="AF35" s="779">
        <f t="shared" si="1"/>
        <v>0</v>
      </c>
    </row>
    <row r="37" spans="2:33">
      <c r="I37" s="362">
        <f>+I9-C9</f>
        <v>0</v>
      </c>
      <c r="J37" s="362"/>
      <c r="K37" s="362"/>
      <c r="L37" s="362"/>
      <c r="M37" s="362"/>
    </row>
    <row r="38" spans="2:33">
      <c r="B38" s="392" t="s">
        <v>484</v>
      </c>
      <c r="C38" s="1389" t="s">
        <v>433</v>
      </c>
      <c r="D38" s="1390"/>
      <c r="E38" s="1391"/>
      <c r="F38" s="1389" t="s">
        <v>434</v>
      </c>
      <c r="G38" s="1390"/>
      <c r="H38" s="1391"/>
      <c r="I38" s="1389" t="s">
        <v>435</v>
      </c>
      <c r="J38" s="1390"/>
      <c r="K38" s="1391"/>
      <c r="L38" s="1389" t="s">
        <v>436</v>
      </c>
      <c r="M38" s="1390"/>
      <c r="N38" s="1391"/>
      <c r="O38" s="1389" t="s">
        <v>437</v>
      </c>
      <c r="P38" s="1390"/>
      <c r="Q38" s="1391"/>
      <c r="R38" s="1389" t="s">
        <v>438</v>
      </c>
      <c r="S38" s="1390"/>
      <c r="T38" s="1391"/>
      <c r="U38" s="1389" t="s">
        <v>439</v>
      </c>
      <c r="V38" s="1390"/>
      <c r="W38" s="1391"/>
      <c r="X38" s="1389" t="s">
        <v>440</v>
      </c>
      <c r="Y38" s="1390"/>
      <c r="Z38" s="1391"/>
      <c r="AA38" s="1389" t="s">
        <v>441</v>
      </c>
      <c r="AB38" s="1390"/>
      <c r="AC38" s="1391"/>
      <c r="AD38" s="1389" t="s">
        <v>442</v>
      </c>
      <c r="AE38" s="1390"/>
      <c r="AF38" s="1390"/>
    </row>
    <row r="39" spans="2:33">
      <c r="B39" s="392" t="s">
        <v>485</v>
      </c>
      <c r="C39" s="790" t="s">
        <v>209</v>
      </c>
      <c r="D39" s="738" t="s">
        <v>208</v>
      </c>
      <c r="E39" s="790" t="s">
        <v>210</v>
      </c>
      <c r="F39" s="738" t="s">
        <v>209</v>
      </c>
      <c r="G39" s="738" t="s">
        <v>208</v>
      </c>
      <c r="H39" s="790" t="s">
        <v>210</v>
      </c>
      <c r="I39" s="790" t="s">
        <v>209</v>
      </c>
      <c r="J39" s="738" t="s">
        <v>208</v>
      </c>
      <c r="K39" s="738" t="s">
        <v>210</v>
      </c>
      <c r="L39" s="738" t="s">
        <v>209</v>
      </c>
      <c r="M39" s="790" t="s">
        <v>208</v>
      </c>
      <c r="N39" s="738" t="s">
        <v>210</v>
      </c>
      <c r="O39" s="738" t="s">
        <v>209</v>
      </c>
      <c r="P39" s="738" t="s">
        <v>208</v>
      </c>
      <c r="Q39" s="738" t="s">
        <v>210</v>
      </c>
      <c r="R39" s="738" t="s">
        <v>209</v>
      </c>
      <c r="S39" s="738" t="s">
        <v>208</v>
      </c>
      <c r="T39" s="738" t="s">
        <v>210</v>
      </c>
      <c r="U39" s="738" t="s">
        <v>209</v>
      </c>
      <c r="V39" s="738" t="s">
        <v>208</v>
      </c>
      <c r="W39" s="738" t="s">
        <v>210</v>
      </c>
      <c r="X39" s="738" t="s">
        <v>209</v>
      </c>
      <c r="Y39" s="738" t="s">
        <v>208</v>
      </c>
      <c r="Z39" s="738" t="s">
        <v>210</v>
      </c>
      <c r="AA39" s="738" t="s">
        <v>209</v>
      </c>
      <c r="AB39" s="738" t="s">
        <v>208</v>
      </c>
      <c r="AC39" s="738" t="s">
        <v>210</v>
      </c>
      <c r="AD39" s="738" t="s">
        <v>209</v>
      </c>
      <c r="AE39" s="738" t="s">
        <v>208</v>
      </c>
      <c r="AF39" s="738" t="s">
        <v>210</v>
      </c>
      <c r="AG39" s="757" t="s">
        <v>486</v>
      </c>
    </row>
    <row r="40" spans="2:33">
      <c r="B40" s="540">
        <v>1</v>
      </c>
      <c r="C40" s="778"/>
      <c r="D40" s="743"/>
      <c r="E40" s="743"/>
      <c r="F40" s="743"/>
      <c r="G40" s="743"/>
      <c r="H40" s="743"/>
      <c r="I40" s="743"/>
      <c r="J40" s="743"/>
      <c r="K40" s="743"/>
      <c r="L40" s="743"/>
      <c r="M40" s="743"/>
      <c r="N40" s="743"/>
      <c r="O40" s="743"/>
      <c r="P40" s="743"/>
      <c r="Q40" s="743"/>
      <c r="R40" s="743"/>
      <c r="S40" s="743"/>
      <c r="T40" s="743"/>
      <c r="U40" s="743"/>
      <c r="V40" s="743"/>
      <c r="W40" s="743"/>
      <c r="X40" s="743"/>
      <c r="Y40" s="743"/>
      <c r="Z40" s="743"/>
      <c r="AA40" s="743"/>
      <c r="AB40" s="743"/>
      <c r="AC40" s="743"/>
      <c r="AD40" s="743"/>
      <c r="AE40" s="743"/>
      <c r="AF40" s="743"/>
      <c r="AG40" s="362">
        <f>SUM(C40:AF40)</f>
        <v>0</v>
      </c>
    </row>
    <row r="41" spans="2:33">
      <c r="B41" s="540">
        <v>2</v>
      </c>
      <c r="C41" s="778"/>
      <c r="D41" s="743"/>
      <c r="E41" s="743"/>
      <c r="F41" s="743"/>
      <c r="G41" s="743"/>
      <c r="H41" s="743"/>
      <c r="I41" s="743"/>
      <c r="J41" s="743"/>
      <c r="K41" s="743"/>
      <c r="L41" s="743"/>
      <c r="M41" s="743"/>
      <c r="N41" s="743"/>
      <c r="O41" s="743"/>
      <c r="P41" s="743"/>
      <c r="Q41" s="743"/>
      <c r="R41" s="743"/>
      <c r="S41" s="743"/>
      <c r="T41" s="743"/>
      <c r="U41" s="743"/>
      <c r="V41" s="743"/>
      <c r="W41" s="743"/>
      <c r="X41" s="743"/>
      <c r="Y41" s="743"/>
      <c r="Z41" s="743"/>
      <c r="AA41" s="743"/>
      <c r="AB41" s="743"/>
      <c r="AC41" s="743"/>
      <c r="AD41" s="743"/>
      <c r="AE41" s="743"/>
      <c r="AF41" s="743"/>
      <c r="AG41" s="362">
        <f t="shared" ref="AG41:AG70" si="2">SUM(C41:AF41)</f>
        <v>0</v>
      </c>
    </row>
    <row r="42" spans="2:33">
      <c r="B42" s="540">
        <v>3</v>
      </c>
      <c r="C42" s="778"/>
      <c r="D42" s="743"/>
      <c r="E42" s="743"/>
      <c r="F42" s="743"/>
      <c r="G42" s="743"/>
      <c r="H42" s="743"/>
      <c r="I42" s="743"/>
      <c r="J42" s="743"/>
      <c r="K42" s="743"/>
      <c r="L42" s="743"/>
      <c r="M42" s="743"/>
      <c r="N42" s="743"/>
      <c r="O42" s="743"/>
      <c r="P42" s="743"/>
      <c r="Q42" s="743"/>
      <c r="R42" s="743"/>
      <c r="S42" s="743"/>
      <c r="T42" s="743"/>
      <c r="U42" s="743"/>
      <c r="V42" s="743"/>
      <c r="W42" s="743"/>
      <c r="X42" s="743"/>
      <c r="Y42" s="743"/>
      <c r="Z42" s="743"/>
      <c r="AA42" s="743"/>
      <c r="AB42" s="743"/>
      <c r="AC42" s="743"/>
      <c r="AD42" s="743"/>
      <c r="AE42" s="743"/>
      <c r="AF42" s="743"/>
      <c r="AG42" s="362">
        <f t="shared" si="2"/>
        <v>0</v>
      </c>
    </row>
    <row r="43" spans="2:33">
      <c r="B43" s="540">
        <v>4</v>
      </c>
      <c r="C43" s="778"/>
      <c r="D43" s="743"/>
      <c r="E43" s="743"/>
      <c r="F43" s="743"/>
      <c r="G43" s="743"/>
      <c r="H43" s="743"/>
      <c r="I43" s="743"/>
      <c r="J43" s="743"/>
      <c r="K43" s="743"/>
      <c r="L43" s="743"/>
      <c r="M43" s="743"/>
      <c r="N43" s="743"/>
      <c r="O43" s="743"/>
      <c r="P43" s="743"/>
      <c r="Q43" s="743"/>
      <c r="R43" s="743"/>
      <c r="S43" s="743"/>
      <c r="T43" s="743"/>
      <c r="U43" s="743"/>
      <c r="V43" s="743"/>
      <c r="W43" s="743"/>
      <c r="X43" s="743"/>
      <c r="Y43" s="743"/>
      <c r="Z43" s="743"/>
      <c r="AA43" s="743"/>
      <c r="AB43" s="743"/>
      <c r="AC43" s="743"/>
      <c r="AD43" s="743"/>
      <c r="AE43" s="743"/>
      <c r="AF43" s="743"/>
      <c r="AG43" s="362">
        <f t="shared" si="2"/>
        <v>0</v>
      </c>
    </row>
    <row r="44" spans="2:33">
      <c r="B44" s="540">
        <v>5</v>
      </c>
      <c r="C44" s="778"/>
      <c r="D44" s="743"/>
      <c r="E44" s="743"/>
      <c r="F44" s="743"/>
      <c r="G44" s="743"/>
      <c r="H44" s="743"/>
      <c r="I44" s="743"/>
      <c r="J44" s="743"/>
      <c r="K44" s="743"/>
      <c r="L44" s="743"/>
      <c r="M44" s="743"/>
      <c r="N44" s="743"/>
      <c r="O44" s="743"/>
      <c r="P44" s="743"/>
      <c r="Q44" s="743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362">
        <f t="shared" si="2"/>
        <v>0</v>
      </c>
    </row>
    <row r="45" spans="2:33">
      <c r="B45" s="540">
        <v>6</v>
      </c>
      <c r="C45" s="778"/>
      <c r="D45" s="743"/>
      <c r="E45" s="743"/>
      <c r="F45" s="743"/>
      <c r="G45" s="743"/>
      <c r="H45" s="743"/>
      <c r="I45" s="743"/>
      <c r="J45" s="743"/>
      <c r="K45" s="743"/>
      <c r="L45" s="743"/>
      <c r="M45" s="743"/>
      <c r="N45" s="743"/>
      <c r="O45" s="743"/>
      <c r="P45" s="743"/>
      <c r="Q45" s="743"/>
      <c r="R45" s="743"/>
      <c r="S45" s="743"/>
      <c r="T45" s="743"/>
      <c r="U45" s="743"/>
      <c r="V45" s="743"/>
      <c r="W45" s="743"/>
      <c r="X45" s="743"/>
      <c r="Y45" s="743"/>
      <c r="Z45" s="743"/>
      <c r="AA45" s="743"/>
      <c r="AB45" s="743"/>
      <c r="AC45" s="743"/>
      <c r="AD45" s="743"/>
      <c r="AE45" s="743"/>
      <c r="AF45" s="743"/>
      <c r="AG45" s="362">
        <f t="shared" si="2"/>
        <v>0</v>
      </c>
    </row>
    <row r="46" spans="2:33">
      <c r="B46" s="540">
        <v>7</v>
      </c>
      <c r="C46" s="778"/>
      <c r="D46" s="743"/>
      <c r="E46" s="743"/>
      <c r="F46" s="743"/>
      <c r="G46" s="743"/>
      <c r="H46" s="743"/>
      <c r="I46" s="743"/>
      <c r="J46" s="743"/>
      <c r="K46" s="743"/>
      <c r="L46" s="743"/>
      <c r="M46" s="743"/>
      <c r="N46" s="743"/>
      <c r="O46" s="743"/>
      <c r="P46" s="743"/>
      <c r="Q46" s="743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362">
        <f t="shared" si="2"/>
        <v>0</v>
      </c>
    </row>
    <row r="47" spans="2:33">
      <c r="B47" s="540">
        <v>8</v>
      </c>
      <c r="C47" s="778"/>
      <c r="D47" s="743"/>
      <c r="E47" s="743"/>
      <c r="F47" s="743"/>
      <c r="G47" s="743"/>
      <c r="H47" s="743"/>
      <c r="I47" s="743"/>
      <c r="J47" s="743"/>
      <c r="K47" s="743"/>
      <c r="L47" s="743"/>
      <c r="M47" s="743"/>
      <c r="N47" s="743"/>
      <c r="O47" s="743"/>
      <c r="P47" s="743"/>
      <c r="Q47" s="743"/>
      <c r="R47" s="743"/>
      <c r="S47" s="743"/>
      <c r="T47" s="743"/>
      <c r="U47" s="743"/>
      <c r="V47" s="743"/>
      <c r="W47" s="743"/>
      <c r="X47" s="743"/>
      <c r="Y47" s="743"/>
      <c r="Z47" s="743"/>
      <c r="AA47" s="743"/>
      <c r="AB47" s="743"/>
      <c r="AC47" s="743"/>
      <c r="AD47" s="743"/>
      <c r="AE47" s="743"/>
      <c r="AF47" s="743"/>
      <c r="AG47" s="362">
        <f t="shared" si="2"/>
        <v>0</v>
      </c>
    </row>
    <row r="48" spans="2:33">
      <c r="B48" s="540">
        <v>9</v>
      </c>
      <c r="C48" s="778"/>
      <c r="D48" s="743"/>
      <c r="E48" s="743"/>
      <c r="F48" s="743"/>
      <c r="G48" s="743"/>
      <c r="H48" s="743"/>
      <c r="I48" s="743"/>
      <c r="J48" s="743"/>
      <c r="K48" s="743"/>
      <c r="L48" s="743"/>
      <c r="M48" s="743"/>
      <c r="N48" s="743"/>
      <c r="O48" s="743"/>
      <c r="P48" s="743"/>
      <c r="Q48" s="743"/>
      <c r="R48" s="743"/>
      <c r="S48" s="743"/>
      <c r="T48" s="743"/>
      <c r="U48" s="743"/>
      <c r="V48" s="743"/>
      <c r="W48" s="743"/>
      <c r="X48" s="743"/>
      <c r="Y48" s="743"/>
      <c r="Z48" s="743"/>
      <c r="AA48" s="743"/>
      <c r="AB48" s="743"/>
      <c r="AC48" s="743"/>
      <c r="AD48" s="743"/>
      <c r="AE48" s="743"/>
      <c r="AF48" s="743"/>
      <c r="AG48" s="362">
        <f t="shared" si="2"/>
        <v>0</v>
      </c>
    </row>
    <row r="49" spans="2:33">
      <c r="B49" s="540">
        <v>10</v>
      </c>
      <c r="C49" s="778"/>
      <c r="D49" s="743"/>
      <c r="E49" s="743"/>
      <c r="F49" s="743"/>
      <c r="G49" s="743"/>
      <c r="H49" s="743"/>
      <c r="I49" s="743"/>
      <c r="J49" s="743"/>
      <c r="K49" s="743"/>
      <c r="L49" s="743"/>
      <c r="M49" s="743"/>
      <c r="N49" s="743"/>
      <c r="O49" s="743"/>
      <c r="P49" s="743"/>
      <c r="Q49" s="743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362">
        <f t="shared" si="2"/>
        <v>0</v>
      </c>
    </row>
    <row r="50" spans="2:33">
      <c r="B50" s="540">
        <v>11</v>
      </c>
      <c r="C50" s="778"/>
      <c r="D50" s="743"/>
      <c r="E50" s="743"/>
      <c r="F50" s="743"/>
      <c r="G50" s="743"/>
      <c r="H50" s="743"/>
      <c r="I50" s="743"/>
      <c r="J50" s="743"/>
      <c r="K50" s="743"/>
      <c r="L50" s="743"/>
      <c r="M50" s="743"/>
      <c r="N50" s="743"/>
      <c r="O50" s="743"/>
      <c r="P50" s="743"/>
      <c r="Q50" s="743"/>
      <c r="R50" s="743"/>
      <c r="S50" s="743"/>
      <c r="T50" s="743"/>
      <c r="U50" s="743"/>
      <c r="V50" s="743"/>
      <c r="W50" s="743"/>
      <c r="X50" s="743"/>
      <c r="Y50" s="743"/>
      <c r="Z50" s="743"/>
      <c r="AA50" s="743"/>
      <c r="AB50" s="743"/>
      <c r="AC50" s="743"/>
      <c r="AD50" s="743"/>
      <c r="AE50" s="743"/>
      <c r="AF50" s="743"/>
      <c r="AG50" s="362">
        <f t="shared" si="2"/>
        <v>0</v>
      </c>
    </row>
    <row r="51" spans="2:33">
      <c r="B51" s="540">
        <v>12</v>
      </c>
      <c r="C51" s="778"/>
      <c r="D51" s="743"/>
      <c r="E51" s="743"/>
      <c r="F51" s="743"/>
      <c r="G51" s="743"/>
      <c r="H51" s="743"/>
      <c r="I51" s="743"/>
      <c r="J51" s="743"/>
      <c r="K51" s="743"/>
      <c r="L51" s="743"/>
      <c r="M51" s="743"/>
      <c r="N51" s="743"/>
      <c r="O51" s="743"/>
      <c r="P51" s="743"/>
      <c r="Q51" s="743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362">
        <f t="shared" si="2"/>
        <v>0</v>
      </c>
    </row>
    <row r="52" spans="2:33">
      <c r="B52" s="540">
        <v>13</v>
      </c>
      <c r="C52" s="778"/>
      <c r="D52" s="743"/>
      <c r="E52" s="743"/>
      <c r="F52" s="743"/>
      <c r="G52" s="743"/>
      <c r="H52" s="743"/>
      <c r="I52" s="743"/>
      <c r="J52" s="743"/>
      <c r="K52" s="743"/>
      <c r="L52" s="743"/>
      <c r="M52" s="743"/>
      <c r="N52" s="743"/>
      <c r="O52" s="743"/>
      <c r="P52" s="743"/>
      <c r="Q52" s="743"/>
      <c r="R52" s="743"/>
      <c r="S52" s="743"/>
      <c r="T52" s="743"/>
      <c r="U52" s="743"/>
      <c r="V52" s="743"/>
      <c r="W52" s="743"/>
      <c r="X52" s="743"/>
      <c r="Y52" s="743"/>
      <c r="Z52" s="743"/>
      <c r="AA52" s="743"/>
      <c r="AB52" s="743"/>
      <c r="AC52" s="743"/>
      <c r="AD52" s="743"/>
      <c r="AE52" s="743"/>
      <c r="AF52" s="743"/>
      <c r="AG52" s="362">
        <f t="shared" si="2"/>
        <v>0</v>
      </c>
    </row>
    <row r="53" spans="2:33">
      <c r="B53" s="540">
        <v>14</v>
      </c>
      <c r="C53" s="778"/>
      <c r="D53" s="743"/>
      <c r="E53" s="743"/>
      <c r="F53" s="743"/>
      <c r="G53" s="743"/>
      <c r="H53" s="743"/>
      <c r="I53" s="743"/>
      <c r="J53" s="743"/>
      <c r="K53" s="743"/>
      <c r="L53" s="743"/>
      <c r="M53" s="743"/>
      <c r="N53" s="743"/>
      <c r="O53" s="743"/>
      <c r="P53" s="743"/>
      <c r="Q53" s="743"/>
      <c r="R53" s="743"/>
      <c r="S53" s="743"/>
      <c r="T53" s="743"/>
      <c r="U53" s="743"/>
      <c r="V53" s="743"/>
      <c r="W53" s="743"/>
      <c r="X53" s="743"/>
      <c r="Y53" s="743"/>
      <c r="Z53" s="743"/>
      <c r="AA53" s="743"/>
      <c r="AB53" s="743"/>
      <c r="AC53" s="743"/>
      <c r="AD53" s="743"/>
      <c r="AE53" s="743"/>
      <c r="AF53" s="743"/>
      <c r="AG53" s="362">
        <f t="shared" si="2"/>
        <v>0</v>
      </c>
    </row>
    <row r="54" spans="2:33">
      <c r="B54" s="540">
        <v>15</v>
      </c>
      <c r="C54" s="778"/>
      <c r="D54" s="743"/>
      <c r="E54" s="743"/>
      <c r="F54" s="743"/>
      <c r="G54" s="743"/>
      <c r="H54" s="743"/>
      <c r="I54" s="743"/>
      <c r="J54" s="743"/>
      <c r="K54" s="743"/>
      <c r="L54" s="743"/>
      <c r="M54" s="743"/>
      <c r="N54" s="743"/>
      <c r="O54" s="743"/>
      <c r="P54" s="743"/>
      <c r="Q54" s="743"/>
      <c r="R54" s="743"/>
      <c r="S54" s="743"/>
      <c r="T54" s="743"/>
      <c r="U54" s="743"/>
      <c r="V54" s="743"/>
      <c r="W54" s="743"/>
      <c r="X54" s="743"/>
      <c r="Y54" s="743"/>
      <c r="Z54" s="743"/>
      <c r="AA54" s="743"/>
      <c r="AB54" s="743"/>
      <c r="AC54" s="743"/>
      <c r="AD54" s="743"/>
      <c r="AE54" s="743"/>
      <c r="AF54" s="743"/>
      <c r="AG54" s="362">
        <f t="shared" si="2"/>
        <v>0</v>
      </c>
    </row>
    <row r="55" spans="2:33">
      <c r="B55" s="540">
        <v>16</v>
      </c>
      <c r="C55" s="778"/>
      <c r="D55" s="743"/>
      <c r="E55" s="743"/>
      <c r="F55" s="743"/>
      <c r="G55" s="743"/>
      <c r="H55" s="743"/>
      <c r="I55" s="743"/>
      <c r="J55" s="743"/>
      <c r="K55" s="743"/>
      <c r="L55" s="743"/>
      <c r="M55" s="743"/>
      <c r="N55" s="743"/>
      <c r="O55" s="743"/>
      <c r="P55" s="743"/>
      <c r="Q55" s="743"/>
      <c r="R55" s="743"/>
      <c r="S55" s="743"/>
      <c r="T55" s="743"/>
      <c r="U55" s="743"/>
      <c r="V55" s="743"/>
      <c r="W55" s="743"/>
      <c r="X55" s="743"/>
      <c r="Y55" s="743"/>
      <c r="Z55" s="743"/>
      <c r="AA55" s="743"/>
      <c r="AB55" s="743"/>
      <c r="AC55" s="743"/>
      <c r="AD55" s="743"/>
      <c r="AE55" s="743"/>
      <c r="AF55" s="743"/>
      <c r="AG55" s="362">
        <f t="shared" si="2"/>
        <v>0</v>
      </c>
    </row>
    <row r="56" spans="2:33">
      <c r="B56" s="540">
        <v>17</v>
      </c>
      <c r="C56" s="778"/>
      <c r="D56" s="743"/>
      <c r="E56" s="743"/>
      <c r="F56" s="743"/>
      <c r="G56" s="743"/>
      <c r="H56" s="743"/>
      <c r="I56" s="743"/>
      <c r="J56" s="743"/>
      <c r="K56" s="743"/>
      <c r="L56" s="743"/>
      <c r="M56" s="743"/>
      <c r="N56" s="743"/>
      <c r="O56" s="743"/>
      <c r="P56" s="743"/>
      <c r="Q56" s="743"/>
      <c r="R56" s="743"/>
      <c r="S56" s="743"/>
      <c r="T56" s="743"/>
      <c r="U56" s="743"/>
      <c r="V56" s="743"/>
      <c r="W56" s="743"/>
      <c r="X56" s="743"/>
      <c r="Y56" s="743"/>
      <c r="Z56" s="743"/>
      <c r="AA56" s="743"/>
      <c r="AB56" s="743"/>
      <c r="AC56" s="743"/>
      <c r="AD56" s="743"/>
      <c r="AE56" s="743"/>
      <c r="AF56" s="743"/>
      <c r="AG56" s="362">
        <f t="shared" si="2"/>
        <v>0</v>
      </c>
    </row>
    <row r="57" spans="2:33">
      <c r="B57" s="540">
        <v>18</v>
      </c>
      <c r="C57" s="778"/>
      <c r="D57" s="743"/>
      <c r="E57" s="743"/>
      <c r="F57" s="743"/>
      <c r="G57" s="743"/>
      <c r="H57" s="743"/>
      <c r="I57" s="743"/>
      <c r="J57" s="743"/>
      <c r="K57" s="743"/>
      <c r="L57" s="743"/>
      <c r="M57" s="743"/>
      <c r="N57" s="743"/>
      <c r="O57" s="743"/>
      <c r="P57" s="743"/>
      <c r="Q57" s="743"/>
      <c r="R57" s="743"/>
      <c r="S57" s="743"/>
      <c r="T57" s="743"/>
      <c r="U57" s="743"/>
      <c r="V57" s="743"/>
      <c r="W57" s="743"/>
      <c r="X57" s="743"/>
      <c r="Y57" s="743"/>
      <c r="Z57" s="743"/>
      <c r="AA57" s="743"/>
      <c r="AB57" s="743"/>
      <c r="AC57" s="743"/>
      <c r="AD57" s="743"/>
      <c r="AE57" s="743"/>
      <c r="AF57" s="743"/>
      <c r="AG57" s="362">
        <f t="shared" si="2"/>
        <v>0</v>
      </c>
    </row>
    <row r="58" spans="2:33">
      <c r="B58" s="540">
        <v>19</v>
      </c>
      <c r="C58" s="778"/>
      <c r="D58" s="743"/>
      <c r="E58" s="743"/>
      <c r="F58" s="743"/>
      <c r="G58" s="743"/>
      <c r="H58" s="743"/>
      <c r="I58" s="743"/>
      <c r="J58" s="743"/>
      <c r="K58" s="743"/>
      <c r="L58" s="743"/>
      <c r="M58" s="743"/>
      <c r="N58" s="743"/>
      <c r="O58" s="743"/>
      <c r="P58" s="743"/>
      <c r="Q58" s="743"/>
      <c r="R58" s="743"/>
      <c r="S58" s="743"/>
      <c r="T58" s="743"/>
      <c r="U58" s="743"/>
      <c r="V58" s="743"/>
      <c r="W58" s="743"/>
      <c r="X58" s="743"/>
      <c r="Y58" s="743"/>
      <c r="Z58" s="743"/>
      <c r="AA58" s="743"/>
      <c r="AB58" s="743"/>
      <c r="AC58" s="743"/>
      <c r="AD58" s="743"/>
      <c r="AE58" s="743"/>
      <c r="AF58" s="743"/>
      <c r="AG58" s="362">
        <f t="shared" si="2"/>
        <v>0</v>
      </c>
    </row>
    <row r="59" spans="2:33">
      <c r="B59" s="540">
        <v>20</v>
      </c>
      <c r="C59" s="778"/>
      <c r="D59" s="743"/>
      <c r="E59" s="743"/>
      <c r="F59" s="743"/>
      <c r="G59" s="743"/>
      <c r="H59" s="743"/>
      <c r="I59" s="743"/>
      <c r="J59" s="743"/>
      <c r="K59" s="743"/>
      <c r="L59" s="743"/>
      <c r="M59" s="743"/>
      <c r="N59" s="743"/>
      <c r="O59" s="743"/>
      <c r="P59" s="743"/>
      <c r="Q59" s="743"/>
      <c r="R59" s="743"/>
      <c r="S59" s="743"/>
      <c r="T59" s="743"/>
      <c r="U59" s="743"/>
      <c r="V59" s="743"/>
      <c r="W59" s="743"/>
      <c r="X59" s="743"/>
      <c r="Y59" s="743"/>
      <c r="Z59" s="743"/>
      <c r="AA59" s="743"/>
      <c r="AB59" s="743"/>
      <c r="AC59" s="743"/>
      <c r="AD59" s="743"/>
      <c r="AE59" s="743"/>
      <c r="AF59" s="743"/>
      <c r="AG59" s="362">
        <f t="shared" si="2"/>
        <v>0</v>
      </c>
    </row>
    <row r="60" spans="2:33">
      <c r="B60" s="540">
        <v>21</v>
      </c>
      <c r="C60" s="778"/>
      <c r="D60" s="743"/>
      <c r="E60" s="743"/>
      <c r="F60" s="743"/>
      <c r="G60" s="743"/>
      <c r="H60" s="743"/>
      <c r="I60" s="743"/>
      <c r="J60" s="743"/>
      <c r="K60" s="743"/>
      <c r="L60" s="743"/>
      <c r="M60" s="743"/>
      <c r="N60" s="743"/>
      <c r="O60" s="743"/>
      <c r="P60" s="743"/>
      <c r="Q60" s="743"/>
      <c r="R60" s="743"/>
      <c r="S60" s="743"/>
      <c r="T60" s="743"/>
      <c r="U60" s="743"/>
      <c r="V60" s="743"/>
      <c r="W60" s="743"/>
      <c r="X60" s="743"/>
      <c r="Y60" s="743"/>
      <c r="Z60" s="743"/>
      <c r="AA60" s="743"/>
      <c r="AB60" s="743"/>
      <c r="AC60" s="743"/>
      <c r="AD60" s="743"/>
      <c r="AE60" s="743"/>
      <c r="AF60" s="743"/>
      <c r="AG60" s="362">
        <f t="shared" si="2"/>
        <v>0</v>
      </c>
    </row>
    <row r="61" spans="2:33">
      <c r="B61" s="540">
        <v>22</v>
      </c>
      <c r="C61" s="778"/>
      <c r="D61" s="743"/>
      <c r="E61" s="743"/>
      <c r="F61" s="743"/>
      <c r="G61" s="743"/>
      <c r="H61" s="743"/>
      <c r="I61" s="743"/>
      <c r="J61" s="743"/>
      <c r="K61" s="743"/>
      <c r="L61" s="743"/>
      <c r="M61" s="743"/>
      <c r="N61" s="743"/>
      <c r="O61" s="743"/>
      <c r="P61" s="743"/>
      <c r="Q61" s="743"/>
      <c r="R61" s="743"/>
      <c r="S61" s="743"/>
      <c r="T61" s="743"/>
      <c r="U61" s="743"/>
      <c r="V61" s="743"/>
      <c r="W61" s="743"/>
      <c r="X61" s="743"/>
      <c r="Y61" s="743"/>
      <c r="Z61" s="743"/>
      <c r="AA61" s="743"/>
      <c r="AB61" s="743"/>
      <c r="AC61" s="743"/>
      <c r="AD61" s="743"/>
      <c r="AE61" s="743"/>
      <c r="AF61" s="743"/>
      <c r="AG61" s="362">
        <f t="shared" si="2"/>
        <v>0</v>
      </c>
    </row>
    <row r="62" spans="2:33">
      <c r="B62" s="540">
        <v>23</v>
      </c>
      <c r="C62" s="778"/>
      <c r="D62" s="743"/>
      <c r="E62" s="743"/>
      <c r="F62" s="743"/>
      <c r="G62" s="743"/>
      <c r="H62" s="743"/>
      <c r="I62" s="743"/>
      <c r="J62" s="743"/>
      <c r="K62" s="743"/>
      <c r="L62" s="743"/>
      <c r="M62" s="743"/>
      <c r="N62" s="743"/>
      <c r="O62" s="743"/>
      <c r="P62" s="743"/>
      <c r="Q62" s="743"/>
      <c r="R62" s="743"/>
      <c r="S62" s="743"/>
      <c r="T62" s="743"/>
      <c r="U62" s="743"/>
      <c r="V62" s="743"/>
      <c r="W62" s="743"/>
      <c r="X62" s="743"/>
      <c r="Y62" s="743"/>
      <c r="Z62" s="743"/>
      <c r="AA62" s="743"/>
      <c r="AB62" s="743"/>
      <c r="AC62" s="743"/>
      <c r="AD62" s="743"/>
      <c r="AE62" s="743"/>
      <c r="AF62" s="743"/>
      <c r="AG62" s="362">
        <f t="shared" si="2"/>
        <v>0</v>
      </c>
    </row>
    <row r="63" spans="2:33">
      <c r="B63" s="540">
        <v>24</v>
      </c>
      <c r="C63" s="778"/>
      <c r="D63" s="743"/>
      <c r="E63" s="743"/>
      <c r="F63" s="743"/>
      <c r="G63" s="743"/>
      <c r="H63" s="743"/>
      <c r="I63" s="743"/>
      <c r="J63" s="743"/>
      <c r="K63" s="743"/>
      <c r="L63" s="743"/>
      <c r="M63" s="743"/>
      <c r="N63" s="743"/>
      <c r="O63" s="743"/>
      <c r="P63" s="743"/>
      <c r="Q63" s="743"/>
      <c r="R63" s="743"/>
      <c r="S63" s="743"/>
      <c r="T63" s="743"/>
      <c r="U63" s="743"/>
      <c r="V63" s="743"/>
      <c r="W63" s="743"/>
      <c r="X63" s="743"/>
      <c r="Y63" s="743"/>
      <c r="Z63" s="743"/>
      <c r="AA63" s="743"/>
      <c r="AB63" s="743"/>
      <c r="AC63" s="743"/>
      <c r="AD63" s="743"/>
      <c r="AE63" s="743"/>
      <c r="AF63" s="743"/>
      <c r="AG63" s="362">
        <f t="shared" si="2"/>
        <v>0</v>
      </c>
    </row>
    <row r="64" spans="2:33">
      <c r="B64" s="540">
        <v>25</v>
      </c>
      <c r="C64" s="778"/>
      <c r="D64" s="743"/>
      <c r="E64" s="743"/>
      <c r="F64" s="743"/>
      <c r="G64" s="743"/>
      <c r="H64" s="743"/>
      <c r="I64" s="743"/>
      <c r="J64" s="743"/>
      <c r="K64" s="743"/>
      <c r="L64" s="743"/>
      <c r="M64" s="743"/>
      <c r="N64" s="743"/>
      <c r="O64" s="743"/>
      <c r="P64" s="743"/>
      <c r="Q64" s="743"/>
      <c r="R64" s="743"/>
      <c r="S64" s="743"/>
      <c r="T64" s="743"/>
      <c r="U64" s="743"/>
      <c r="V64" s="743"/>
      <c r="W64" s="743"/>
      <c r="X64" s="743"/>
      <c r="Y64" s="743"/>
      <c r="Z64" s="743"/>
      <c r="AA64" s="743"/>
      <c r="AB64" s="743"/>
      <c r="AC64" s="743"/>
      <c r="AD64" s="743"/>
      <c r="AE64" s="743"/>
      <c r="AF64" s="743"/>
      <c r="AG64" s="362">
        <f t="shared" si="2"/>
        <v>0</v>
      </c>
    </row>
    <row r="65" spans="2:33">
      <c r="B65" s="540">
        <v>26</v>
      </c>
      <c r="C65" s="778"/>
      <c r="D65" s="743"/>
      <c r="E65" s="743"/>
      <c r="F65" s="743"/>
      <c r="G65" s="743"/>
      <c r="H65" s="743"/>
      <c r="I65" s="743"/>
      <c r="J65" s="743"/>
      <c r="K65" s="743"/>
      <c r="L65" s="743"/>
      <c r="M65" s="743"/>
      <c r="N65" s="743"/>
      <c r="O65" s="743"/>
      <c r="P65" s="743"/>
      <c r="Q65" s="743"/>
      <c r="R65" s="743"/>
      <c r="S65" s="743"/>
      <c r="T65" s="743"/>
      <c r="U65" s="743"/>
      <c r="V65" s="743"/>
      <c r="W65" s="743"/>
      <c r="X65" s="743"/>
      <c r="Y65" s="743"/>
      <c r="Z65" s="743"/>
      <c r="AA65" s="743"/>
      <c r="AB65" s="743"/>
      <c r="AC65" s="743"/>
      <c r="AD65" s="743"/>
      <c r="AE65" s="743"/>
      <c r="AF65" s="743"/>
      <c r="AG65" s="362">
        <f t="shared" si="2"/>
        <v>0</v>
      </c>
    </row>
    <row r="66" spans="2:33">
      <c r="B66" s="540">
        <v>27</v>
      </c>
      <c r="C66" s="778"/>
      <c r="D66" s="743"/>
      <c r="E66" s="743"/>
      <c r="F66" s="743"/>
      <c r="G66" s="743"/>
      <c r="H66" s="743"/>
      <c r="I66" s="743"/>
      <c r="J66" s="743"/>
      <c r="K66" s="743"/>
      <c r="L66" s="743"/>
      <c r="M66" s="743"/>
      <c r="N66" s="743"/>
      <c r="O66" s="743"/>
      <c r="P66" s="743"/>
      <c r="Q66" s="743"/>
      <c r="R66" s="743"/>
      <c r="S66" s="743"/>
      <c r="T66" s="743"/>
      <c r="U66" s="743"/>
      <c r="V66" s="743"/>
      <c r="W66" s="743"/>
      <c r="X66" s="743"/>
      <c r="Y66" s="743"/>
      <c r="Z66" s="743"/>
      <c r="AA66" s="743"/>
      <c r="AB66" s="743"/>
      <c r="AC66" s="743"/>
      <c r="AD66" s="743"/>
      <c r="AE66" s="743"/>
      <c r="AF66" s="743"/>
      <c r="AG66" s="362">
        <f t="shared" si="2"/>
        <v>0</v>
      </c>
    </row>
    <row r="67" spans="2:33">
      <c r="B67" s="540">
        <v>28</v>
      </c>
      <c r="C67" s="778"/>
      <c r="D67" s="743"/>
      <c r="E67" s="743"/>
      <c r="F67" s="743"/>
      <c r="G67" s="743"/>
      <c r="H67" s="743"/>
      <c r="I67" s="743"/>
      <c r="J67" s="743"/>
      <c r="K67" s="743"/>
      <c r="L67" s="743"/>
      <c r="M67" s="743"/>
      <c r="N67" s="743"/>
      <c r="O67" s="743"/>
      <c r="P67" s="743"/>
      <c r="Q67" s="743"/>
      <c r="R67" s="743"/>
      <c r="S67" s="743"/>
      <c r="T67" s="743"/>
      <c r="U67" s="743"/>
      <c r="V67" s="743"/>
      <c r="W67" s="743"/>
      <c r="X67" s="743"/>
      <c r="Y67" s="743"/>
      <c r="Z67" s="743"/>
      <c r="AA67" s="743"/>
      <c r="AB67" s="743"/>
      <c r="AC67" s="743"/>
      <c r="AD67" s="743"/>
      <c r="AE67" s="743"/>
      <c r="AF67" s="743"/>
      <c r="AG67" s="362">
        <f t="shared" si="2"/>
        <v>0</v>
      </c>
    </row>
    <row r="68" spans="2:33">
      <c r="B68" s="540">
        <v>29</v>
      </c>
      <c r="C68" s="778"/>
      <c r="D68" s="743"/>
      <c r="E68" s="743"/>
      <c r="F68" s="743"/>
      <c r="G68" s="743"/>
      <c r="H68" s="743"/>
      <c r="I68" s="743"/>
      <c r="J68" s="743"/>
      <c r="K68" s="743"/>
      <c r="L68" s="743"/>
      <c r="M68" s="743"/>
      <c r="N68" s="743"/>
      <c r="O68" s="743"/>
      <c r="P68" s="743"/>
      <c r="Q68" s="743"/>
      <c r="R68" s="743"/>
      <c r="S68" s="743"/>
      <c r="T68" s="743"/>
      <c r="U68" s="743"/>
      <c r="V68" s="743"/>
      <c r="W68" s="743"/>
      <c r="X68" s="743"/>
      <c r="Y68" s="743"/>
      <c r="Z68" s="743"/>
      <c r="AA68" s="743"/>
      <c r="AB68" s="743"/>
      <c r="AC68" s="743"/>
      <c r="AD68" s="743"/>
      <c r="AE68" s="743"/>
      <c r="AF68" s="743"/>
      <c r="AG68" s="362">
        <f t="shared" si="2"/>
        <v>0</v>
      </c>
    </row>
    <row r="69" spans="2:33">
      <c r="B69" s="540">
        <v>30</v>
      </c>
      <c r="C69" s="778"/>
      <c r="D69" s="743"/>
      <c r="E69" s="743"/>
      <c r="F69" s="743"/>
      <c r="G69" s="743"/>
      <c r="H69" s="743"/>
      <c r="I69" s="743"/>
      <c r="J69" s="743"/>
      <c r="K69" s="743"/>
      <c r="L69" s="743"/>
      <c r="M69" s="743"/>
      <c r="N69" s="743"/>
      <c r="O69" s="743"/>
      <c r="P69" s="743"/>
      <c r="Q69" s="743"/>
      <c r="R69" s="743"/>
      <c r="S69" s="743"/>
      <c r="T69" s="743"/>
      <c r="U69" s="743"/>
      <c r="V69" s="743"/>
      <c r="W69" s="743"/>
      <c r="X69" s="743"/>
      <c r="Y69" s="743"/>
      <c r="Z69" s="743"/>
      <c r="AA69" s="743"/>
      <c r="AB69" s="743"/>
      <c r="AC69" s="743"/>
      <c r="AD69" s="743"/>
      <c r="AE69" s="743"/>
      <c r="AF69" s="743"/>
      <c r="AG69" s="362">
        <f t="shared" si="2"/>
        <v>0</v>
      </c>
    </row>
    <row r="70" spans="2:33">
      <c r="B70" s="540">
        <v>31</v>
      </c>
      <c r="C70" s="778"/>
      <c r="D70" s="743"/>
      <c r="E70" s="743"/>
      <c r="F70" s="743"/>
      <c r="G70" s="743"/>
      <c r="H70" s="743"/>
      <c r="I70" s="743"/>
      <c r="J70" s="743"/>
      <c r="K70" s="743"/>
      <c r="L70" s="743"/>
      <c r="M70" s="743"/>
      <c r="N70" s="743"/>
      <c r="O70" s="743"/>
      <c r="P70" s="743"/>
      <c r="Q70" s="743"/>
      <c r="R70" s="743"/>
      <c r="S70" s="743"/>
      <c r="T70" s="743"/>
      <c r="U70" s="743"/>
      <c r="V70" s="743"/>
      <c r="W70" s="743"/>
      <c r="X70" s="743"/>
      <c r="Y70" s="743"/>
      <c r="Z70" s="743"/>
      <c r="AA70" s="743"/>
      <c r="AB70" s="743"/>
      <c r="AC70" s="743"/>
      <c r="AD70" s="743"/>
      <c r="AE70" s="743"/>
      <c r="AF70" s="743"/>
      <c r="AG70" s="362">
        <f t="shared" si="2"/>
        <v>0</v>
      </c>
    </row>
    <row r="71" spans="2:33">
      <c r="B71" s="361" t="s">
        <v>72</v>
      </c>
      <c r="C71" s="779">
        <f>SUM(C40:C70)</f>
        <v>0</v>
      </c>
      <c r="D71" s="779">
        <f t="shared" ref="D71:AF71" si="3">SUM(D40:D70)</f>
        <v>0</v>
      </c>
      <c r="E71" s="779">
        <f t="shared" si="3"/>
        <v>0</v>
      </c>
      <c r="F71" s="779">
        <f t="shared" si="3"/>
        <v>0</v>
      </c>
      <c r="G71" s="779">
        <f t="shared" si="3"/>
        <v>0</v>
      </c>
      <c r="H71" s="779">
        <f t="shared" si="3"/>
        <v>0</v>
      </c>
      <c r="I71" s="779">
        <f t="shared" si="3"/>
        <v>0</v>
      </c>
      <c r="J71" s="779">
        <f t="shared" si="3"/>
        <v>0</v>
      </c>
      <c r="K71" s="779">
        <f t="shared" si="3"/>
        <v>0</v>
      </c>
      <c r="L71" s="779">
        <f t="shared" si="3"/>
        <v>0</v>
      </c>
      <c r="M71" s="779">
        <f t="shared" si="3"/>
        <v>0</v>
      </c>
      <c r="N71" s="779">
        <f t="shared" si="3"/>
        <v>0</v>
      </c>
      <c r="O71" s="779">
        <f t="shared" si="3"/>
        <v>0</v>
      </c>
      <c r="P71" s="779">
        <f t="shared" si="3"/>
        <v>0</v>
      </c>
      <c r="Q71" s="779">
        <f t="shared" si="3"/>
        <v>0</v>
      </c>
      <c r="R71" s="779">
        <f t="shared" si="3"/>
        <v>0</v>
      </c>
      <c r="S71" s="779">
        <f t="shared" si="3"/>
        <v>0</v>
      </c>
      <c r="T71" s="779">
        <f t="shared" si="3"/>
        <v>0</v>
      </c>
      <c r="U71" s="779">
        <f t="shared" si="3"/>
        <v>0</v>
      </c>
      <c r="V71" s="779">
        <f t="shared" si="3"/>
        <v>0</v>
      </c>
      <c r="W71" s="779">
        <f t="shared" si="3"/>
        <v>0</v>
      </c>
      <c r="X71" s="779">
        <f t="shared" si="3"/>
        <v>0</v>
      </c>
      <c r="Y71" s="779">
        <f t="shared" si="3"/>
        <v>0</v>
      </c>
      <c r="Z71" s="779">
        <f t="shared" si="3"/>
        <v>0</v>
      </c>
      <c r="AA71" s="779">
        <f t="shared" si="3"/>
        <v>0</v>
      </c>
      <c r="AB71" s="779">
        <f t="shared" si="3"/>
        <v>0</v>
      </c>
      <c r="AC71" s="779">
        <f t="shared" si="3"/>
        <v>0</v>
      </c>
      <c r="AD71" s="779">
        <f t="shared" si="3"/>
        <v>0</v>
      </c>
      <c r="AE71" s="779">
        <f t="shared" si="3"/>
        <v>0</v>
      </c>
      <c r="AF71" s="779">
        <f t="shared" si="3"/>
        <v>0</v>
      </c>
    </row>
    <row r="72" spans="2:33">
      <c r="E72" s="362"/>
      <c r="F72" s="362"/>
      <c r="G72" s="362"/>
      <c r="H72" s="362"/>
      <c r="I72" s="362"/>
      <c r="J72" s="362"/>
      <c r="K72" s="362"/>
      <c r="L72" s="362"/>
      <c r="M72" s="362"/>
    </row>
    <row r="73" spans="2:33">
      <c r="C73" s="573"/>
      <c r="D73" s="573"/>
      <c r="E73" s="573"/>
      <c r="F73" s="573"/>
      <c r="G73" s="573"/>
      <c r="H73" s="573"/>
      <c r="I73" s="573"/>
      <c r="J73" s="573"/>
      <c r="K73" s="573"/>
      <c r="L73" s="573"/>
      <c r="M73" s="573"/>
      <c r="N73" s="573"/>
      <c r="O73" s="573"/>
      <c r="P73" s="573"/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</row>
    <row r="75" spans="2:33" ht="14.45" customHeight="1">
      <c r="B75" s="1378" t="s">
        <v>487</v>
      </c>
      <c r="C75" s="1379"/>
      <c r="D75" s="1252" t="s">
        <v>64</v>
      </c>
      <c r="E75" s="1253"/>
      <c r="F75" s="1253"/>
      <c r="G75" s="1253"/>
      <c r="H75" s="1253"/>
      <c r="I75" s="1254"/>
      <c r="J75" s="723" t="s">
        <v>382</v>
      </c>
      <c r="P75" s="1378" t="s">
        <v>487</v>
      </c>
      <c r="Q75" s="1379"/>
      <c r="R75" s="1252" t="s">
        <v>64</v>
      </c>
      <c r="S75" s="1253"/>
      <c r="T75" s="1253"/>
      <c r="U75" s="1253"/>
      <c r="V75" s="1253"/>
      <c r="W75" s="1254"/>
      <c r="X75" s="723" t="s">
        <v>382</v>
      </c>
    </row>
    <row r="76" spans="2:33" ht="14.45" customHeight="1">
      <c r="B76" s="1380"/>
      <c r="C76" s="1381"/>
      <c r="D76" s="366" t="s">
        <v>379</v>
      </c>
      <c r="E76" s="367" t="s">
        <v>380</v>
      </c>
      <c r="F76" s="367" t="s">
        <v>67</v>
      </c>
      <c r="G76" s="367" t="s">
        <v>66</v>
      </c>
      <c r="H76" s="368" t="s">
        <v>381</v>
      </c>
      <c r="I76" s="368" t="s">
        <v>65</v>
      </c>
      <c r="J76" s="723"/>
      <c r="P76" s="1380"/>
      <c r="Q76" s="1381"/>
      <c r="R76" s="366" t="s">
        <v>379</v>
      </c>
      <c r="S76" s="367" t="s">
        <v>380</v>
      </c>
      <c r="T76" s="367" t="s">
        <v>67</v>
      </c>
      <c r="U76" s="367" t="s">
        <v>66</v>
      </c>
      <c r="V76" s="368" t="s">
        <v>381</v>
      </c>
      <c r="W76" s="368" t="s">
        <v>65</v>
      </c>
      <c r="X76" s="723"/>
    </row>
    <row r="77" spans="2:33" ht="14.45" customHeight="1">
      <c r="B77" s="392" t="s">
        <v>488</v>
      </c>
      <c r="C77" s="506">
        <f>M35+M77</f>
        <v>0</v>
      </c>
      <c r="D77" s="933">
        <v>37.276157379150391</v>
      </c>
      <c r="E77" s="933">
        <v>23.149131774902344</v>
      </c>
      <c r="F77" s="933">
        <v>9.7560925483703613</v>
      </c>
      <c r="G77" s="933">
        <v>0.1939636692404747</v>
      </c>
      <c r="H77" s="934">
        <v>4599.13525390625</v>
      </c>
      <c r="I77" s="934">
        <v>3752.2564697265625</v>
      </c>
      <c r="M77" s="86">
        <v>0</v>
      </c>
      <c r="P77" s="392" t="s">
        <v>208</v>
      </c>
      <c r="Q77" s="506">
        <f>SUM(C77:C81)</f>
        <v>4209.08</v>
      </c>
      <c r="R77" s="933">
        <v>37.266506195068359</v>
      </c>
      <c r="S77" s="933">
        <v>22.304452896118164</v>
      </c>
      <c r="T77" s="933">
        <v>10.186671257019043</v>
      </c>
      <c r="U77" s="933">
        <v>0.18744976818561554</v>
      </c>
      <c r="V77" s="934">
        <v>4618.19189453125</v>
      </c>
      <c r="W77" s="934">
        <v>3726.491943359375</v>
      </c>
    </row>
    <row r="78" spans="2:33">
      <c r="B78" s="392" t="s">
        <v>489</v>
      </c>
      <c r="C78" s="506">
        <f>P35+M78</f>
        <v>227.4</v>
      </c>
      <c r="D78" s="507">
        <v>36.749871571858726</v>
      </c>
      <c r="E78" s="507">
        <v>24.317738215128582</v>
      </c>
      <c r="F78" s="507">
        <v>10.427618344624838</v>
      </c>
      <c r="G78" s="507">
        <v>0.21822393933931986</v>
      </c>
      <c r="H78" s="522">
        <v>4490.759440104167</v>
      </c>
      <c r="I78" s="522">
        <v>3747.6604817708335</v>
      </c>
      <c r="J78" s="724"/>
      <c r="M78" s="842">
        <v>0</v>
      </c>
      <c r="P78" s="392" t="s">
        <v>209</v>
      </c>
      <c r="Q78" s="506">
        <f>SUM(C82:C85)</f>
        <v>13441.62</v>
      </c>
      <c r="R78" s="507">
        <v>38.05933761596679</v>
      </c>
      <c r="S78" s="507">
        <v>23.53968334197998</v>
      </c>
      <c r="T78" s="507">
        <v>5.5854079723358154</v>
      </c>
      <c r="U78" s="507">
        <v>0.11767103895545007</v>
      </c>
      <c r="V78" s="522">
        <v>4833.59130859375</v>
      </c>
      <c r="W78" s="522">
        <v>3910.1044921875</v>
      </c>
      <c r="X78" s="724"/>
    </row>
    <row r="79" spans="2:33">
      <c r="B79" s="392" t="s">
        <v>490</v>
      </c>
      <c r="C79" s="506">
        <f>S35+M79</f>
        <v>66.34</v>
      </c>
      <c r="D79" s="507">
        <v>36.42119026184082</v>
      </c>
      <c r="E79" s="507">
        <v>23.763721466064453</v>
      </c>
      <c r="F79" s="507">
        <v>12.099794864654541</v>
      </c>
      <c r="G79" s="507">
        <v>0.1915842592716217</v>
      </c>
      <c r="H79" s="522">
        <v>4378.326416015625</v>
      </c>
      <c r="I79" s="522">
        <v>3648.693603515625</v>
      </c>
      <c r="J79" s="841"/>
      <c r="M79" s="842">
        <v>0</v>
      </c>
      <c r="P79" s="392" t="s">
        <v>210</v>
      </c>
      <c r="Q79" s="506">
        <f>SUM(C86:C90)</f>
        <v>221.12</v>
      </c>
      <c r="R79" s="507">
        <v>38.772627746637369</v>
      </c>
      <c r="S79" s="507">
        <v>22.354893602248438</v>
      </c>
      <c r="T79" s="507">
        <v>6.3404311580433159</v>
      </c>
      <c r="U79" s="507">
        <v>0.17097975756780515</v>
      </c>
      <c r="V79" s="522">
        <v>4828.1117482328027</v>
      </c>
      <c r="W79" s="522">
        <v>3801.4299219015611</v>
      </c>
      <c r="X79" s="841"/>
    </row>
    <row r="80" spans="2:33">
      <c r="B80" s="392" t="s">
        <v>491</v>
      </c>
      <c r="C80" s="506">
        <v>3915.34</v>
      </c>
      <c r="D80" s="507">
        <v>36.184371948242188</v>
      </c>
      <c r="E80" s="507">
        <v>23.766554832458496</v>
      </c>
      <c r="F80" s="507">
        <v>12.6170654296875</v>
      </c>
      <c r="G80" s="507">
        <v>0.15836736559867859</v>
      </c>
      <c r="H80" s="522">
        <v>4218.628662109375</v>
      </c>
      <c r="I80" s="522">
        <v>3524.616943359375</v>
      </c>
      <c r="J80" s="841"/>
      <c r="M80" s="842">
        <v>979.68</v>
      </c>
      <c r="P80" s="363" t="s">
        <v>126</v>
      </c>
      <c r="Q80" s="364">
        <f>SUM(Q77:Q79)</f>
        <v>17871.82</v>
      </c>
      <c r="R80" s="900">
        <f>SUMPRODUCT($Q$77:$Q$79,$R$77:$R$79)/$Q$80</f>
        <v>37.881439217069463</v>
      </c>
      <c r="S80" s="900">
        <f>SUMPRODUCT($Q$77:$Q$79,$S$77:$S$79)/$Q$80</f>
        <v>23.234109288955864</v>
      </c>
      <c r="T80" s="900">
        <f>SUMPRODUCT($Q$77:$Q$79,$T$77:$T$79)/$Q$80</f>
        <v>6.6784156231021132</v>
      </c>
      <c r="U80" s="900">
        <f>SUMPRODUCT($Q$77:$Q$79,$U$77:$U$79)/$Q$80</f>
        <v>0.13476453460881213</v>
      </c>
      <c r="V80" s="900">
        <f>SUMPRODUCT($Q$77:$Q$79,$V$77:$V$79)/$Q$80</f>
        <v>4782.7937397882679</v>
      </c>
      <c r="W80" s="900">
        <f>SUMPRODUCT($Q$77:$Q$79,$W$77:$W$79)/$Q$80</f>
        <v>3865.5164184488926</v>
      </c>
      <c r="X80" s="841"/>
    </row>
    <row r="81" spans="2:28">
      <c r="B81" s="392" t="s">
        <v>492</v>
      </c>
      <c r="C81" s="506">
        <f>+M81+Y35</f>
        <v>0</v>
      </c>
      <c r="D81" s="507">
        <v>36.52775446573893</v>
      </c>
      <c r="E81" s="507">
        <v>22.323772430419922</v>
      </c>
      <c r="F81" s="507">
        <v>13.36358896891276</v>
      </c>
      <c r="G81" s="507">
        <v>0.16489272813002268</v>
      </c>
      <c r="H81" s="522">
        <v>4335.608723958333</v>
      </c>
      <c r="I81" s="522">
        <v>3539.4088541666665</v>
      </c>
      <c r="J81" s="841"/>
      <c r="M81" s="842"/>
      <c r="X81" s="841"/>
    </row>
    <row r="82" spans="2:28">
      <c r="B82" s="392" t="s">
        <v>493</v>
      </c>
      <c r="C82" s="506">
        <f>O35+M82</f>
        <v>0</v>
      </c>
      <c r="D82" s="507">
        <v>38.317151387532554</v>
      </c>
      <c r="E82" s="507">
        <v>26.258239110310871</v>
      </c>
      <c r="F82" s="507">
        <v>6.5181620915730791</v>
      </c>
      <c r="G82" s="507">
        <v>0.10933643579483032</v>
      </c>
      <c r="H82" s="522">
        <v>4626.808756510417</v>
      </c>
      <c r="I82" s="522">
        <v>3863.1818033854165</v>
      </c>
      <c r="J82" s="841"/>
      <c r="M82" s="842">
        <v>0</v>
      </c>
      <c r="Y82" t="s">
        <v>494</v>
      </c>
      <c r="AB82" s="573">
        <v>4828.1117482328027</v>
      </c>
    </row>
    <row r="83" spans="2:28">
      <c r="B83" s="392" t="s">
        <v>495</v>
      </c>
      <c r="C83" s="506">
        <f>R35+M83</f>
        <v>6124.8</v>
      </c>
      <c r="D83" s="507">
        <v>37.828816731770836</v>
      </c>
      <c r="E83" s="507">
        <v>25.069695154825848</v>
      </c>
      <c r="F83" s="869">
        <v>7.3014791806538897</v>
      </c>
      <c r="G83" s="760">
        <v>0.1209374542037646</v>
      </c>
      <c r="H83" s="760">
        <v>4629.516276041667</v>
      </c>
      <c r="I83" s="869">
        <v>3833.1492513020835</v>
      </c>
      <c r="M83" s="842">
        <v>0</v>
      </c>
      <c r="P83" s="1378" t="s">
        <v>71</v>
      </c>
      <c r="Q83" s="1379"/>
      <c r="R83" s="1252" t="s">
        <v>64</v>
      </c>
      <c r="S83" s="1253"/>
      <c r="T83" s="1253"/>
      <c r="U83" s="1253"/>
      <c r="V83" s="1253"/>
      <c r="W83" s="1254"/>
      <c r="X83" s="723" t="s">
        <v>382</v>
      </c>
      <c r="Y83" t="s">
        <v>496</v>
      </c>
      <c r="AB83" s="573">
        <v>3801.4299219015611</v>
      </c>
    </row>
    <row r="84" spans="2:28">
      <c r="B84" s="392" t="s">
        <v>497</v>
      </c>
      <c r="C84" s="506">
        <f>U35</f>
        <v>7316.8200000000006</v>
      </c>
      <c r="D84" s="869">
        <v>37.570073445638023</v>
      </c>
      <c r="E84" s="760">
        <v>26.091804504394531</v>
      </c>
      <c r="F84" s="869">
        <v>9.3536771138509121</v>
      </c>
      <c r="G84" s="760">
        <v>0.1174290378888448</v>
      </c>
      <c r="H84" s="760">
        <v>4347.247884114583</v>
      </c>
      <c r="I84" s="869">
        <v>3657.3919270833335</v>
      </c>
      <c r="M84" s="842">
        <v>1636.62</v>
      </c>
      <c r="P84" s="1380"/>
      <c r="Q84" s="1381"/>
      <c r="R84" s="366" t="s">
        <v>379</v>
      </c>
      <c r="S84" s="367" t="s">
        <v>380</v>
      </c>
      <c r="T84" s="367" t="s">
        <v>67</v>
      </c>
      <c r="U84" s="367" t="s">
        <v>66</v>
      </c>
      <c r="V84" s="368" t="s">
        <v>381</v>
      </c>
      <c r="W84" s="368" t="s">
        <v>65</v>
      </c>
      <c r="X84" s="723"/>
      <c r="Y84" t="s">
        <v>498</v>
      </c>
      <c r="AB84" s="573">
        <v>0.17097975756780515</v>
      </c>
    </row>
    <row r="85" spans="2:28">
      <c r="B85" s="392" t="s">
        <v>499</v>
      </c>
      <c r="C85" s="506">
        <f>+M85+X35</f>
        <v>0</v>
      </c>
      <c r="D85" s="869">
        <v>37.882551193237305</v>
      </c>
      <c r="E85" s="760">
        <v>27.696942329406738</v>
      </c>
      <c r="F85" s="869">
        <v>10.154230117797852</v>
      </c>
      <c r="G85" s="760">
        <v>9.3148227781057358E-2</v>
      </c>
      <c r="H85" s="760">
        <v>4139.3013916015625</v>
      </c>
      <c r="I85" s="869">
        <v>3540.2330322265625</v>
      </c>
      <c r="M85" s="842"/>
      <c r="P85" s="392" t="s">
        <v>208</v>
      </c>
      <c r="Q85" s="506">
        <f>AA43+AA85</f>
        <v>0</v>
      </c>
      <c r="R85" s="933">
        <v>37.266506195068359</v>
      </c>
      <c r="S85" s="933">
        <v>22.304452896118164</v>
      </c>
      <c r="T85" s="933">
        <v>10.186671257019043</v>
      </c>
      <c r="U85" s="933">
        <v>0.18744976818561554</v>
      </c>
      <c r="V85" s="934">
        <v>4618.19189453125</v>
      </c>
      <c r="W85" s="934">
        <v>3726.491943359375</v>
      </c>
      <c r="Y85" t="s">
        <v>500</v>
      </c>
      <c r="AB85" s="573">
        <v>6.3404311580433159</v>
      </c>
    </row>
    <row r="86" spans="2:28">
      <c r="B86" s="392" t="s">
        <v>501</v>
      </c>
      <c r="C86" s="506">
        <f>K35+M86</f>
        <v>0</v>
      </c>
      <c r="D86" s="869">
        <v>37.699573516845703</v>
      </c>
      <c r="E86" s="760">
        <v>27.641728401184082</v>
      </c>
      <c r="F86" s="869">
        <v>8.2650601863861084</v>
      </c>
      <c r="G86" s="760">
        <v>0.13647565245628357</v>
      </c>
      <c r="H86" s="760">
        <v>4325.780029296875</v>
      </c>
      <c r="I86" s="869">
        <v>3714.56640625</v>
      </c>
      <c r="M86" s="842">
        <v>0</v>
      </c>
      <c r="P86" s="392" t="s">
        <v>209</v>
      </c>
      <c r="Q86" s="506"/>
      <c r="R86" s="507">
        <v>38.05933761596679</v>
      </c>
      <c r="S86" s="507">
        <v>23.53968334197998</v>
      </c>
      <c r="T86" s="507">
        <v>5.5854079723358154</v>
      </c>
      <c r="U86" s="507">
        <v>0.11767103895545007</v>
      </c>
      <c r="V86" s="522">
        <v>4833.59130859375</v>
      </c>
      <c r="W86" s="522">
        <v>3910.1044921875</v>
      </c>
      <c r="X86" s="724"/>
      <c r="Y86" t="s">
        <v>502</v>
      </c>
      <c r="AB86" s="573">
        <v>38.772627746637369</v>
      </c>
    </row>
    <row r="87" spans="2:28">
      <c r="B87" s="392" t="s">
        <v>503</v>
      </c>
      <c r="C87" s="501">
        <f>+M87+N35</f>
        <v>0</v>
      </c>
      <c r="D87" s="869">
        <v>37.630285263061523</v>
      </c>
      <c r="E87" s="760">
        <v>22.367695808410645</v>
      </c>
      <c r="F87" s="869">
        <v>8.7261085510253906</v>
      </c>
      <c r="G87" s="760">
        <v>0.15930524468421936</v>
      </c>
      <c r="H87" s="760">
        <v>4723.683349609375</v>
      </c>
      <c r="I87" s="869">
        <v>3780.4407958984375</v>
      </c>
      <c r="M87" s="842">
        <v>0</v>
      </c>
      <c r="P87" s="392" t="s">
        <v>210</v>
      </c>
      <c r="Q87" s="506"/>
      <c r="R87" s="507">
        <v>38.772627746637369</v>
      </c>
      <c r="S87" s="507">
        <v>22.354893602248438</v>
      </c>
      <c r="T87" s="507">
        <v>6.3404311580433159</v>
      </c>
      <c r="U87" s="507">
        <v>0.17097975756780515</v>
      </c>
      <c r="V87" s="522">
        <v>4828.1117482328027</v>
      </c>
      <c r="W87" s="522">
        <v>3801.4299219015611</v>
      </c>
      <c r="X87" s="841"/>
      <c r="Y87" t="s">
        <v>392</v>
      </c>
      <c r="AB87" s="573">
        <v>22.354893602248438</v>
      </c>
    </row>
    <row r="88" spans="2:28">
      <c r="B88" s="392" t="s">
        <v>504</v>
      </c>
      <c r="C88" s="501">
        <f>+M88+Q35</f>
        <v>0</v>
      </c>
      <c r="D88" s="869">
        <v>38.227012634277344</v>
      </c>
      <c r="E88" s="760">
        <v>26.793822765350342</v>
      </c>
      <c r="F88" s="869">
        <v>8.9150280952453613</v>
      </c>
      <c r="G88" s="760">
        <v>0.14518227800726891</v>
      </c>
      <c r="H88" s="760">
        <v>4433.8433837890625</v>
      </c>
      <c r="I88" s="869">
        <v>3731.2628173828125</v>
      </c>
      <c r="M88" s="842">
        <v>0</v>
      </c>
      <c r="P88" s="363" t="s">
        <v>126</v>
      </c>
      <c r="Q88" s="364">
        <f>SUM(Q85:Q87)</f>
        <v>0</v>
      </c>
      <c r="R88" s="900">
        <f>IFERROR((SUMPRODUCT($Q$85:$Q$87,$R$85:$R$87)/$Q$88),0)</f>
        <v>0</v>
      </c>
      <c r="S88" s="900">
        <f>IFERROR((SUMPRODUCT($Q$85:$Q$87,$S$85:$S$87)/$Q$88),0)</f>
        <v>0</v>
      </c>
      <c r="T88" s="900">
        <f>IFERROR((SUMPRODUCT($Q$85:$Q$87,$T$85:$T$87)/$Q$88),0)</f>
        <v>0</v>
      </c>
      <c r="U88" s="900">
        <f>IFERROR((SUMPRODUCT($Q$85:$Q$87,$U$85:$U$87)/$Q$88),0)</f>
        <v>0</v>
      </c>
      <c r="V88" s="900">
        <f>IFERROR((SUMPRODUCT($Q$85:$Q$87,$V$85:$V$87)/$Q$88),0)</f>
        <v>0</v>
      </c>
      <c r="W88" s="900">
        <f>IFERROR((SUMPRODUCT($Q$85:$Q$87,$W$85:$W$87)/$Q$88),0)</f>
        <v>0</v>
      </c>
      <c r="X88" s="841"/>
      <c r="Y88" t="s">
        <v>393</v>
      </c>
      <c r="AB88" s="573">
        <v>40.644413661870331</v>
      </c>
    </row>
    <row r="89" spans="2:28">
      <c r="B89" s="392" t="s">
        <v>505</v>
      </c>
      <c r="C89" s="501">
        <f>+M89+T35</f>
        <v>221.12</v>
      </c>
      <c r="D89" s="869">
        <v>38.632914225260414</v>
      </c>
      <c r="E89" s="760">
        <v>29.011522928873699</v>
      </c>
      <c r="F89" s="869">
        <v>8.0484786033630371</v>
      </c>
      <c r="G89" s="760">
        <v>0.14099269608656564</v>
      </c>
      <c r="H89" s="760">
        <v>4372.549641927083</v>
      </c>
      <c r="I89" s="869">
        <v>3775.2421061197915</v>
      </c>
      <c r="J89" s="362"/>
      <c r="M89" s="842">
        <v>0</v>
      </c>
      <c r="X89" s="362"/>
      <c r="AB89" s="573"/>
    </row>
    <row r="90" spans="2:28">
      <c r="B90" s="392" t="s">
        <v>506</v>
      </c>
      <c r="C90" s="501"/>
      <c r="D90" s="869">
        <v>38.159051895141602</v>
      </c>
      <c r="E90" s="760">
        <v>27.856328964233398</v>
      </c>
      <c r="F90" s="869">
        <v>10.958276748657227</v>
      </c>
      <c r="G90" s="760">
        <v>0.14021006971597672</v>
      </c>
      <c r="H90" s="760">
        <v>4175.25927734375</v>
      </c>
      <c r="I90" s="869">
        <v>3566.4476318359375</v>
      </c>
      <c r="J90" s="362"/>
      <c r="M90" s="842">
        <v>836.48</v>
      </c>
      <c r="X90" s="362"/>
    </row>
    <row r="91" spans="2:28">
      <c r="B91" s="363" t="s">
        <v>126</v>
      </c>
      <c r="C91" s="364">
        <f>SUM(C77:C90)</f>
        <v>17871.82</v>
      </c>
      <c r="D91" s="900">
        <f t="shared" ref="D91:I91" si="4">SUMPRODUCT($C$77:$C$90,D77:D90)/$C$91</f>
        <v>37.353617758123946</v>
      </c>
      <c r="E91" s="900">
        <f t="shared" si="4"/>
        <v>25.237016466037087</v>
      </c>
      <c r="F91" s="900">
        <f t="shared" si="4"/>
        <v>9.3730237220928121</v>
      </c>
      <c r="G91" s="900">
        <f t="shared" si="4"/>
        <v>0.12944943840418646</v>
      </c>
      <c r="H91" s="900">
        <f t="shared" si="4"/>
        <v>4418.059948275647</v>
      </c>
      <c r="I91" s="900">
        <f t="shared" si="4"/>
        <v>3691.1113976655261</v>
      </c>
      <c r="J91" s="362"/>
      <c r="X91" s="362"/>
    </row>
    <row r="94" spans="2:28">
      <c r="B94" s="1378" t="s">
        <v>71</v>
      </c>
      <c r="C94" s="1379"/>
      <c r="D94" s="1252" t="s">
        <v>64</v>
      </c>
      <c r="E94" s="1253"/>
      <c r="F94" s="1253"/>
      <c r="G94" s="1253"/>
      <c r="H94" s="1253"/>
      <c r="I94" s="1254"/>
    </row>
    <row r="95" spans="2:28">
      <c r="B95" s="1380"/>
      <c r="C95" s="1381"/>
      <c r="D95" s="366" t="s">
        <v>379</v>
      </c>
      <c r="E95" s="367" t="s">
        <v>380</v>
      </c>
      <c r="F95" s="367" t="s">
        <v>67</v>
      </c>
      <c r="G95" s="367" t="s">
        <v>66</v>
      </c>
      <c r="H95" s="368" t="s">
        <v>381</v>
      </c>
      <c r="I95" s="368" t="s">
        <v>65</v>
      </c>
      <c r="J95" s="723" t="s">
        <v>382</v>
      </c>
    </row>
    <row r="96" spans="2:28" ht="15.6">
      <c r="B96" s="901"/>
      <c r="C96" s="901"/>
      <c r="D96" s="918"/>
      <c r="E96" s="919"/>
      <c r="F96" s="919"/>
      <c r="G96" s="919"/>
      <c r="H96" s="920"/>
      <c r="I96" s="920"/>
      <c r="J96" s="723"/>
    </row>
    <row r="97" spans="2:13">
      <c r="B97" s="392" t="s">
        <v>488</v>
      </c>
      <c r="C97" s="506">
        <f>M51+M97</f>
        <v>0</v>
      </c>
      <c r="D97" s="507">
        <v>37.276157379150391</v>
      </c>
      <c r="E97" s="507">
        <v>23.149131774902344</v>
      </c>
      <c r="F97" s="507">
        <v>9.7560925483703613</v>
      </c>
      <c r="G97" s="507">
        <v>0.1939636692404747</v>
      </c>
      <c r="H97" s="522">
        <v>4599.13525390625</v>
      </c>
      <c r="I97" s="522">
        <v>3752.2564697265625</v>
      </c>
      <c r="J97" s="724"/>
      <c r="M97" s="932">
        <v>0</v>
      </c>
    </row>
    <row r="98" spans="2:13">
      <c r="B98" s="392" t="s">
        <v>489</v>
      </c>
      <c r="C98" s="506"/>
      <c r="D98" s="507">
        <v>36.749871571858726</v>
      </c>
      <c r="E98" s="507">
        <v>24.317738215128582</v>
      </c>
      <c r="F98" s="507">
        <v>10.427618344624838</v>
      </c>
      <c r="G98" s="507">
        <v>0.21822393933931986</v>
      </c>
      <c r="H98" s="522">
        <v>4490.759440104167</v>
      </c>
      <c r="I98" s="522">
        <v>3747.6604817708335</v>
      </c>
      <c r="J98" s="841"/>
      <c r="M98" s="932">
        <v>0</v>
      </c>
    </row>
    <row r="99" spans="2:13">
      <c r="B99" s="392" t="s">
        <v>490</v>
      </c>
      <c r="C99" s="506">
        <f>S71+M99</f>
        <v>0</v>
      </c>
      <c r="D99" s="507">
        <v>36.42119026184082</v>
      </c>
      <c r="E99" s="507">
        <v>23.763721466064453</v>
      </c>
      <c r="F99" s="507">
        <v>12.099794864654541</v>
      </c>
      <c r="G99" s="507">
        <v>0.1915842592716217</v>
      </c>
      <c r="H99" s="522">
        <v>4378.326416015625</v>
      </c>
      <c r="I99" s="522">
        <v>3648.693603515625</v>
      </c>
      <c r="J99" s="841"/>
      <c r="M99" s="932">
        <v>0</v>
      </c>
    </row>
    <row r="100" spans="2:13">
      <c r="B100" s="392" t="s">
        <v>491</v>
      </c>
      <c r="C100" s="506"/>
      <c r="D100" s="507">
        <v>36.184371948242188</v>
      </c>
      <c r="E100" s="507">
        <v>23.766554832458496</v>
      </c>
      <c r="F100" s="507">
        <v>12.6170654296875</v>
      </c>
      <c r="G100" s="507">
        <v>0.15836736559867859</v>
      </c>
      <c r="H100" s="522">
        <v>4218.628662109375</v>
      </c>
      <c r="I100" s="522">
        <v>3524.616943359375</v>
      </c>
      <c r="J100" s="841"/>
      <c r="M100" s="932">
        <v>0</v>
      </c>
    </row>
    <row r="101" spans="2:13">
      <c r="B101" s="392" t="s">
        <v>492</v>
      </c>
      <c r="C101" s="506"/>
      <c r="D101" s="507">
        <v>36.52775446573893</v>
      </c>
      <c r="E101" s="507">
        <v>22.323772430419922</v>
      </c>
      <c r="F101" s="507">
        <v>13.36358896891276</v>
      </c>
      <c r="G101" s="507">
        <v>0.16489272813002268</v>
      </c>
      <c r="H101" s="522">
        <v>4335.608723958333</v>
      </c>
      <c r="I101" s="522">
        <v>3539.4088541666665</v>
      </c>
      <c r="J101" s="841"/>
      <c r="M101" s="932"/>
    </row>
    <row r="102" spans="2:13">
      <c r="B102" s="392" t="s">
        <v>493</v>
      </c>
      <c r="C102" s="506">
        <f>O71+M102</f>
        <v>0</v>
      </c>
      <c r="D102" s="507">
        <v>38.317151387532554</v>
      </c>
      <c r="E102" s="507">
        <v>26.258239110310871</v>
      </c>
      <c r="F102" s="507">
        <v>6.5181620915730791</v>
      </c>
      <c r="G102" s="507">
        <v>0.10933643579483032</v>
      </c>
      <c r="H102" s="522">
        <v>4626.808756510417</v>
      </c>
      <c r="I102" s="522">
        <v>3863.1818033854165</v>
      </c>
      <c r="J102" s="841"/>
      <c r="M102" s="932">
        <v>0</v>
      </c>
    </row>
    <row r="103" spans="2:13">
      <c r="B103" s="392" t="s">
        <v>495</v>
      </c>
      <c r="C103" s="506">
        <f>R71+M103</f>
        <v>0</v>
      </c>
      <c r="D103" s="507">
        <v>37.828816731770836</v>
      </c>
      <c r="E103" s="507">
        <v>25.069695154825848</v>
      </c>
      <c r="F103" s="869">
        <v>7.3014791806538897</v>
      </c>
      <c r="G103" s="760">
        <v>0.1209374542037646</v>
      </c>
      <c r="H103" s="760">
        <v>4629.516276041667</v>
      </c>
      <c r="I103" s="869">
        <v>3833.1492513020835</v>
      </c>
      <c r="M103" s="932">
        <v>0</v>
      </c>
    </row>
    <row r="104" spans="2:13">
      <c r="B104" s="392" t="s">
        <v>497</v>
      </c>
      <c r="C104" s="506"/>
      <c r="D104" s="869">
        <v>37.570073445638023</v>
      </c>
      <c r="E104" s="760">
        <v>26.091804504394531</v>
      </c>
      <c r="F104" s="869">
        <v>9.3536771138509121</v>
      </c>
      <c r="G104" s="760">
        <v>0.1174290378888448</v>
      </c>
      <c r="H104" s="760">
        <v>4347.247884114583</v>
      </c>
      <c r="I104" s="869">
        <v>3657.3919270833335</v>
      </c>
      <c r="M104" s="932">
        <v>0</v>
      </c>
    </row>
    <row r="105" spans="2:13">
      <c r="B105" s="392" t="s">
        <v>499</v>
      </c>
      <c r="C105" s="506"/>
      <c r="D105" s="869">
        <v>37.882551193237305</v>
      </c>
      <c r="E105" s="760">
        <v>27.696942329406738</v>
      </c>
      <c r="F105" s="869">
        <v>10.154230117797852</v>
      </c>
      <c r="G105" s="760">
        <v>9.3148227781057358E-2</v>
      </c>
      <c r="H105" s="760">
        <v>4139.3013916015625</v>
      </c>
      <c r="I105" s="869">
        <v>3540.2330322265625</v>
      </c>
      <c r="M105" s="932"/>
    </row>
    <row r="106" spans="2:13">
      <c r="B106" s="392" t="s">
        <v>501</v>
      </c>
      <c r="C106" s="506">
        <f>K71+M106</f>
        <v>0</v>
      </c>
      <c r="D106" s="869">
        <v>37.699573516845703</v>
      </c>
      <c r="E106" s="760">
        <v>27.641728401184082</v>
      </c>
      <c r="F106" s="869">
        <v>8.2650601863861084</v>
      </c>
      <c r="G106" s="760">
        <v>0.13647565245628357</v>
      </c>
      <c r="H106" s="760">
        <v>4325.780029296875</v>
      </c>
      <c r="I106" s="869">
        <v>3714.56640625</v>
      </c>
      <c r="M106" s="932">
        <v>0</v>
      </c>
    </row>
    <row r="107" spans="2:13">
      <c r="B107" s="392" t="s">
        <v>503</v>
      </c>
      <c r="C107" s="506"/>
      <c r="D107" s="869">
        <v>37.630285263061523</v>
      </c>
      <c r="E107" s="760">
        <v>22.367695808410645</v>
      </c>
      <c r="F107" s="869">
        <v>8.7261085510253906</v>
      </c>
      <c r="G107" s="760">
        <v>0.15930524468421936</v>
      </c>
      <c r="H107" s="760">
        <v>4723.683349609375</v>
      </c>
      <c r="I107" s="869">
        <v>3780.4407958984375</v>
      </c>
      <c r="M107" s="932">
        <v>0</v>
      </c>
    </row>
    <row r="108" spans="2:13">
      <c r="B108" s="392" t="s">
        <v>504</v>
      </c>
      <c r="C108" s="501">
        <f>+N71+M108</f>
        <v>0</v>
      </c>
      <c r="D108" s="869">
        <v>38.227012634277344</v>
      </c>
      <c r="E108" s="760">
        <v>26.793822765350342</v>
      </c>
      <c r="F108" s="869">
        <v>8.9150280952453613</v>
      </c>
      <c r="G108" s="760">
        <v>0.14518227800726891</v>
      </c>
      <c r="H108" s="760">
        <v>4433.8433837890625</v>
      </c>
      <c r="I108" s="869">
        <v>3731.2628173828125</v>
      </c>
      <c r="M108" s="86">
        <v>0</v>
      </c>
    </row>
    <row r="109" spans="2:13">
      <c r="B109" s="392" t="s">
        <v>505</v>
      </c>
      <c r="C109" s="501">
        <f>+M109+T50</f>
        <v>0</v>
      </c>
      <c r="D109" s="869">
        <v>38.632914225260414</v>
      </c>
      <c r="E109" s="760">
        <v>29.011522928873699</v>
      </c>
      <c r="F109" s="869">
        <v>8.0484786033630371</v>
      </c>
      <c r="G109" s="760">
        <v>0.14099269608656564</v>
      </c>
      <c r="H109" s="760">
        <v>4372.549641927083</v>
      </c>
      <c r="I109" s="869">
        <v>3775.2421061197915</v>
      </c>
      <c r="J109" s="362"/>
      <c r="M109" s="86">
        <v>0</v>
      </c>
    </row>
    <row r="110" spans="2:13">
      <c r="B110" s="363" t="s">
        <v>126</v>
      </c>
      <c r="C110" s="364">
        <f>SUM(C97:C108)</f>
        <v>0</v>
      </c>
      <c r="D110" s="471">
        <f t="shared" ref="D110:I110" si="5">IFERROR(SUMPRODUCT($C$97:$C$108,D97:D108)/$C$110,0)</f>
        <v>0</v>
      </c>
      <c r="E110" s="471">
        <f t="shared" si="5"/>
        <v>0</v>
      </c>
      <c r="F110" s="471">
        <f t="shared" si="5"/>
        <v>0</v>
      </c>
      <c r="G110" s="471">
        <f t="shared" si="5"/>
        <v>0</v>
      </c>
      <c r="H110" s="471">
        <f t="shared" si="5"/>
        <v>0</v>
      </c>
      <c r="I110" s="471">
        <f t="shared" si="5"/>
        <v>0</v>
      </c>
      <c r="J110" s="362"/>
    </row>
  </sheetData>
  <mergeCells count="29">
    <mergeCell ref="P75:Q76"/>
    <mergeCell ref="R75:W75"/>
    <mergeCell ref="P83:Q84"/>
    <mergeCell ref="R83:W83"/>
    <mergeCell ref="AA38:AC38"/>
    <mergeCell ref="AD38:AF38"/>
    <mergeCell ref="L38:N38"/>
    <mergeCell ref="O38:Q38"/>
    <mergeCell ref="R38:T38"/>
    <mergeCell ref="U38:W38"/>
    <mergeCell ref="X38:Z38"/>
    <mergeCell ref="B94:C95"/>
    <mergeCell ref="D94:I94"/>
    <mergeCell ref="C38:E38"/>
    <mergeCell ref="F38:H38"/>
    <mergeCell ref="I38:K38"/>
    <mergeCell ref="B75:C76"/>
    <mergeCell ref="D75:I75"/>
    <mergeCell ref="AD2:AF2"/>
    <mergeCell ref="C1:AF1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rgb="FFFF9933"/>
    <pageSetUpPr fitToPage="1"/>
  </sheetPr>
  <dimension ref="B1:Y338"/>
  <sheetViews>
    <sheetView zoomScale="85" zoomScaleNormal="85" workbookViewId="0">
      <pane xSplit="4" ySplit="3" topLeftCell="E4" activePane="bottomRight" state="frozen"/>
      <selection pane="bottomRight" activeCell="N38" sqref="N38"/>
      <selection pane="bottomLeft" activeCell="J203" sqref="J203"/>
      <selection pane="topRight" activeCell="J203" sqref="J203"/>
    </sheetView>
  </sheetViews>
  <sheetFormatPr defaultColWidth="9.28515625" defaultRowHeight="14.45"/>
  <cols>
    <col min="1" max="1" width="9.28515625" style="1"/>
    <col min="2" max="2" width="9.28515625" style="1" customWidth="1"/>
    <col min="3" max="3" width="10.28515625" style="1" customWidth="1"/>
    <col min="4" max="4" width="13" style="1" bestFit="1" customWidth="1"/>
    <col min="5" max="5" width="13.28515625" style="1" bestFit="1" customWidth="1"/>
    <col min="6" max="7" width="12.28515625" style="1" customWidth="1"/>
    <col min="8" max="8" width="13.28515625" style="1" bestFit="1" customWidth="1"/>
    <col min="9" max="10" width="12.28515625" style="1" customWidth="1"/>
    <col min="11" max="11" width="13.28515625" style="1" customWidth="1"/>
    <col min="12" max="13" width="12.28515625" style="1" customWidth="1"/>
    <col min="14" max="14" width="13.28515625" style="1" bestFit="1" customWidth="1"/>
    <col min="15" max="16" width="12.28515625" style="1" customWidth="1"/>
    <col min="17" max="17" width="13.28515625" style="1" bestFit="1" customWidth="1"/>
    <col min="18" max="18" width="14.28515625" style="1" customWidth="1"/>
    <col min="19" max="20" width="13.28515625" style="1" bestFit="1" customWidth="1"/>
    <col min="21" max="21" width="9.28515625" style="1"/>
    <col min="22" max="22" width="11.28515625" style="1" bestFit="1" customWidth="1"/>
    <col min="23" max="23" width="10.5703125" style="1" bestFit="1" customWidth="1"/>
    <col min="24" max="24" width="16.140625" style="1" customWidth="1"/>
    <col min="25" max="16384" width="9.28515625" style="1"/>
  </cols>
  <sheetData>
    <row r="1" spans="2:24">
      <c r="J1" s="1234"/>
      <c r="K1" s="1234">
        <f>K4/750000</f>
        <v>1.1052584705333335</v>
      </c>
      <c r="M1" s="69"/>
      <c r="S1" s="65">
        <v>1376432</v>
      </c>
      <c r="T1" s="65">
        <v>1376432</v>
      </c>
    </row>
    <row r="2" spans="2:24">
      <c r="B2" s="9" t="s">
        <v>507</v>
      </c>
      <c r="C2" s="259"/>
      <c r="D2" s="4"/>
      <c r="E2" s="4"/>
      <c r="F2" s="1086" t="s">
        <v>2</v>
      </c>
      <c r="G2" s="1086" t="s">
        <v>2</v>
      </c>
      <c r="H2" s="1086" t="s">
        <v>2</v>
      </c>
      <c r="I2" s="1086" t="s">
        <v>2</v>
      </c>
      <c r="J2" s="1086" t="s">
        <v>2</v>
      </c>
      <c r="K2" s="1086" t="s">
        <v>2</v>
      </c>
      <c r="L2" s="1086" t="s">
        <v>2</v>
      </c>
      <c r="M2" s="1086" t="s">
        <v>2</v>
      </c>
      <c r="N2" s="8" t="s">
        <v>14</v>
      </c>
      <c r="O2" s="8" t="s">
        <v>14</v>
      </c>
      <c r="P2" s="8" t="s">
        <v>14</v>
      </c>
      <c r="Q2" s="8" t="s">
        <v>14</v>
      </c>
      <c r="R2" s="7"/>
      <c r="S2" s="65">
        <f>SUM(F5:L5)-S1</f>
        <v>-47281.256000000052</v>
      </c>
      <c r="T2" s="65">
        <f>SUM(F14:L14)-T1</f>
        <v>-93236</v>
      </c>
    </row>
    <row r="3" spans="2:24">
      <c r="B3" s="1396"/>
      <c r="C3" s="1397"/>
      <c r="D3" s="684" t="s">
        <v>113</v>
      </c>
      <c r="E3" s="652" t="s">
        <v>508</v>
      </c>
      <c r="F3" s="685" t="s">
        <v>114</v>
      </c>
      <c r="G3" s="685" t="s">
        <v>115</v>
      </c>
      <c r="H3" s="685" t="s">
        <v>116</v>
      </c>
      <c r="I3" s="685" t="s">
        <v>117</v>
      </c>
      <c r="J3" s="685" t="s">
        <v>118</v>
      </c>
      <c r="K3" s="685" t="s">
        <v>119</v>
      </c>
      <c r="L3" s="685" t="s">
        <v>120</v>
      </c>
      <c r="M3" s="685" t="s">
        <v>121</v>
      </c>
      <c r="N3" s="685" t="s">
        <v>122</v>
      </c>
      <c r="O3" s="685" t="s">
        <v>123</v>
      </c>
      <c r="P3" s="685" t="s">
        <v>124</v>
      </c>
      <c r="Q3" s="685" t="s">
        <v>125</v>
      </c>
      <c r="R3" s="686" t="s">
        <v>126</v>
      </c>
      <c r="T3" s="50"/>
    </row>
    <row r="4" spans="2:24">
      <c r="B4" s="687" t="s">
        <v>3</v>
      </c>
      <c r="C4" s="688"/>
      <c r="D4" s="545" t="s">
        <v>84</v>
      </c>
      <c r="E4" s="545"/>
      <c r="F4" s="689">
        <v>838728.27899999998</v>
      </c>
      <c r="G4" s="689">
        <v>632066.50490000157</v>
      </c>
      <c r="H4" s="689">
        <v>561126.87090000149</v>
      </c>
      <c r="I4" s="689">
        <v>900253.64889999933</v>
      </c>
      <c r="J4" s="689">
        <v>670692.92889999901</v>
      </c>
      <c r="K4" s="689">
        <v>828943.85290000006</v>
      </c>
      <c r="L4" s="690">
        <v>943427.26240000001</v>
      </c>
      <c r="M4" s="690">
        <v>1038146.6824</v>
      </c>
      <c r="N4" s="689">
        <v>815000</v>
      </c>
      <c r="O4" s="689">
        <v>820000</v>
      </c>
      <c r="P4" s="689">
        <v>800000</v>
      </c>
      <c r="Q4" s="689">
        <v>801613.96970000002</v>
      </c>
      <c r="R4" s="691">
        <f>SUM(F4:Q4)</f>
        <v>9650000.0000000019</v>
      </c>
      <c r="S4" s="65">
        <v>8750000.0000000019</v>
      </c>
      <c r="T4" s="69">
        <f>S4-SUM(F4:P4)</f>
        <v>-98386.030300000682</v>
      </c>
    </row>
    <row r="5" spans="2:24">
      <c r="B5" s="687" t="s">
        <v>9</v>
      </c>
      <c r="C5" s="688"/>
      <c r="D5" s="545" t="s">
        <v>85</v>
      </c>
      <c r="E5" s="545"/>
      <c r="F5" s="689">
        <v>165366.62400000001</v>
      </c>
      <c r="G5" s="689">
        <v>180211.69899999996</v>
      </c>
      <c r="H5" s="689">
        <v>154628.81</v>
      </c>
      <c r="I5" s="689">
        <v>203270.595</v>
      </c>
      <c r="J5" s="689">
        <v>169143.73399999997</v>
      </c>
      <c r="K5" s="689">
        <v>205346.22200000001</v>
      </c>
      <c r="L5" s="690">
        <v>251183.06</v>
      </c>
      <c r="M5" s="690">
        <v>96698.89</v>
      </c>
      <c r="N5" s="689">
        <v>158000</v>
      </c>
      <c r="O5" s="689">
        <v>382000</v>
      </c>
      <c r="P5" s="689">
        <v>365000</v>
      </c>
      <c r="Q5" s="689">
        <v>369150</v>
      </c>
      <c r="R5" s="690">
        <f>SUM(F5:Q5)</f>
        <v>2699999.6339999996</v>
      </c>
      <c r="S5" s="65">
        <v>2360000</v>
      </c>
      <c r="T5" s="69">
        <f>S5-SUM(F5:O5)</f>
        <v>394150.36600000015</v>
      </c>
      <c r="X5" s="65"/>
    </row>
    <row r="6" spans="2:24">
      <c r="B6" s="687" t="s">
        <v>87</v>
      </c>
      <c r="C6" s="688"/>
      <c r="D6" s="692" t="s">
        <v>88</v>
      </c>
      <c r="E6" s="693"/>
      <c r="F6" s="694">
        <f>+F4/F5</f>
        <v>5.0719320423448924</v>
      </c>
      <c r="G6" s="694">
        <f t="shared" ref="G6:N6" si="0">G4/G5</f>
        <v>3.5073555624155217</v>
      </c>
      <c r="H6" s="694">
        <f t="shared" si="0"/>
        <v>3.6288636697133057</v>
      </c>
      <c r="I6" s="694">
        <f>I4/I5</f>
        <v>4.4288434778281598</v>
      </c>
      <c r="J6" s="694">
        <f t="shared" si="0"/>
        <v>3.9652248004646697</v>
      </c>
      <c r="K6" s="694">
        <f>K4/K5</f>
        <v>4.0368108301500669</v>
      </c>
      <c r="L6" s="694">
        <f>L4/L5</f>
        <v>3.7559350634553144</v>
      </c>
      <c r="M6" s="694">
        <f t="shared" si="0"/>
        <v>10.735869691989226</v>
      </c>
      <c r="N6" s="694">
        <f t="shared" si="0"/>
        <v>5.1582278481012658</v>
      </c>
      <c r="O6" s="694">
        <f>O4/O5</f>
        <v>2.1465968586387434</v>
      </c>
      <c r="P6" s="694">
        <f>P4/P5</f>
        <v>2.1917808219178081</v>
      </c>
      <c r="Q6" s="694">
        <f>Q4/Q5</f>
        <v>2.1715128530407695</v>
      </c>
      <c r="R6" s="694">
        <f>R4/R5</f>
        <v>3.5740745585597375</v>
      </c>
      <c r="S6" s="41"/>
      <c r="W6" s="65">
        <v>47281.256000000001</v>
      </c>
      <c r="X6" s="65"/>
    </row>
    <row r="7" spans="2:24">
      <c r="B7" s="687" t="s">
        <v>89</v>
      </c>
      <c r="C7" s="688"/>
      <c r="D7" s="692" t="s">
        <v>84</v>
      </c>
      <c r="E7" s="693"/>
      <c r="F7" s="833">
        <v>0</v>
      </c>
      <c r="G7" s="833">
        <v>0</v>
      </c>
      <c r="H7" s="833">
        <v>0</v>
      </c>
      <c r="I7" s="833">
        <v>0</v>
      </c>
      <c r="J7" s="833">
        <v>0</v>
      </c>
      <c r="K7" s="833">
        <v>0</v>
      </c>
      <c r="L7" s="833">
        <v>0</v>
      </c>
      <c r="M7" s="833">
        <v>9254.1870000000017</v>
      </c>
      <c r="N7" s="833">
        <v>0</v>
      </c>
      <c r="O7" s="833">
        <v>0</v>
      </c>
      <c r="P7" s="833">
        <v>0</v>
      </c>
      <c r="Q7" s="833">
        <v>0</v>
      </c>
      <c r="R7" s="694">
        <f>SUM(F7:Q7)</f>
        <v>9254.1870000000017</v>
      </c>
      <c r="S7" s="41"/>
      <c r="W7" s="65">
        <v>93236</v>
      </c>
    </row>
    <row r="8" spans="2:24">
      <c r="B8" s="687" t="s">
        <v>90</v>
      </c>
      <c r="C8" s="688"/>
      <c r="D8" s="545" t="s">
        <v>85</v>
      </c>
      <c r="E8" s="695">
        <v>75860.375899999999</v>
      </c>
      <c r="F8" s="696">
        <v>36613.876700000001</v>
      </c>
      <c r="G8" s="696">
        <v>55039.098899999997</v>
      </c>
      <c r="H8" s="696">
        <v>30891.458792000001</v>
      </c>
      <c r="I8" s="696">
        <f t="shared" ref="I8" si="1">H8+I5-I12</f>
        <v>41130.259791999968</v>
      </c>
      <c r="J8" s="696">
        <v>39556.392700000004</v>
      </c>
      <c r="K8" s="696">
        <v>21161.171300000002</v>
      </c>
      <c r="L8" s="696">
        <v>78114.613400000002</v>
      </c>
      <c r="M8" s="696">
        <v>158283.02340000001</v>
      </c>
      <c r="N8" s="696">
        <v>154864.2727</v>
      </c>
      <c r="O8" s="696">
        <v>171864.2727</v>
      </c>
      <c r="P8" s="696">
        <v>166864.2727</v>
      </c>
      <c r="Q8" s="696">
        <v>160462.6617</v>
      </c>
      <c r="R8" s="697">
        <f>Q8</f>
        <v>160462.6617</v>
      </c>
      <c r="S8" s="41"/>
    </row>
    <row r="9" spans="2:24">
      <c r="B9" s="687" t="s">
        <v>509</v>
      </c>
      <c r="C9" s="688"/>
      <c r="D9" s="545" t="s">
        <v>85</v>
      </c>
      <c r="E9" s="942"/>
      <c r="F9" s="943">
        <v>121879.00999999998</v>
      </c>
      <c r="G9" s="943">
        <v>66223.48</v>
      </c>
      <c r="H9" s="943">
        <v>84742.300000000032</v>
      </c>
      <c r="I9" s="943">
        <v>51142.400000000001</v>
      </c>
      <c r="J9" s="943">
        <v>50033.023999999998</v>
      </c>
      <c r="K9" s="943">
        <v>45878.61</v>
      </c>
      <c r="L9" s="943">
        <v>34647.249999999993</v>
      </c>
      <c r="M9" s="943">
        <v>78114.613400000002</v>
      </c>
      <c r="N9" s="943">
        <v>156864.2727</v>
      </c>
      <c r="O9" s="943">
        <v>154864.2727</v>
      </c>
      <c r="P9" s="943">
        <v>171864.2727</v>
      </c>
      <c r="Q9" s="943">
        <v>166864.2727</v>
      </c>
      <c r="R9" s="697">
        <f>SUM(F9:Q9)</f>
        <v>1183117.7782000001</v>
      </c>
      <c r="S9" s="41"/>
    </row>
    <row r="10" spans="2:24">
      <c r="B10" s="687" t="s">
        <v>510</v>
      </c>
      <c r="C10" s="688"/>
      <c r="D10" s="545" t="s">
        <v>85</v>
      </c>
      <c r="E10" s="942"/>
      <c r="F10" s="943">
        <v>86921.670000000013</v>
      </c>
      <c r="G10" s="943">
        <v>99687.426999999996</v>
      </c>
      <c r="H10" s="943">
        <v>94646.88</v>
      </c>
      <c r="I10" s="943">
        <v>141889.394</v>
      </c>
      <c r="J10" s="943">
        <v>128466.77099999999</v>
      </c>
      <c r="K10" s="943">
        <v>169093.96800000002</v>
      </c>
      <c r="L10" s="943">
        <v>157815.72499999998</v>
      </c>
      <c r="M10" s="943">
        <v>16295.48</v>
      </c>
      <c r="N10" s="943">
        <v>3135.72729999999</v>
      </c>
      <c r="O10" s="943">
        <v>210135.7273</v>
      </c>
      <c r="P10" s="943">
        <v>198135.7273</v>
      </c>
      <c r="Q10" s="943">
        <v>208537.3383</v>
      </c>
      <c r="R10" s="697">
        <f>SUM(F10:Q10)</f>
        <v>1514761.8351999999</v>
      </c>
      <c r="S10" s="41"/>
    </row>
    <row r="11" spans="2:24">
      <c r="B11" s="687" t="s">
        <v>236</v>
      </c>
      <c r="C11" s="688"/>
      <c r="D11" s="545" t="s">
        <v>85</v>
      </c>
      <c r="E11" s="942"/>
      <c r="F11" s="943">
        <f>+F5-F10</f>
        <v>78444.953999999998</v>
      </c>
      <c r="G11" s="943">
        <v>80524.271999999997</v>
      </c>
      <c r="H11" s="943">
        <v>59981.93</v>
      </c>
      <c r="I11" s="943">
        <v>61381.201000000001</v>
      </c>
      <c r="J11" s="943">
        <f t="shared" ref="J11:Q11" si="2">+J5-J10</f>
        <v>40676.962999999974</v>
      </c>
      <c r="K11" s="943">
        <f t="shared" si="2"/>
        <v>36252.253999999986</v>
      </c>
      <c r="L11" s="943">
        <f t="shared" si="2"/>
        <v>93367.335000000021</v>
      </c>
      <c r="M11" s="943">
        <f t="shared" si="2"/>
        <v>80403.41</v>
      </c>
      <c r="N11" s="943">
        <f t="shared" si="2"/>
        <v>154864.2727</v>
      </c>
      <c r="O11" s="943">
        <f t="shared" si="2"/>
        <v>171864.2727</v>
      </c>
      <c r="P11" s="943">
        <f t="shared" si="2"/>
        <v>166864.2727</v>
      </c>
      <c r="Q11" s="943">
        <f t="shared" si="2"/>
        <v>160612.6617</v>
      </c>
      <c r="R11" s="697">
        <f>SUM(F11:Q11)</f>
        <v>1185237.7987999998</v>
      </c>
      <c r="S11" s="41"/>
      <c r="V11" s="1">
        <v>92388.24</v>
      </c>
    </row>
    <row r="12" spans="2:24">
      <c r="B12" s="687" t="s">
        <v>10</v>
      </c>
      <c r="C12" s="688"/>
      <c r="D12" s="545" t="s">
        <v>85</v>
      </c>
      <c r="E12" s="698"/>
      <c r="F12" s="699">
        <v>208800.68</v>
      </c>
      <c r="G12" s="699">
        <v>165910.90700000001</v>
      </c>
      <c r="H12" s="699">
        <v>179389.18000000008</v>
      </c>
      <c r="I12" s="700">
        <v>193031.79400000002</v>
      </c>
      <c r="J12" s="701">
        <v>178499.79500000001</v>
      </c>
      <c r="K12" s="700">
        <v>214972.57799999995</v>
      </c>
      <c r="L12" s="702">
        <v>192462.97500000006</v>
      </c>
      <c r="M12" s="702">
        <v>16530.48</v>
      </c>
      <c r="N12" s="702">
        <v>160000</v>
      </c>
      <c r="O12" s="702">
        <v>365000</v>
      </c>
      <c r="P12" s="702">
        <v>370000</v>
      </c>
      <c r="Q12" s="702">
        <v>375401.61099999998</v>
      </c>
      <c r="R12" s="703">
        <f>SUM(F12:Q12)</f>
        <v>2620000.0000000005</v>
      </c>
      <c r="S12" s="41">
        <v>2500000</v>
      </c>
      <c r="T12" s="69">
        <f>S12-SUM(F12:P12)</f>
        <v>255401.61099999957</v>
      </c>
    </row>
    <row r="13" spans="2:24">
      <c r="B13" s="704" t="s">
        <v>93</v>
      </c>
      <c r="C13" s="705"/>
      <c r="D13" s="706" t="s">
        <v>85</v>
      </c>
      <c r="E13" s="695">
        <v>2415.2316000000001</v>
      </c>
      <c r="F13" s="696">
        <v>20580.392599999999</v>
      </c>
      <c r="G13" s="696">
        <v>9630.4948000000004</v>
      </c>
      <c r="H13" s="696">
        <v>16033.257300000003</v>
      </c>
      <c r="I13" s="696">
        <v>16887.226600000042</v>
      </c>
      <c r="J13" s="696">
        <v>33515.568700000011</v>
      </c>
      <c r="K13" s="696">
        <v>17393.146899999996</v>
      </c>
      <c r="L13" s="696">
        <v>51683.625</v>
      </c>
      <c r="M13" s="696">
        <v>53212.624999999993</v>
      </c>
      <c r="N13" s="696">
        <v>38492.115100000003</v>
      </c>
      <c r="O13" s="696">
        <v>47092.115100000003</v>
      </c>
      <c r="P13" s="696">
        <v>34592.115100000003</v>
      </c>
      <c r="Q13" s="696">
        <v>25691.206099999999</v>
      </c>
      <c r="R13" s="697">
        <f>Q13</f>
        <v>25691.206099999999</v>
      </c>
      <c r="S13" s="41"/>
      <c r="T13" s="69"/>
      <c r="X13" s="65"/>
    </row>
    <row r="14" spans="2:24">
      <c r="B14" s="687" t="s">
        <v>91</v>
      </c>
      <c r="C14" s="688"/>
      <c r="D14" s="545" t="s">
        <v>85</v>
      </c>
      <c r="E14" s="546"/>
      <c r="F14" s="707">
        <v>190702.62</v>
      </c>
      <c r="G14" s="707">
        <v>172887.88</v>
      </c>
      <c r="H14" s="707">
        <v>172444.75</v>
      </c>
      <c r="I14" s="707">
        <v>180266.06</v>
      </c>
      <c r="J14" s="707">
        <v>176113.68000000002</v>
      </c>
      <c r="K14" s="707">
        <v>233252.12000000002</v>
      </c>
      <c r="L14" s="707">
        <v>157528.89000000001</v>
      </c>
      <c r="M14" s="707">
        <v>15001.48</v>
      </c>
      <c r="N14" s="707">
        <v>175000</v>
      </c>
      <c r="O14" s="707">
        <v>360000</v>
      </c>
      <c r="P14" s="707">
        <v>382500</v>
      </c>
      <c r="Q14" s="689">
        <v>384302.52</v>
      </c>
      <c r="R14" s="707">
        <f>SUM(F14:Q14)</f>
        <v>2600000</v>
      </c>
      <c r="S14" s="41">
        <v>2250000</v>
      </c>
      <c r="T14" s="69">
        <f>S14-SUM(F14:O14)</f>
        <v>416802.52</v>
      </c>
      <c r="V14" s="65">
        <v>852.18791449999844</v>
      </c>
    </row>
    <row r="15" spans="2:24" ht="14.45" hidden="1" customHeight="1">
      <c r="B15" s="861"/>
      <c r="C15" s="925" t="s">
        <v>511</v>
      </c>
      <c r="D15" s="263" t="s">
        <v>512</v>
      </c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708">
        <f t="shared" ref="R15:R23" si="3">SUM(F15:Q15)</f>
        <v>0</v>
      </c>
      <c r="S15" s="41"/>
    </row>
    <row r="16" spans="2:24" ht="14.45" hidden="1" customHeight="1">
      <c r="B16" s="260"/>
      <c r="C16" s="343"/>
      <c r="D16" s="261" t="s">
        <v>85</v>
      </c>
      <c r="E16" s="262"/>
      <c r="F16" s="262">
        <f>7300*F15</f>
        <v>0</v>
      </c>
      <c r="G16" s="262">
        <f t="shared" ref="G16:Q16" si="4">7300*G15</f>
        <v>0</v>
      </c>
      <c r="H16" s="262">
        <f t="shared" si="4"/>
        <v>0</v>
      </c>
      <c r="I16" s="262">
        <f t="shared" si="4"/>
        <v>0</v>
      </c>
      <c r="J16" s="262">
        <f t="shared" si="4"/>
        <v>0</v>
      </c>
      <c r="K16" s="262">
        <f t="shared" si="4"/>
        <v>0</v>
      </c>
      <c r="L16" s="262">
        <f t="shared" si="4"/>
        <v>0</v>
      </c>
      <c r="M16" s="262">
        <f t="shared" si="4"/>
        <v>0</v>
      </c>
      <c r="N16" s="262">
        <f t="shared" si="4"/>
        <v>0</v>
      </c>
      <c r="O16" s="262">
        <f t="shared" si="4"/>
        <v>0</v>
      </c>
      <c r="P16" s="262">
        <f t="shared" si="4"/>
        <v>0</v>
      </c>
      <c r="Q16" s="262">
        <f t="shared" si="4"/>
        <v>0</v>
      </c>
      <c r="R16" s="314">
        <f t="shared" si="3"/>
        <v>0</v>
      </c>
      <c r="S16" s="41"/>
      <c r="T16" s="65"/>
    </row>
    <row r="17" spans="2:24" ht="14.45" hidden="1" customHeight="1">
      <c r="B17" s="861"/>
      <c r="C17" s="925" t="s">
        <v>513</v>
      </c>
      <c r="D17" s="263" t="s">
        <v>514</v>
      </c>
      <c r="E17" s="264"/>
      <c r="F17" s="264"/>
      <c r="G17" s="264"/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0</v>
      </c>
      <c r="P17" s="264">
        <v>0</v>
      </c>
      <c r="Q17" s="264">
        <v>0</v>
      </c>
      <c r="R17" s="708">
        <f t="shared" si="3"/>
        <v>0</v>
      </c>
      <c r="S17" s="41"/>
      <c r="T17" s="65"/>
    </row>
    <row r="18" spans="2:24" ht="14.45" hidden="1" customHeight="1">
      <c r="B18" s="260"/>
      <c r="C18" s="343"/>
      <c r="D18" s="261" t="s">
        <v>85</v>
      </c>
      <c r="E18" s="262"/>
      <c r="F18" s="262">
        <f>49500*F17</f>
        <v>0</v>
      </c>
      <c r="G18" s="262">
        <f>49500*G17</f>
        <v>0</v>
      </c>
      <c r="H18" s="262">
        <v>0</v>
      </c>
      <c r="I18" s="262">
        <f>49500*I17</f>
        <v>0</v>
      </c>
      <c r="J18" s="262">
        <v>0</v>
      </c>
      <c r="K18" s="262">
        <v>0</v>
      </c>
      <c r="L18" s="262">
        <v>0</v>
      </c>
      <c r="M18" s="262">
        <v>0</v>
      </c>
      <c r="N18" s="262">
        <v>0</v>
      </c>
      <c r="O18" s="262">
        <f>49500*O17</f>
        <v>0</v>
      </c>
      <c r="P18" s="262">
        <v>0</v>
      </c>
      <c r="Q18" s="262">
        <v>0</v>
      </c>
      <c r="R18" s="314">
        <f t="shared" si="3"/>
        <v>0</v>
      </c>
      <c r="S18" s="41"/>
      <c r="T18" s="65"/>
    </row>
    <row r="19" spans="2:24" ht="14.45" hidden="1" customHeight="1">
      <c r="B19" s="861"/>
      <c r="C19" s="925" t="s">
        <v>269</v>
      </c>
      <c r="D19" s="263" t="s">
        <v>514</v>
      </c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708">
        <f t="shared" si="3"/>
        <v>0</v>
      </c>
      <c r="S19" s="41"/>
    </row>
    <row r="20" spans="2:24" ht="14.45" hidden="1" customHeight="1">
      <c r="B20" s="260"/>
      <c r="C20" s="343"/>
      <c r="D20" s="261" t="s">
        <v>85</v>
      </c>
      <c r="E20" s="262"/>
      <c r="F20" s="262">
        <f>29500*F19</f>
        <v>0</v>
      </c>
      <c r="G20" s="262">
        <f t="shared" ref="G20:Q20" si="5">29500*G19</f>
        <v>0</v>
      </c>
      <c r="H20" s="262"/>
      <c r="I20" s="262">
        <f t="shared" si="5"/>
        <v>0</v>
      </c>
      <c r="J20" s="262">
        <f t="shared" si="5"/>
        <v>0</v>
      </c>
      <c r="K20" s="262">
        <f t="shared" si="5"/>
        <v>0</v>
      </c>
      <c r="L20" s="262">
        <f t="shared" si="5"/>
        <v>0</v>
      </c>
      <c r="M20" s="262">
        <f t="shared" si="5"/>
        <v>0</v>
      </c>
      <c r="N20" s="262">
        <f t="shared" si="5"/>
        <v>0</v>
      </c>
      <c r="O20" s="262">
        <f t="shared" si="5"/>
        <v>0</v>
      </c>
      <c r="P20" s="262">
        <f t="shared" si="5"/>
        <v>0</v>
      </c>
      <c r="Q20" s="262">
        <f t="shared" si="5"/>
        <v>0</v>
      </c>
      <c r="R20" s="314">
        <f t="shared" si="3"/>
        <v>0</v>
      </c>
      <c r="S20" s="41"/>
    </row>
    <row r="21" spans="2:24" ht="14.45" hidden="1" customHeight="1">
      <c r="B21" s="861"/>
      <c r="C21" s="925" t="s">
        <v>515</v>
      </c>
      <c r="D21" s="263" t="s">
        <v>514</v>
      </c>
      <c r="E21" s="264"/>
      <c r="F21" s="264">
        <v>0</v>
      </c>
      <c r="G21" s="264">
        <v>0</v>
      </c>
      <c r="H21" s="264">
        <v>0</v>
      </c>
      <c r="I21" s="264">
        <v>0</v>
      </c>
      <c r="J21" s="264">
        <v>0</v>
      </c>
      <c r="K21" s="264">
        <v>0</v>
      </c>
      <c r="L21" s="264">
        <v>0</v>
      </c>
      <c r="M21" s="264">
        <v>0</v>
      </c>
      <c r="N21" s="264">
        <v>0</v>
      </c>
      <c r="O21" s="264">
        <v>0</v>
      </c>
      <c r="P21" s="264">
        <v>0</v>
      </c>
      <c r="Q21" s="264">
        <v>0</v>
      </c>
      <c r="R21" s="708">
        <f>SUM(F21:Q21)</f>
        <v>0</v>
      </c>
      <c r="S21" s="41"/>
    </row>
    <row r="22" spans="2:24" ht="14.45" hidden="1" customHeight="1">
      <c r="B22" s="260"/>
      <c r="C22" s="343"/>
      <c r="D22" s="261" t="s">
        <v>85</v>
      </c>
      <c r="E22" s="262"/>
      <c r="F22" s="262">
        <v>0</v>
      </c>
      <c r="G22" s="262">
        <v>0</v>
      </c>
      <c r="H22" s="262">
        <v>0</v>
      </c>
      <c r="I22" s="262">
        <v>0</v>
      </c>
      <c r="J22" s="262">
        <v>0</v>
      </c>
      <c r="K22" s="262">
        <v>0</v>
      </c>
      <c r="L22" s="262">
        <v>0</v>
      </c>
      <c r="M22" s="262">
        <v>0</v>
      </c>
      <c r="N22" s="262">
        <v>0</v>
      </c>
      <c r="O22" s="262">
        <v>0</v>
      </c>
      <c r="P22" s="262">
        <v>0</v>
      </c>
      <c r="Q22" s="262">
        <v>0</v>
      </c>
      <c r="R22" s="314">
        <f>SUM(F22:Q22)</f>
        <v>0</v>
      </c>
      <c r="S22" s="41"/>
    </row>
    <row r="23" spans="2:24" ht="14.45" hidden="1" customHeight="1">
      <c r="B23" s="862" t="s">
        <v>516</v>
      </c>
      <c r="C23" s="925"/>
      <c r="D23" s="263" t="s">
        <v>514</v>
      </c>
      <c r="E23" s="264"/>
      <c r="F23" s="264">
        <v>0</v>
      </c>
      <c r="G23" s="264">
        <v>0</v>
      </c>
      <c r="H23" s="264"/>
      <c r="I23" s="264"/>
      <c r="J23" s="264">
        <v>0</v>
      </c>
      <c r="K23" s="264"/>
      <c r="L23" s="264"/>
      <c r="M23" s="264">
        <v>0</v>
      </c>
      <c r="N23" s="264"/>
      <c r="O23" s="264">
        <v>0</v>
      </c>
      <c r="P23" s="264"/>
      <c r="Q23" s="264">
        <v>0</v>
      </c>
      <c r="R23" s="709">
        <f t="shared" si="3"/>
        <v>0</v>
      </c>
      <c r="S23" s="41"/>
    </row>
    <row r="24" spans="2:24" ht="14.45" hidden="1" customHeight="1">
      <c r="B24" s="260"/>
      <c r="C24" s="343"/>
      <c r="D24" s="261" t="s">
        <v>85</v>
      </c>
      <c r="E24" s="262"/>
      <c r="F24" s="262">
        <f>7000*F23</f>
        <v>0</v>
      </c>
      <c r="G24" s="262">
        <f t="shared" ref="G24:Q24" si="6">7000*G23</f>
        <v>0</v>
      </c>
      <c r="H24" s="262">
        <f t="shared" si="6"/>
        <v>0</v>
      </c>
      <c r="I24" s="262"/>
      <c r="J24" s="262">
        <f t="shared" si="6"/>
        <v>0</v>
      </c>
      <c r="K24" s="262"/>
      <c r="L24" s="262"/>
      <c r="M24" s="262">
        <f t="shared" si="6"/>
        <v>0</v>
      </c>
      <c r="N24" s="262"/>
      <c r="O24" s="262">
        <f t="shared" si="6"/>
        <v>0</v>
      </c>
      <c r="P24" s="262"/>
      <c r="Q24" s="262">
        <f t="shared" si="6"/>
        <v>0</v>
      </c>
      <c r="R24" s="344">
        <f>SUM(F24:Q24)</f>
        <v>0</v>
      </c>
      <c r="S24" s="41"/>
    </row>
    <row r="25" spans="2:24" hidden="1">
      <c r="B25" s="687" t="s">
        <v>241</v>
      </c>
      <c r="C25" s="688"/>
      <c r="D25" s="545" t="s">
        <v>85</v>
      </c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710"/>
      <c r="S25" s="41"/>
    </row>
    <row r="26" spans="2:24">
      <c r="B26" s="543" t="s">
        <v>95</v>
      </c>
      <c r="C26" s="544"/>
      <c r="D26" s="545" t="s">
        <v>96</v>
      </c>
      <c r="E26" s="546"/>
      <c r="F26" s="694">
        <v>1.1013713446342499</v>
      </c>
      <c r="G26" s="694">
        <v>0.952262219504042</v>
      </c>
      <c r="H26" s="694">
        <v>1.0760888102884589</v>
      </c>
      <c r="I26" s="694">
        <v>1.16542175352829</v>
      </c>
      <c r="J26" s="694">
        <v>1.03577082017828</v>
      </c>
      <c r="K26" s="694">
        <v>1.08311311034723</v>
      </c>
      <c r="L26" s="694">
        <v>1.06627056619</v>
      </c>
      <c r="M26" s="694">
        <v>1.03949928231188</v>
      </c>
      <c r="N26" s="694">
        <v>1.25</v>
      </c>
      <c r="O26" s="694">
        <v>1.4</v>
      </c>
      <c r="P26" s="694">
        <v>1.425</v>
      </c>
      <c r="Q26" s="694">
        <v>1.405</v>
      </c>
      <c r="R26" s="694">
        <f>SUMPRODUCT(F4:Q4,F26:Q26)/R4</f>
        <v>1.1698741013608842</v>
      </c>
      <c r="S26" s="41"/>
    </row>
    <row r="27" spans="2:24">
      <c r="B27" s="543" t="s">
        <v>97</v>
      </c>
      <c r="C27" s="544"/>
      <c r="D27" s="545" t="s">
        <v>96</v>
      </c>
      <c r="E27" s="546"/>
      <c r="F27" s="694">
        <v>13.70379530623706</v>
      </c>
      <c r="G27" s="694">
        <v>13.996152797244132</v>
      </c>
      <c r="H27" s="694">
        <v>13.840778075630386</v>
      </c>
      <c r="I27" s="694">
        <v>13.992149665529428</v>
      </c>
      <c r="J27" s="694">
        <v>13.884813288039799</v>
      </c>
      <c r="K27" s="694">
        <v>13.7168473501583</v>
      </c>
      <c r="L27" s="694">
        <v>13.634427740393299</v>
      </c>
      <c r="M27" s="694">
        <v>13.4178944417925</v>
      </c>
      <c r="N27" s="694">
        <v>13.75</v>
      </c>
      <c r="O27" s="694">
        <v>14</v>
      </c>
      <c r="P27" s="694">
        <v>14</v>
      </c>
      <c r="Q27" s="694">
        <v>14</v>
      </c>
      <c r="R27" s="694">
        <f>SUMPRODUCT(F5:Q5,F27:Q27)/R5</f>
        <v>13.873654176340322</v>
      </c>
      <c r="S27" s="41"/>
      <c r="X27" s="65"/>
    </row>
    <row r="28" spans="2:24">
      <c r="B28" s="711" t="s">
        <v>98</v>
      </c>
      <c r="C28" s="712"/>
      <c r="D28" s="713" t="s">
        <v>99</v>
      </c>
      <c r="E28" s="714"/>
      <c r="F28" s="715">
        <v>428</v>
      </c>
      <c r="G28" s="715">
        <v>455.20000000000005</v>
      </c>
      <c r="H28" s="715">
        <v>762.06000000000006</v>
      </c>
      <c r="I28" s="715">
        <v>234.60999999999999</v>
      </c>
      <c r="J28" s="715">
        <v>500.90000000000003</v>
      </c>
      <c r="K28" s="715">
        <v>178.1</v>
      </c>
      <c r="L28" s="715">
        <v>130</v>
      </c>
      <c r="M28" s="715">
        <v>145</v>
      </c>
      <c r="N28" s="715">
        <v>307</v>
      </c>
      <c r="O28" s="715">
        <v>286</v>
      </c>
      <c r="P28" s="715">
        <v>490</v>
      </c>
      <c r="Q28" s="715">
        <v>575</v>
      </c>
      <c r="R28" s="1073">
        <f>SUM(F28:Q28)</f>
        <v>4491.87</v>
      </c>
      <c r="X28" s="65"/>
    </row>
    <row r="29" spans="2:24">
      <c r="B29" s="711" t="s">
        <v>100</v>
      </c>
      <c r="C29" s="712"/>
      <c r="D29" s="713" t="s">
        <v>101</v>
      </c>
      <c r="E29" s="714"/>
      <c r="F29" s="715">
        <v>78</v>
      </c>
      <c r="G29" s="715">
        <v>104.67</v>
      </c>
      <c r="H29" s="715">
        <v>104.25</v>
      </c>
      <c r="I29" s="715">
        <v>56.649999999999991</v>
      </c>
      <c r="J29" s="715">
        <v>133.81666666666669</v>
      </c>
      <c r="K29" s="715">
        <v>54.100000000000009</v>
      </c>
      <c r="L29" s="715">
        <v>25.033333333333328</v>
      </c>
      <c r="M29" s="715">
        <v>53</v>
      </c>
      <c r="N29" s="715">
        <v>74</v>
      </c>
      <c r="O29" s="715">
        <v>131</v>
      </c>
      <c r="P29" s="715">
        <v>155</v>
      </c>
      <c r="Q29" s="715">
        <v>137</v>
      </c>
      <c r="R29" s="1073">
        <f>SUM(F29:Q29)</f>
        <v>1106.52</v>
      </c>
      <c r="V29" s="65"/>
    </row>
    <row r="30" spans="2:24">
      <c r="B30" s="711" t="s">
        <v>102</v>
      </c>
      <c r="C30" s="712"/>
      <c r="D30" s="713" t="s">
        <v>101</v>
      </c>
      <c r="E30" s="714"/>
      <c r="F30" s="715">
        <v>22</v>
      </c>
      <c r="G30" s="715">
        <v>27.733333333333327</v>
      </c>
      <c r="H30" s="715">
        <v>41.95333333333334</v>
      </c>
      <c r="I30" s="715">
        <v>18.833333333333332</v>
      </c>
      <c r="J30" s="715">
        <v>33.53</v>
      </c>
      <c r="K30" s="715">
        <v>12.849999999999994</v>
      </c>
      <c r="L30" s="715">
        <v>5.6999999999999966</v>
      </c>
      <c r="M30" s="715">
        <v>16</v>
      </c>
      <c r="N30" s="715">
        <v>22</v>
      </c>
      <c r="O30" s="715">
        <v>39</v>
      </c>
      <c r="P30" s="715">
        <v>46</v>
      </c>
      <c r="Q30" s="715">
        <v>41</v>
      </c>
      <c r="R30" s="1073">
        <f>SUM(F30:Q30)</f>
        <v>326.60000000000002</v>
      </c>
      <c r="V30" s="65"/>
    </row>
    <row r="31" spans="2:24" hidden="1">
      <c r="B31" s="1394" t="s">
        <v>103</v>
      </c>
      <c r="C31" s="1395"/>
      <c r="D31" s="713" t="s">
        <v>104</v>
      </c>
      <c r="E31" s="714"/>
      <c r="F31" s="716">
        <v>54576</v>
      </c>
      <c r="G31" s="716">
        <v>47465</v>
      </c>
      <c r="H31" s="716">
        <v>25842</v>
      </c>
      <c r="I31" s="716">
        <v>39763</v>
      </c>
      <c r="J31" s="716">
        <v>35000</v>
      </c>
      <c r="K31" s="716">
        <v>35000</v>
      </c>
      <c r="L31" s="716">
        <v>35000</v>
      </c>
      <c r="M31" s="716">
        <v>35000</v>
      </c>
      <c r="N31" s="716">
        <v>35000</v>
      </c>
      <c r="O31" s="716">
        <v>35000</v>
      </c>
      <c r="P31" s="716">
        <v>35000</v>
      </c>
      <c r="Q31" s="716">
        <v>35000</v>
      </c>
      <c r="R31" s="714"/>
      <c r="S31" s="41"/>
    </row>
    <row r="32" spans="2:24">
      <c r="B32" s="67"/>
      <c r="C32" s="67"/>
      <c r="D32" s="67"/>
      <c r="E32" s="68"/>
    </row>
    <row r="33" spans="3:20">
      <c r="E33" s="41"/>
      <c r="F33" s="551">
        <v>208.80068</v>
      </c>
      <c r="G33" s="551">
        <v>165.91090700000001</v>
      </c>
      <c r="H33" s="65">
        <v>179.38918000000004</v>
      </c>
      <c r="I33" s="65">
        <v>190.07780919999999</v>
      </c>
      <c r="J33" s="383">
        <v>215</v>
      </c>
      <c r="K33" s="65">
        <v>225</v>
      </c>
      <c r="L33" s="65">
        <v>160</v>
      </c>
      <c r="M33" s="65">
        <v>160</v>
      </c>
      <c r="N33" s="65">
        <v>205</v>
      </c>
      <c r="O33" s="65">
        <v>265</v>
      </c>
      <c r="P33" s="65">
        <v>265</v>
      </c>
      <c r="Q33" s="65">
        <v>260.58999999999997</v>
      </c>
      <c r="R33" s="69">
        <f>SUM(F33:Q33)</f>
        <v>2499.7685762000001</v>
      </c>
    </row>
    <row r="34" spans="3:20">
      <c r="E34" s="458"/>
      <c r="F34" s="69">
        <f t="shared" ref="F34:Q34" si="7">F33*1000</f>
        <v>208800.68</v>
      </c>
      <c r="G34" s="69">
        <f t="shared" si="7"/>
        <v>165910.90700000001</v>
      </c>
      <c r="H34" s="69">
        <f t="shared" si="7"/>
        <v>179389.18000000005</v>
      </c>
      <c r="I34" s="69">
        <f t="shared" si="7"/>
        <v>190077.80919999999</v>
      </c>
      <c r="J34" s="69">
        <f t="shared" si="7"/>
        <v>215000</v>
      </c>
      <c r="K34" s="69">
        <f t="shared" si="7"/>
        <v>225000</v>
      </c>
      <c r="L34" s="69">
        <f t="shared" si="7"/>
        <v>160000</v>
      </c>
      <c r="M34" s="69">
        <f t="shared" si="7"/>
        <v>160000</v>
      </c>
      <c r="N34" s="69">
        <f t="shared" si="7"/>
        <v>205000</v>
      </c>
      <c r="O34" s="69">
        <f t="shared" si="7"/>
        <v>265000</v>
      </c>
      <c r="P34" s="69">
        <f t="shared" si="7"/>
        <v>265000</v>
      </c>
      <c r="Q34" s="69">
        <f t="shared" si="7"/>
        <v>260589.99999999997</v>
      </c>
      <c r="R34" s="69">
        <f>SUM(F34:Q34)</f>
        <v>2499768.5762</v>
      </c>
    </row>
    <row r="35" spans="3:20">
      <c r="E35" s="458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</row>
    <row r="36" spans="3:20">
      <c r="C36" s="65">
        <v>178499.79500000001</v>
      </c>
      <c r="E36" s="458"/>
      <c r="F36" s="65"/>
      <c r="G36" s="65"/>
      <c r="H36" s="65">
        <f>SUM(F4:H4)</f>
        <v>2031921.6548000029</v>
      </c>
      <c r="I36" s="802"/>
      <c r="J36" s="802"/>
      <c r="K36" s="65">
        <f>SUM(I4:K4)</f>
        <v>2399890.4306999985</v>
      </c>
      <c r="N36" s="383">
        <f>SUM(L4:N4)</f>
        <v>2796573.9448000002</v>
      </c>
      <c r="O36" s="74"/>
      <c r="Q36" s="383">
        <f>SUM(O4:Q4)</f>
        <v>2421613.9697000002</v>
      </c>
      <c r="S36" s="65">
        <v>163.7822875999999</v>
      </c>
      <c r="T36" s="74"/>
    </row>
    <row r="37" spans="3:20">
      <c r="G37" s="65"/>
      <c r="H37" s="65">
        <f>SUM(F5:H5)</f>
        <v>500207.13299999997</v>
      </c>
      <c r="I37" s="65"/>
      <c r="K37" s="65">
        <f>SUM(I5:K5)</f>
        <v>577760.55099999998</v>
      </c>
      <c r="N37" s="65">
        <f>SUM(L5:N5)</f>
        <v>505881.95</v>
      </c>
      <c r="O37" s="74"/>
      <c r="Q37" s="65">
        <f>SUM(O5:Q5)</f>
        <v>1116150</v>
      </c>
      <c r="S37" s="65">
        <v>1000</v>
      </c>
      <c r="T37" s="74"/>
    </row>
    <row r="38" spans="3:20">
      <c r="G38" s="65"/>
      <c r="H38" s="65">
        <f>SUMPRODUCT(F5:H5,F27:H27)/SUM(F5:H5)</f>
        <v>13.851469575391386</v>
      </c>
      <c r="I38" s="65"/>
      <c r="K38" s="65">
        <f>SUMPRODUCT(I5:K5,I27:K27)/SUM(I5:K5)</f>
        <v>13.862878870002332</v>
      </c>
      <c r="L38" s="41"/>
      <c r="M38" s="41">
        <v>130</v>
      </c>
      <c r="N38" s="65"/>
      <c r="O38" s="74"/>
      <c r="Q38" s="65"/>
      <c r="S38" s="65">
        <f>S36*S37</f>
        <v>163782.28759999989</v>
      </c>
      <c r="T38" s="74"/>
    </row>
    <row r="39" spans="3:20">
      <c r="G39" s="69"/>
      <c r="H39" s="65">
        <f>SUM(F12:H12)</f>
        <v>554100.76700000011</v>
      </c>
      <c r="I39" s="41"/>
      <c r="K39" s="65">
        <f>SUM(I12:K12)</f>
        <v>586504.16700000002</v>
      </c>
      <c r="L39" s="41"/>
      <c r="M39" s="41">
        <f>M38*1000</f>
        <v>130000</v>
      </c>
      <c r="N39" s="65">
        <f>SUM(L12:N12)</f>
        <v>368993.45500000007</v>
      </c>
      <c r="O39" s="74"/>
      <c r="Q39" s="65">
        <f>SUM(O12:Q12)</f>
        <v>1110401.611</v>
      </c>
      <c r="T39" s="74"/>
    </row>
    <row r="40" spans="3:20">
      <c r="G40" s="65"/>
      <c r="H40" s="65">
        <f>SUM(F14:H14)</f>
        <v>536035.25</v>
      </c>
      <c r="I40" s="41"/>
      <c r="K40" s="65">
        <f>SUM(I14:K14)</f>
        <v>589631.86</v>
      </c>
      <c r="N40" s="65">
        <f>SUM(L14:N14)</f>
        <v>347530.37</v>
      </c>
      <c r="O40" s="74"/>
      <c r="Q40" s="65">
        <f>SUM(O14:Q14)</f>
        <v>1126802.52</v>
      </c>
      <c r="T40" s="74"/>
    </row>
    <row r="41" spans="3:20">
      <c r="H41" s="65">
        <f>SUMPRODUCT(F4:H4,F26:H26)/SUM(F4:H4)</f>
        <v>1.0480062984478133</v>
      </c>
      <c r="I41" s="41">
        <f>+SUM(I29:I30)/30</f>
        <v>2.5161111111111105</v>
      </c>
      <c r="J41" s="41">
        <f>+SUM(J29:J30)/31</f>
        <v>5.3982795698924742</v>
      </c>
      <c r="K41" s="65">
        <f>SUMPRODUCT(I4:K4,I26:K26)/SUM(I4:K4)</f>
        <v>1.1007582980457196</v>
      </c>
      <c r="N41" s="65">
        <f>SUMPRODUCT(L4:N4,L26:N26)/SUM(L4:N4)</f>
        <v>1.1098764108486909</v>
      </c>
      <c r="O41" s="74"/>
      <c r="Q41" s="65">
        <f>SUMPRODUCT(O4:Q4,O26:Q26)/SUM(O4:Q4)</f>
        <v>1.4099140780276693</v>
      </c>
      <c r="S41" s="65">
        <v>132281.78</v>
      </c>
      <c r="T41" s="74"/>
    </row>
    <row r="42" spans="3:20">
      <c r="H42" s="65">
        <f>SUMPRODUCT(F5:H5,F27:H27)/SUM(F5:H5)</f>
        <v>13.851469575391386</v>
      </c>
      <c r="K42" s="65">
        <f>SUMPRODUCT(I5:K5,I27:K27)/SUM(I5:K5)</f>
        <v>13.862878870002332</v>
      </c>
      <c r="N42" s="65">
        <f>SUMPRODUCT(L5:N5,L27:N27)/SUM(L5:N5)</f>
        <v>13.62913379265534</v>
      </c>
      <c r="O42" s="74"/>
      <c r="Q42" s="65">
        <f>SUMPRODUCT(O5:Q5,O27:Q27)/SUM(O5:Q5)</f>
        <v>14</v>
      </c>
      <c r="T42" s="74"/>
    </row>
    <row r="43" spans="3:20">
      <c r="H43" s="65">
        <f>+SUM(F28:H28)</f>
        <v>1645.2600000000002</v>
      </c>
      <c r="K43" s="65">
        <f>SUM(I28:K28)</f>
        <v>913.61</v>
      </c>
      <c r="N43" s="65">
        <f>SUM(L28:N28)</f>
        <v>582</v>
      </c>
      <c r="O43" s="74"/>
      <c r="Q43" s="65">
        <f>SUM(O28:Q28)</f>
        <v>1351</v>
      </c>
      <c r="T43" s="74"/>
    </row>
    <row r="44" spans="3:20">
      <c r="F44" s="41">
        <f>+F30/31*1</f>
        <v>0.70967741935483875</v>
      </c>
      <c r="H44" s="65">
        <f>+SUM(F29:H29)</f>
        <v>286.92</v>
      </c>
      <c r="K44" s="65">
        <f>SUM(I29:K29)</f>
        <v>244.56666666666672</v>
      </c>
      <c r="N44" s="65">
        <f>SUM(L29:N29)</f>
        <v>152.03333333333333</v>
      </c>
      <c r="O44" s="74"/>
      <c r="Q44" s="65">
        <f>SUM(O29:Q29)</f>
        <v>423</v>
      </c>
      <c r="T44" s="74">
        <v>14000</v>
      </c>
    </row>
    <row r="45" spans="3:20">
      <c r="H45" s="65">
        <f>+SUM(F30:H30)</f>
        <v>91.686666666666667</v>
      </c>
      <c r="K45" s="65">
        <f>SUM(I30:K30)</f>
        <v>65.213333333333324</v>
      </c>
      <c r="N45" s="65">
        <f>SUM(L30:N30)</f>
        <v>43.699999999999996</v>
      </c>
      <c r="O45" s="74"/>
      <c r="Q45" s="65">
        <f>SUM(O30:Q30)</f>
        <v>126</v>
      </c>
      <c r="T45" s="74">
        <v>4220</v>
      </c>
    </row>
    <row r="46" spans="3:20">
      <c r="H46" s="65">
        <v>13853.205650431933</v>
      </c>
      <c r="O46" s="74"/>
      <c r="Q46" s="65"/>
      <c r="T46" s="74">
        <v>0</v>
      </c>
    </row>
    <row r="47" spans="3:20">
      <c r="C47" s="1">
        <v>0</v>
      </c>
      <c r="H47" s="65">
        <f>H46/1000</f>
        <v>13.853205650431933</v>
      </c>
      <c r="O47" s="74"/>
      <c r="Q47" s="65"/>
      <c r="S47" s="1" t="b">
        <f>S41=L12</f>
        <v>0</v>
      </c>
    </row>
    <row r="48" spans="3:20">
      <c r="O48" s="74"/>
      <c r="Q48" s="65"/>
    </row>
    <row r="49" spans="6:20">
      <c r="K49" s="1">
        <v>1000</v>
      </c>
      <c r="O49" s="74"/>
      <c r="Q49" s="65"/>
    </row>
    <row r="50" spans="6:20">
      <c r="K50" s="1">
        <f>I9*$K$49</f>
        <v>51142400</v>
      </c>
      <c r="L50" s="1">
        <f t="shared" ref="L50:T50" si="8">J9*$K$49</f>
        <v>50033024</v>
      </c>
      <c r="M50" s="1">
        <f t="shared" si="8"/>
        <v>45878610</v>
      </c>
      <c r="N50" s="1">
        <f t="shared" si="8"/>
        <v>34647249.999999993</v>
      </c>
      <c r="O50" s="1">
        <f t="shared" si="8"/>
        <v>78114613.400000006</v>
      </c>
      <c r="P50" s="1">
        <f t="shared" si="8"/>
        <v>156864272.69999999</v>
      </c>
      <c r="Q50" s="1">
        <f t="shared" si="8"/>
        <v>154864272.69999999</v>
      </c>
      <c r="R50" s="1">
        <f t="shared" si="8"/>
        <v>171864272.69999999</v>
      </c>
      <c r="S50" s="1">
        <f t="shared" si="8"/>
        <v>166864272.69999999</v>
      </c>
      <c r="T50" s="1">
        <f t="shared" si="8"/>
        <v>1183117778.2</v>
      </c>
    </row>
    <row r="51" spans="6:20">
      <c r="F51" s="1">
        <v>561126.87090000149</v>
      </c>
      <c r="K51" s="1">
        <f>I10*$K$49</f>
        <v>141889394</v>
      </c>
      <c r="L51" s="1">
        <f t="shared" ref="L51:S51" si="9">J10*$K$49</f>
        <v>128466771</v>
      </c>
      <c r="M51" s="1">
        <f t="shared" si="9"/>
        <v>169093968.00000003</v>
      </c>
      <c r="N51" s="1">
        <f t="shared" si="9"/>
        <v>157815724.99999997</v>
      </c>
      <c r="O51" s="1">
        <f t="shared" si="9"/>
        <v>16295480</v>
      </c>
      <c r="P51" s="1">
        <f t="shared" si="9"/>
        <v>3135727.29999999</v>
      </c>
      <c r="Q51" s="1">
        <f t="shared" si="9"/>
        <v>210135727.30000001</v>
      </c>
      <c r="R51" s="1">
        <f t="shared" si="9"/>
        <v>198135727.30000001</v>
      </c>
      <c r="S51" s="1">
        <f t="shared" si="9"/>
        <v>208537338.30000001</v>
      </c>
    </row>
    <row r="52" spans="6:20">
      <c r="L52" s="65"/>
      <c r="M52" s="65"/>
      <c r="N52" s="65"/>
      <c r="O52" s="65"/>
      <c r="P52" s="65"/>
      <c r="Q52" s="65"/>
      <c r="R52" s="65"/>
      <c r="S52" s="65"/>
      <c r="T52" s="65"/>
    </row>
    <row r="53" spans="6:20">
      <c r="O53" s="74"/>
      <c r="Q53" s="65"/>
    </row>
    <row r="54" spans="6:20">
      <c r="K54" s="65">
        <v>1059.8046743229454</v>
      </c>
      <c r="O54" s="74"/>
      <c r="Q54" s="65"/>
    </row>
    <row r="55" spans="6:20">
      <c r="K55" s="65">
        <v>13634.427740393347</v>
      </c>
      <c r="O55" s="74"/>
      <c r="Q55" s="65"/>
    </row>
    <row r="56" spans="6:20">
      <c r="O56" s="74"/>
      <c r="Q56" s="65"/>
    </row>
    <row r="57" spans="6:20">
      <c r="O57" s="74"/>
      <c r="Q57" s="65"/>
    </row>
    <row r="60" spans="6:20">
      <c r="H60" s="65">
        <v>800</v>
      </c>
      <c r="I60" s="65">
        <v>840</v>
      </c>
      <c r="J60" s="65">
        <v>900</v>
      </c>
      <c r="K60" s="65">
        <v>840</v>
      </c>
      <c r="L60" s="65">
        <v>910</v>
      </c>
      <c r="M60" s="65">
        <v>815</v>
      </c>
      <c r="N60" s="65">
        <v>725</v>
      </c>
      <c r="O60" s="65">
        <v>738.07834519999994</v>
      </c>
    </row>
    <row r="61" spans="6:20">
      <c r="H61" s="65">
        <v>215</v>
      </c>
      <c r="I61" s="65">
        <v>225</v>
      </c>
      <c r="J61" s="65">
        <v>210</v>
      </c>
      <c r="K61" s="65">
        <v>195</v>
      </c>
      <c r="L61" s="65">
        <v>235</v>
      </c>
      <c r="M61" s="65">
        <v>245.00000000000006</v>
      </c>
      <c r="N61" s="65">
        <v>230.00000000000006</v>
      </c>
      <c r="O61" s="65">
        <v>241.52227200000021</v>
      </c>
    </row>
    <row r="62" spans="6:20">
      <c r="H62" s="65">
        <v>36.129453699999999</v>
      </c>
      <c r="I62" s="65">
        <v>41.129453699999999</v>
      </c>
      <c r="J62" s="65">
        <v>46.129453699999999</v>
      </c>
      <c r="K62" s="65">
        <v>66.129453699999999</v>
      </c>
      <c r="L62" s="65">
        <v>51.129453699999999</v>
      </c>
      <c r="M62" s="65">
        <v>34.729453700000001</v>
      </c>
      <c r="N62" s="65">
        <v>19.729453700000001</v>
      </c>
      <c r="O62" s="65">
        <v>3.8982026999999349</v>
      </c>
    </row>
    <row r="64" spans="6:20">
      <c r="G64" s="65">
        <v>1000</v>
      </c>
      <c r="H64" s="65">
        <f>H60*$G$64</f>
        <v>800000</v>
      </c>
      <c r="I64" s="65">
        <f t="shared" ref="I64:O65" si="10">I60*$G$64</f>
        <v>840000</v>
      </c>
      <c r="J64" s="65">
        <f t="shared" si="10"/>
        <v>900000</v>
      </c>
      <c r="K64" s="65">
        <f t="shared" si="10"/>
        <v>840000</v>
      </c>
      <c r="L64" s="65">
        <f t="shared" si="10"/>
        <v>910000</v>
      </c>
      <c r="M64" s="65">
        <f t="shared" si="10"/>
        <v>815000</v>
      </c>
      <c r="N64" s="65">
        <f t="shared" si="10"/>
        <v>725000</v>
      </c>
      <c r="O64" s="65">
        <f t="shared" si="10"/>
        <v>738078.34519999998</v>
      </c>
    </row>
    <row r="65" spans="8:15">
      <c r="H65" s="65">
        <f>H61*$G$64</f>
        <v>215000</v>
      </c>
      <c r="I65" s="65">
        <f t="shared" si="10"/>
        <v>225000</v>
      </c>
      <c r="J65" s="65">
        <f t="shared" si="10"/>
        <v>210000</v>
      </c>
      <c r="K65" s="65">
        <f t="shared" si="10"/>
        <v>195000</v>
      </c>
      <c r="L65" s="65">
        <f t="shared" si="10"/>
        <v>235000</v>
      </c>
      <c r="M65" s="65">
        <f t="shared" si="10"/>
        <v>245000.00000000006</v>
      </c>
      <c r="N65" s="65">
        <f t="shared" si="10"/>
        <v>230000.00000000006</v>
      </c>
      <c r="O65" s="65">
        <f t="shared" si="10"/>
        <v>241522.2720000002</v>
      </c>
    </row>
    <row r="66" spans="8:15">
      <c r="H66" s="65">
        <f t="shared" ref="H66:O66" si="11">H62*$G$64</f>
        <v>36129.453699999998</v>
      </c>
      <c r="I66" s="65">
        <f t="shared" si="11"/>
        <v>41129.453699999998</v>
      </c>
      <c r="J66" s="65">
        <f t="shared" si="11"/>
        <v>46129.453699999998</v>
      </c>
      <c r="K66" s="65">
        <f t="shared" si="11"/>
        <v>66129.453699999998</v>
      </c>
      <c r="L66" s="65">
        <f t="shared" si="11"/>
        <v>51129.453699999998</v>
      </c>
      <c r="M66" s="65">
        <f t="shared" si="11"/>
        <v>34729.453699999998</v>
      </c>
      <c r="N66" s="65">
        <f t="shared" si="11"/>
        <v>19729.453700000002</v>
      </c>
      <c r="O66" s="65">
        <f t="shared" si="11"/>
        <v>3898.2026999999348</v>
      </c>
    </row>
    <row r="67" spans="8:15">
      <c r="H67" s="65">
        <f t="shared" ref="H67:O67" si="12">H63*$G$64</f>
        <v>0</v>
      </c>
      <c r="I67" s="65">
        <f t="shared" si="12"/>
        <v>0</v>
      </c>
      <c r="J67" s="65">
        <f t="shared" si="12"/>
        <v>0</v>
      </c>
      <c r="K67" s="65">
        <f t="shared" si="12"/>
        <v>0</v>
      </c>
      <c r="L67" s="65">
        <f t="shared" si="12"/>
        <v>0</v>
      </c>
      <c r="M67" s="65">
        <f t="shared" si="12"/>
        <v>0</v>
      </c>
      <c r="N67" s="65">
        <f t="shared" si="12"/>
        <v>0</v>
      </c>
      <c r="O67" s="65">
        <f t="shared" si="12"/>
        <v>0</v>
      </c>
    </row>
    <row r="70" spans="8:15">
      <c r="I70" s="448">
        <f>24*30</f>
        <v>720</v>
      </c>
      <c r="J70" s="448">
        <f>24*31</f>
        <v>744</v>
      </c>
    </row>
    <row r="71" spans="8:15">
      <c r="I71" s="83">
        <f>(I29+I30)/I70</f>
        <v>0.10483796296296294</v>
      </c>
      <c r="J71" s="83">
        <f>(J29+J30)/J70</f>
        <v>0.22492831541218641</v>
      </c>
    </row>
    <row r="274" spans="25:25">
      <c r="Y274" s="1">
        <v>2</v>
      </c>
    </row>
    <row r="275" spans="25:25">
      <c r="Y275" s="1">
        <v>8</v>
      </c>
    </row>
    <row r="276" spans="25:25">
      <c r="Y276" s="1">
        <v>1</v>
      </c>
    </row>
    <row r="277" spans="25:25">
      <c r="Y277" s="1">
        <v>12</v>
      </c>
    </row>
    <row r="278" spans="25:25">
      <c r="Y278" s="1">
        <v>2</v>
      </c>
    </row>
    <row r="279" spans="25:25">
      <c r="Y279" s="1">
        <v>1</v>
      </c>
    </row>
    <row r="280" spans="25:25">
      <c r="Y280" s="1">
        <v>1</v>
      </c>
    </row>
    <row r="281" spans="25:25">
      <c r="Y281" s="1">
        <v>2</v>
      </c>
    </row>
    <row r="282" spans="25:25">
      <c r="Y282" s="1">
        <v>9</v>
      </c>
    </row>
    <row r="283" spans="25:25">
      <c r="Y283" s="1">
        <v>1</v>
      </c>
    </row>
    <row r="284" spans="25:25">
      <c r="Y284" s="1">
        <v>12</v>
      </c>
    </row>
    <row r="285" spans="25:25">
      <c r="Y285" s="1">
        <v>2</v>
      </c>
    </row>
    <row r="286" spans="25:25">
      <c r="Y286" s="1">
        <v>1</v>
      </c>
    </row>
    <row r="287" spans="25:25">
      <c r="Y287" s="1">
        <v>1</v>
      </c>
    </row>
    <row r="288" spans="25:25">
      <c r="Y288" s="1">
        <v>5</v>
      </c>
    </row>
    <row r="289" spans="20:25">
      <c r="Y289" s="1">
        <v>24</v>
      </c>
    </row>
    <row r="290" spans="20:25">
      <c r="Y290" s="1">
        <v>1</v>
      </c>
    </row>
    <row r="291" spans="20:25">
      <c r="Y291" s="1">
        <v>12</v>
      </c>
    </row>
    <row r="292" spans="20:25">
      <c r="Y292" s="1">
        <v>4</v>
      </c>
    </row>
    <row r="293" spans="20:25">
      <c r="Y293" s="1">
        <v>2</v>
      </c>
    </row>
    <row r="294" spans="20:25">
      <c r="Y294" s="1">
        <v>1</v>
      </c>
    </row>
    <row r="295" spans="20:25">
      <c r="Y295" s="1">
        <v>6</v>
      </c>
    </row>
    <row r="296" spans="20:25">
      <c r="Y296" s="1">
        <v>30</v>
      </c>
    </row>
    <row r="297" spans="20:25">
      <c r="Y297" s="1">
        <v>1</v>
      </c>
    </row>
    <row r="298" spans="20:25">
      <c r="T298" s="1">
        <v>4</v>
      </c>
      <c r="Y298" s="1">
        <v>12</v>
      </c>
    </row>
    <row r="299" spans="20:25">
      <c r="T299" s="1">
        <v>16</v>
      </c>
      <c r="Y299" s="1">
        <v>4</v>
      </c>
    </row>
    <row r="300" spans="20:25">
      <c r="T300" s="1">
        <v>0</v>
      </c>
      <c r="Y300" s="1">
        <v>2</v>
      </c>
    </row>
    <row r="301" spans="20:25">
      <c r="T301" s="1">
        <v>0</v>
      </c>
      <c r="Y301" s="1">
        <v>1</v>
      </c>
    </row>
    <row r="302" spans="20:25">
      <c r="T302" s="1">
        <v>2</v>
      </c>
      <c r="Y302" s="1">
        <v>2</v>
      </c>
    </row>
    <row r="303" spans="20:25">
      <c r="T303" s="1">
        <v>1</v>
      </c>
      <c r="Y303" s="1">
        <v>8</v>
      </c>
    </row>
    <row r="304" spans="20:25">
      <c r="T304" s="1">
        <v>0</v>
      </c>
      <c r="Y304" s="1">
        <v>0</v>
      </c>
    </row>
    <row r="305" spans="20:25">
      <c r="T305" s="1">
        <v>4</v>
      </c>
      <c r="Y305" s="1">
        <v>0</v>
      </c>
    </row>
    <row r="306" spans="20:25">
      <c r="T306" s="1">
        <v>16</v>
      </c>
      <c r="Y306" s="1">
        <v>2</v>
      </c>
    </row>
    <row r="307" spans="20:25">
      <c r="T307" s="1">
        <v>0</v>
      </c>
      <c r="Y307" s="1">
        <v>1</v>
      </c>
    </row>
    <row r="308" spans="20:25">
      <c r="T308" s="1">
        <v>0</v>
      </c>
      <c r="Y308" s="1">
        <v>0</v>
      </c>
    </row>
    <row r="309" spans="20:25">
      <c r="T309" s="1">
        <v>2</v>
      </c>
      <c r="Y309" s="1">
        <v>2</v>
      </c>
    </row>
    <row r="310" spans="20:25">
      <c r="T310" s="1">
        <v>1</v>
      </c>
      <c r="Y310" s="1">
        <v>8</v>
      </c>
    </row>
    <row r="311" spans="20:25">
      <c r="T311" s="1">
        <v>0</v>
      </c>
      <c r="Y311" s="1">
        <v>0</v>
      </c>
    </row>
    <row r="312" spans="20:25">
      <c r="T312" s="1">
        <v>4</v>
      </c>
      <c r="Y312" s="1">
        <v>0</v>
      </c>
    </row>
    <row r="313" spans="20:25">
      <c r="T313" s="1">
        <v>16</v>
      </c>
      <c r="Y313" s="1">
        <v>2</v>
      </c>
    </row>
    <row r="314" spans="20:25">
      <c r="T314" s="1">
        <v>1</v>
      </c>
      <c r="Y314" s="1">
        <v>1</v>
      </c>
    </row>
    <row r="315" spans="20:25">
      <c r="T315" s="1">
        <v>16</v>
      </c>
      <c r="Y315" s="1">
        <v>0</v>
      </c>
    </row>
    <row r="316" spans="20:25">
      <c r="T316" s="1">
        <v>3</v>
      </c>
    </row>
    <row r="317" spans="20:25">
      <c r="T317" s="1">
        <v>1</v>
      </c>
    </row>
    <row r="318" spans="20:25">
      <c r="T318" s="1">
        <v>1</v>
      </c>
    </row>
    <row r="319" spans="20:25">
      <c r="T319" s="1">
        <v>4</v>
      </c>
    </row>
    <row r="320" spans="20:25">
      <c r="T320" s="1">
        <v>16</v>
      </c>
    </row>
    <row r="321" spans="20:20">
      <c r="T321" s="1">
        <v>2</v>
      </c>
    </row>
    <row r="322" spans="20:20">
      <c r="T322" s="1">
        <v>16</v>
      </c>
    </row>
    <row r="323" spans="20:20">
      <c r="T323" s="1">
        <v>3</v>
      </c>
    </row>
    <row r="324" spans="20:20">
      <c r="T324" s="1">
        <v>1</v>
      </c>
    </row>
    <row r="325" spans="20:20">
      <c r="T325" s="1">
        <v>1</v>
      </c>
    </row>
    <row r="326" spans="20:20">
      <c r="T326" s="1">
        <v>2</v>
      </c>
    </row>
    <row r="327" spans="20:20">
      <c r="T327" s="1">
        <v>10</v>
      </c>
    </row>
    <row r="330" spans="20:20">
      <c r="T330" s="1">
        <v>2</v>
      </c>
    </row>
    <row r="331" spans="20:20">
      <c r="T331" s="1">
        <v>1</v>
      </c>
    </row>
    <row r="333" spans="20:20">
      <c r="T333" s="1">
        <v>2</v>
      </c>
    </row>
    <row r="334" spans="20:20">
      <c r="T334" s="1">
        <v>10</v>
      </c>
    </row>
    <row r="337" spans="20:20">
      <c r="T337" s="1">
        <v>2</v>
      </c>
    </row>
    <row r="338" spans="20:20">
      <c r="T338" s="1">
        <v>1</v>
      </c>
    </row>
  </sheetData>
  <mergeCells count="2">
    <mergeCell ref="B31:C31"/>
    <mergeCell ref="B3:C3"/>
  </mergeCells>
  <phoneticPr fontId="22" type="noConversion"/>
  <pageMargins left="0.7" right="0.7" top="0.75" bottom="0.75" header="0.3" footer="0.3"/>
  <pageSetup paperSize="9" scale="10" orientation="landscape" horizontalDpi="1200" verticalDpi="1200" r:id="rId1"/>
  <ignoredErrors>
    <ignoredError sqref="R1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/>
  <dimension ref="A1:CU114"/>
  <sheetViews>
    <sheetView zoomScale="70" zoomScaleNormal="70" workbookViewId="0">
      <pane xSplit="1" topLeftCell="B1" activePane="topRight" state="frozen"/>
      <selection pane="topRight" activeCell="AK10" sqref="AK10"/>
      <selection activeCell="A64" sqref="A64"/>
    </sheetView>
  </sheetViews>
  <sheetFormatPr defaultRowHeight="14.45"/>
  <cols>
    <col min="1" max="1" width="12.140625" bestFit="1" customWidth="1"/>
    <col min="2" max="3" width="12.28515625" bestFit="1" customWidth="1"/>
    <col min="4" max="4" width="13.7109375" bestFit="1" customWidth="1"/>
    <col min="5" max="5" width="11.140625" bestFit="1" customWidth="1"/>
    <col min="6" max="6" width="13.28515625" bestFit="1" customWidth="1"/>
    <col min="7" max="7" width="13.7109375" bestFit="1" customWidth="1"/>
    <col min="8" max="8" width="12.7109375" bestFit="1" customWidth="1"/>
    <col min="9" max="9" width="13.7109375" bestFit="1" customWidth="1"/>
    <col min="10" max="10" width="12.7109375" bestFit="1" customWidth="1"/>
    <col min="11" max="11" width="11.28515625" bestFit="1" customWidth="1"/>
    <col min="12" max="12" width="12.28515625" bestFit="1" customWidth="1"/>
    <col min="13" max="13" width="9.28515625" customWidth="1"/>
    <col min="14" max="14" width="12" bestFit="1" customWidth="1"/>
    <col min="15" max="15" width="13.7109375" bestFit="1" customWidth="1"/>
    <col min="16" max="16" width="11.140625" bestFit="1" customWidth="1"/>
    <col min="17" max="20" width="9.28515625" customWidth="1"/>
    <col min="21" max="22" width="11.140625" bestFit="1" customWidth="1"/>
    <col min="23" max="23" width="12.140625" bestFit="1" customWidth="1"/>
    <col min="24" max="27" width="9.140625" bestFit="1" customWidth="1"/>
    <col min="28" max="28" width="11.28515625" bestFit="1" customWidth="1"/>
    <col min="29" max="30" width="12.28515625" bestFit="1" customWidth="1"/>
    <col min="32" max="32" width="9.7109375" bestFit="1" customWidth="1"/>
    <col min="33" max="33" width="11.140625" bestFit="1" customWidth="1"/>
    <col min="34" max="34" width="10.7109375" bestFit="1" customWidth="1"/>
    <col min="35" max="35" width="10.140625" bestFit="1" customWidth="1"/>
    <col min="36" max="36" width="10" bestFit="1" customWidth="1"/>
    <col min="37" max="37" width="13.7109375" bestFit="1" customWidth="1"/>
    <col min="38" max="38" width="10.7109375" bestFit="1" customWidth="1"/>
    <col min="40" max="40" width="11.140625" bestFit="1" customWidth="1"/>
    <col min="42" max="42" width="10.140625" bestFit="1" customWidth="1"/>
    <col min="43" max="44" width="10" bestFit="1" customWidth="1"/>
    <col min="45" max="45" width="11.140625" bestFit="1" customWidth="1"/>
    <col min="49" max="49" width="11.140625" bestFit="1" customWidth="1"/>
    <col min="50" max="50" width="10" bestFit="1" customWidth="1"/>
    <col min="51" max="51" width="11.140625" bestFit="1" customWidth="1"/>
    <col min="56" max="56" width="10.140625" bestFit="1" customWidth="1"/>
    <col min="57" max="57" width="10" bestFit="1" customWidth="1"/>
    <col min="58" max="58" width="12.28515625" bestFit="1" customWidth="1"/>
    <col min="61" max="61" width="11.140625" bestFit="1" customWidth="1"/>
    <col min="62" max="62" width="10.7109375" bestFit="1" customWidth="1"/>
    <col min="63" max="63" width="10.140625" bestFit="1" customWidth="1"/>
    <col min="64" max="64" width="10" bestFit="1" customWidth="1"/>
    <col min="65" max="65" width="13.7109375" bestFit="1" customWidth="1"/>
    <col min="66" max="66" width="10.7109375" bestFit="1" customWidth="1"/>
    <col min="70" max="70" width="10.140625" bestFit="1" customWidth="1"/>
    <col min="71" max="72" width="10" bestFit="1" customWidth="1"/>
    <col min="73" max="73" width="11.140625" bestFit="1" customWidth="1"/>
    <col min="77" max="77" width="11.140625" bestFit="1" customWidth="1"/>
    <col min="78" max="78" width="10" bestFit="1" customWidth="1"/>
    <col min="79" max="79" width="11.140625" bestFit="1" customWidth="1"/>
    <col min="84" max="84" width="10.140625" bestFit="1" customWidth="1"/>
    <col min="85" max="86" width="10" bestFit="1" customWidth="1"/>
    <col min="87" max="87" width="11.140625" bestFit="1" customWidth="1"/>
    <col min="91" max="91" width="11.140625" bestFit="1" customWidth="1"/>
    <col min="92" max="92" width="10" bestFit="1" customWidth="1"/>
    <col min="98" max="98" width="10.140625" bestFit="1" customWidth="1"/>
    <col min="99" max="99" width="10" bestFit="1" customWidth="1"/>
  </cols>
  <sheetData>
    <row r="1" spans="1:99" ht="14.45" customHeight="1">
      <c r="A1" s="1398" t="s">
        <v>5</v>
      </c>
      <c r="B1" s="1399" t="s">
        <v>517</v>
      </c>
      <c r="C1" s="1400"/>
      <c r="D1" s="1400"/>
      <c r="E1" s="1400"/>
      <c r="F1" s="1400"/>
      <c r="G1" s="1400"/>
      <c r="H1" s="1401"/>
      <c r="I1" s="1399" t="s">
        <v>518</v>
      </c>
      <c r="J1" s="1400"/>
      <c r="K1" s="1400"/>
      <c r="L1" s="1400"/>
      <c r="M1" s="1400"/>
      <c r="N1" s="1400"/>
      <c r="O1" s="1401"/>
      <c r="P1" s="1399" t="s">
        <v>519</v>
      </c>
      <c r="Q1" s="1400"/>
      <c r="R1" s="1400"/>
      <c r="S1" s="1400"/>
      <c r="T1" s="1400"/>
      <c r="U1" s="1400"/>
      <c r="V1" s="1401"/>
      <c r="W1" s="1399" t="s">
        <v>520</v>
      </c>
      <c r="X1" s="1400"/>
      <c r="Y1" s="1400"/>
      <c r="Z1" s="1400"/>
      <c r="AA1" s="1400"/>
      <c r="AB1" s="1400"/>
      <c r="AC1" s="1401"/>
      <c r="AD1" s="1399" t="s">
        <v>521</v>
      </c>
      <c r="AE1" s="1400"/>
      <c r="AF1" s="1400"/>
      <c r="AG1" s="1400"/>
      <c r="AH1" s="1400"/>
      <c r="AI1" s="1400"/>
      <c r="AJ1" s="1401"/>
      <c r="AK1" s="1399" t="s">
        <v>522</v>
      </c>
      <c r="AL1" s="1400"/>
      <c r="AM1" s="1400"/>
      <c r="AN1" s="1400"/>
      <c r="AO1" s="1400"/>
      <c r="AP1" s="1400"/>
      <c r="AQ1" s="1401"/>
      <c r="AR1" s="1399" t="s">
        <v>523</v>
      </c>
      <c r="AS1" s="1400"/>
      <c r="AT1" s="1400"/>
      <c r="AU1" s="1400"/>
      <c r="AV1" s="1400"/>
      <c r="AW1" s="1400"/>
      <c r="AX1" s="1401"/>
      <c r="AY1" s="1399" t="s">
        <v>524</v>
      </c>
      <c r="AZ1" s="1400"/>
      <c r="BA1" s="1400"/>
      <c r="BB1" s="1400"/>
      <c r="BC1" s="1400"/>
      <c r="BD1" s="1400"/>
      <c r="BE1" s="1401"/>
      <c r="BF1" s="1399" t="s">
        <v>525</v>
      </c>
      <c r="BG1" s="1400"/>
      <c r="BH1" s="1400"/>
      <c r="BI1" s="1400"/>
      <c r="BJ1" s="1400"/>
      <c r="BK1" s="1400"/>
      <c r="BL1" s="1401"/>
      <c r="BM1" s="1399" t="s">
        <v>526</v>
      </c>
      <c r="BN1" s="1400"/>
      <c r="BO1" s="1400"/>
      <c r="BP1" s="1400"/>
      <c r="BQ1" s="1400"/>
      <c r="BR1" s="1400"/>
      <c r="BS1" s="1401"/>
      <c r="BT1" s="1399" t="s">
        <v>527</v>
      </c>
      <c r="BU1" s="1400"/>
      <c r="BV1" s="1400"/>
      <c r="BW1" s="1400"/>
      <c r="BX1" s="1400"/>
      <c r="BY1" s="1400"/>
      <c r="BZ1" s="1401"/>
      <c r="CA1" s="1399" t="s">
        <v>528</v>
      </c>
      <c r="CB1" s="1400"/>
      <c r="CC1" s="1400"/>
      <c r="CD1" s="1400"/>
      <c r="CE1" s="1400"/>
      <c r="CF1" s="1400"/>
      <c r="CG1" s="1401"/>
      <c r="CH1" s="1399" t="s">
        <v>529</v>
      </c>
      <c r="CI1" s="1400"/>
      <c r="CJ1" s="1400"/>
      <c r="CK1" s="1400"/>
      <c r="CL1" s="1400"/>
      <c r="CM1" s="1400"/>
      <c r="CN1" s="1401"/>
      <c r="CO1" s="1399" t="s">
        <v>530</v>
      </c>
      <c r="CP1" s="1400"/>
      <c r="CQ1" s="1400"/>
      <c r="CR1" s="1400"/>
      <c r="CS1" s="1400"/>
      <c r="CT1" s="1400"/>
      <c r="CU1" s="1401"/>
    </row>
    <row r="2" spans="1:99" ht="28.9">
      <c r="A2" s="1398"/>
      <c r="B2" s="989" t="s">
        <v>531</v>
      </c>
      <c r="C2" s="989" t="s">
        <v>379</v>
      </c>
      <c r="D2" s="989" t="s">
        <v>380</v>
      </c>
      <c r="E2" s="989" t="s">
        <v>67</v>
      </c>
      <c r="F2" s="990" t="s">
        <v>66</v>
      </c>
      <c r="G2" s="990" t="s">
        <v>381</v>
      </c>
      <c r="H2" s="990" t="s">
        <v>65</v>
      </c>
      <c r="I2" s="989" t="s">
        <v>531</v>
      </c>
      <c r="J2" s="989" t="s">
        <v>379</v>
      </c>
      <c r="K2" s="989" t="s">
        <v>380</v>
      </c>
      <c r="L2" s="989" t="s">
        <v>67</v>
      </c>
      <c r="M2" s="990" t="s">
        <v>66</v>
      </c>
      <c r="N2" s="990" t="s">
        <v>381</v>
      </c>
      <c r="O2" s="990" t="s">
        <v>65</v>
      </c>
      <c r="P2" s="989" t="s">
        <v>531</v>
      </c>
      <c r="Q2" s="989" t="s">
        <v>379</v>
      </c>
      <c r="R2" s="989" t="s">
        <v>380</v>
      </c>
      <c r="S2" s="989" t="s">
        <v>67</v>
      </c>
      <c r="T2" s="990" t="s">
        <v>66</v>
      </c>
      <c r="U2" s="990" t="s">
        <v>381</v>
      </c>
      <c r="V2" s="990" t="s">
        <v>65</v>
      </c>
      <c r="W2" s="989" t="s">
        <v>531</v>
      </c>
      <c r="X2" s="989" t="s">
        <v>379</v>
      </c>
      <c r="Y2" s="989" t="s">
        <v>380</v>
      </c>
      <c r="Z2" s="989" t="s">
        <v>67</v>
      </c>
      <c r="AA2" s="990" t="s">
        <v>66</v>
      </c>
      <c r="AB2" s="990" t="s">
        <v>381</v>
      </c>
      <c r="AC2" s="990" t="s">
        <v>65</v>
      </c>
      <c r="AD2" s="989" t="s">
        <v>531</v>
      </c>
      <c r="AE2" s="989" t="s">
        <v>379</v>
      </c>
      <c r="AF2" s="989" t="s">
        <v>380</v>
      </c>
      <c r="AG2" s="989" t="s">
        <v>67</v>
      </c>
      <c r="AH2" s="990" t="s">
        <v>66</v>
      </c>
      <c r="AI2" s="990" t="s">
        <v>381</v>
      </c>
      <c r="AJ2" s="990" t="s">
        <v>65</v>
      </c>
      <c r="AK2" s="989" t="s">
        <v>531</v>
      </c>
      <c r="AL2" s="989" t="s">
        <v>379</v>
      </c>
      <c r="AM2" s="989" t="s">
        <v>380</v>
      </c>
      <c r="AN2" s="989" t="s">
        <v>67</v>
      </c>
      <c r="AO2" s="990" t="s">
        <v>66</v>
      </c>
      <c r="AP2" s="990" t="s">
        <v>381</v>
      </c>
      <c r="AQ2" s="990" t="s">
        <v>65</v>
      </c>
      <c r="AR2" s="989" t="s">
        <v>531</v>
      </c>
      <c r="AS2" s="989" t="s">
        <v>379</v>
      </c>
      <c r="AT2" s="989" t="s">
        <v>380</v>
      </c>
      <c r="AU2" s="989" t="s">
        <v>67</v>
      </c>
      <c r="AV2" s="990" t="s">
        <v>66</v>
      </c>
      <c r="AW2" s="990" t="s">
        <v>381</v>
      </c>
      <c r="AX2" s="990" t="s">
        <v>65</v>
      </c>
      <c r="AY2" s="989" t="s">
        <v>531</v>
      </c>
      <c r="AZ2" s="989" t="s">
        <v>379</v>
      </c>
      <c r="BA2" s="989" t="s">
        <v>380</v>
      </c>
      <c r="BB2" s="989" t="s">
        <v>67</v>
      </c>
      <c r="BC2" s="990" t="s">
        <v>66</v>
      </c>
      <c r="BD2" s="990" t="s">
        <v>381</v>
      </c>
      <c r="BE2" s="990" t="s">
        <v>65</v>
      </c>
      <c r="BF2" s="989" t="s">
        <v>531</v>
      </c>
      <c r="BG2" s="989" t="s">
        <v>379</v>
      </c>
      <c r="BH2" s="989" t="s">
        <v>380</v>
      </c>
      <c r="BI2" s="989" t="s">
        <v>67</v>
      </c>
      <c r="BJ2" s="990" t="s">
        <v>66</v>
      </c>
      <c r="BK2" s="990" t="s">
        <v>381</v>
      </c>
      <c r="BL2" s="990" t="s">
        <v>65</v>
      </c>
      <c r="BM2" s="989" t="s">
        <v>531</v>
      </c>
      <c r="BN2" s="989" t="s">
        <v>379</v>
      </c>
      <c r="BO2" s="989" t="s">
        <v>380</v>
      </c>
      <c r="BP2" s="989" t="s">
        <v>67</v>
      </c>
      <c r="BQ2" s="990" t="s">
        <v>66</v>
      </c>
      <c r="BR2" s="990" t="s">
        <v>381</v>
      </c>
      <c r="BS2" s="990" t="s">
        <v>65</v>
      </c>
      <c r="BT2" s="989" t="s">
        <v>531</v>
      </c>
      <c r="BU2" s="989" t="s">
        <v>379</v>
      </c>
      <c r="BV2" s="989" t="s">
        <v>380</v>
      </c>
      <c r="BW2" s="989" t="s">
        <v>67</v>
      </c>
      <c r="BX2" s="990" t="s">
        <v>66</v>
      </c>
      <c r="BY2" s="990" t="s">
        <v>381</v>
      </c>
      <c r="BZ2" s="990" t="s">
        <v>65</v>
      </c>
      <c r="CA2" s="989" t="s">
        <v>531</v>
      </c>
      <c r="CB2" s="989" t="s">
        <v>379</v>
      </c>
      <c r="CC2" s="989" t="s">
        <v>380</v>
      </c>
      <c r="CD2" s="989" t="s">
        <v>67</v>
      </c>
      <c r="CE2" s="990" t="s">
        <v>66</v>
      </c>
      <c r="CF2" s="990" t="s">
        <v>381</v>
      </c>
      <c r="CG2" s="990" t="s">
        <v>65</v>
      </c>
      <c r="CH2" s="989" t="s">
        <v>531</v>
      </c>
      <c r="CI2" s="989" t="s">
        <v>379</v>
      </c>
      <c r="CJ2" s="989" t="s">
        <v>380</v>
      </c>
      <c r="CK2" s="989" t="s">
        <v>67</v>
      </c>
      <c r="CL2" s="990" t="s">
        <v>66</v>
      </c>
      <c r="CM2" s="990" t="s">
        <v>381</v>
      </c>
      <c r="CN2" s="990" t="s">
        <v>65</v>
      </c>
      <c r="CO2" s="989" t="s">
        <v>531</v>
      </c>
      <c r="CP2" s="989" t="s">
        <v>379</v>
      </c>
      <c r="CQ2" s="989" t="s">
        <v>380</v>
      </c>
      <c r="CR2" s="989" t="s">
        <v>67</v>
      </c>
      <c r="CS2" s="990" t="s">
        <v>66</v>
      </c>
      <c r="CT2" s="990" t="s">
        <v>381</v>
      </c>
      <c r="CU2" s="990" t="s">
        <v>65</v>
      </c>
    </row>
    <row r="3" spans="1:99" ht="15">
      <c r="A3" s="1046" t="str">
        <f>'Equipment '!A6</f>
        <v>01-Sep-26</v>
      </c>
      <c r="B3" s="644">
        <f>P3+W3+I3-T38</f>
        <v>4653.6216640000002</v>
      </c>
      <c r="C3" s="644">
        <f t="shared" ref="C3:H3" si="0">IFERROR(((($P3*Q3)+($W3*X3)+($I3*J3))/SUM($I3,$P3,$W3)),0)</f>
        <v>39.897629611647439</v>
      </c>
      <c r="D3" s="644">
        <f t="shared" si="0"/>
        <v>21.790821961800834</v>
      </c>
      <c r="E3" s="644">
        <f t="shared" si="0"/>
        <v>4.7548413836596568</v>
      </c>
      <c r="F3" s="644">
        <f t="shared" si="0"/>
        <v>0.14469177749836432</v>
      </c>
      <c r="G3" s="644">
        <f t="shared" si="0"/>
        <v>4982.1526427032813</v>
      </c>
      <c r="H3" s="644">
        <f t="shared" si="0"/>
        <v>3828.830062842359</v>
      </c>
      <c r="I3" s="1218">
        <v>4653.6216640000002</v>
      </c>
      <c r="J3" s="1218">
        <v>39.897629611647439</v>
      </c>
      <c r="K3" s="1218">
        <v>21.790821961800834</v>
      </c>
      <c r="L3" s="1218">
        <v>4.7548413836596568</v>
      </c>
      <c r="M3" s="1218">
        <v>0.14469177749836432</v>
      </c>
      <c r="N3" s="1218">
        <v>4982.1526427032813</v>
      </c>
      <c r="O3" s="1218">
        <v>3828.830062842359</v>
      </c>
      <c r="P3" s="644">
        <f>'Quality ROM'!M38</f>
        <v>0</v>
      </c>
      <c r="Q3" s="644">
        <f>IF($P3=0,0,'Quality ROM'!J3)</f>
        <v>0</v>
      </c>
      <c r="R3" s="644">
        <f>IF($P3=0,0,'Quality ROM'!K3)</f>
        <v>0</v>
      </c>
      <c r="S3" s="644">
        <f>IF($P3=0,0,'Quality ROM'!L3)</f>
        <v>0</v>
      </c>
      <c r="T3" s="644">
        <f>IF($P3=0,0,'Quality ROM'!M3)</f>
        <v>0</v>
      </c>
      <c r="U3" s="644">
        <f>IF($P3=0,0,'Quality ROM'!N3)</f>
        <v>0</v>
      </c>
      <c r="V3" s="644">
        <f>IF($P3=0,0,'Quality ROM'!O3)</f>
        <v>0</v>
      </c>
      <c r="W3" s="1132">
        <f>Actual!F$112</f>
        <v>0</v>
      </c>
      <c r="X3" s="1144">
        <f>IF($W3=0,0,'Quality ROM'!Q3)</f>
        <v>0</v>
      </c>
      <c r="Y3" s="1144">
        <f>IF($W3=0,0,'Quality ROM'!R3)</f>
        <v>0</v>
      </c>
      <c r="Z3" s="1144">
        <f>IF($W3=0,0,'Quality ROM'!S3)</f>
        <v>0</v>
      </c>
      <c r="AA3" s="1144">
        <f>IF($W3=0,0,'Quality ROM'!T3)</f>
        <v>0</v>
      </c>
      <c r="AB3" s="1144">
        <f>IF($W3=0,0,'Quality ROM'!U3)</f>
        <v>0</v>
      </c>
      <c r="AC3" s="1144">
        <f>IF($W3=0,0,'Quality ROM'!V3)</f>
        <v>0</v>
      </c>
      <c r="AD3" s="644">
        <f>AR3+AY3+AK3-Y38</f>
        <v>48838.493441999999</v>
      </c>
      <c r="AE3" s="644">
        <f t="shared" ref="AE3:AJ3" si="1">IFERROR(((($AR3*AS3)+($AY3*AZ3)+($AK3*AL3))/SUM($AR3,$AY3,$AK3)),0)</f>
        <v>39.897904220516921</v>
      </c>
      <c r="AF3" s="644">
        <f t="shared" si="1"/>
        <v>22.279372681202894</v>
      </c>
      <c r="AG3" s="644">
        <f t="shared" si="1"/>
        <v>6.8193908890769395</v>
      </c>
      <c r="AH3" s="644">
        <f t="shared" si="1"/>
        <v>0.1792773148906143</v>
      </c>
      <c r="AI3" s="644">
        <f t="shared" si="1"/>
        <v>4777.7131932103202</v>
      </c>
      <c r="AJ3" s="644">
        <f t="shared" si="1"/>
        <v>3745.5710401698334</v>
      </c>
      <c r="AK3" s="1218">
        <v>48838.493441999999</v>
      </c>
      <c r="AL3" s="1218">
        <v>39.897904220516921</v>
      </c>
      <c r="AM3" s="1218">
        <v>22.279372681202894</v>
      </c>
      <c r="AN3" s="1218">
        <v>6.8193908890769395</v>
      </c>
      <c r="AO3" s="1218">
        <v>0.1792773148906143</v>
      </c>
      <c r="AP3" s="1218">
        <v>4777.7131932103202</v>
      </c>
      <c r="AQ3" s="1218">
        <v>3745.5710401698334</v>
      </c>
      <c r="AR3" s="644">
        <f>'Quality ROM'!O38+'Quality ROM'!P38</f>
        <v>0</v>
      </c>
      <c r="AS3" s="644">
        <f>IF($AR3=0,0,'Quality ROM'!AZ3)</f>
        <v>0</v>
      </c>
      <c r="AT3" s="644">
        <f>IF($AR3=0,0,'Quality ROM'!BA3)</f>
        <v>0</v>
      </c>
      <c r="AU3" s="644">
        <f>IF($AR3=0,0,'Quality ROM'!BB3)</f>
        <v>0</v>
      </c>
      <c r="AV3" s="644">
        <f>IF($AR3=0,0,'Quality ROM'!BC3)</f>
        <v>0</v>
      </c>
      <c r="AW3" s="644">
        <f>IF($AR3=0,0,'Quality ROM'!BD3)</f>
        <v>0</v>
      </c>
      <c r="AX3" s="644">
        <f>IF($AR3=0,0,'Quality ROM'!BE3)</f>
        <v>0</v>
      </c>
      <c r="AY3" s="1132">
        <f>Actual!F$113</f>
        <v>0</v>
      </c>
      <c r="AZ3" s="1144">
        <f>IF($AY3=0,0,'Quality ROM'!BG3)</f>
        <v>0</v>
      </c>
      <c r="BA3" s="1144">
        <f>IF($AY3=0,0,'Quality ROM'!BH3)</f>
        <v>0</v>
      </c>
      <c r="BB3" s="1144">
        <f>IF($AY3=0,0,'Quality ROM'!BI3)</f>
        <v>0</v>
      </c>
      <c r="BC3" s="1144">
        <f>IF($AY3=0,0,'Quality ROM'!BJ3)</f>
        <v>0</v>
      </c>
      <c r="BD3" s="1144">
        <f>IF($AY3=0,0,'Quality ROM'!BK3)</f>
        <v>0</v>
      </c>
      <c r="BE3" s="1144">
        <f>IF($AY3=0,0,'Quality ROM'!BL3)</f>
        <v>0</v>
      </c>
      <c r="BF3" s="644">
        <f>BT3+CA3+BM3+CH3-AF38+CO3</f>
        <v>0</v>
      </c>
      <c r="BG3" s="644">
        <f t="shared" ref="BG3:BL3" si="2">IFERROR(((($BT3*BU3)+($CA3*CB3)+($BM3*BN3)+($CH3*CI3))/SUM($BT3,$CA3,$BM3,$CH3)),0)</f>
        <v>0</v>
      </c>
      <c r="BH3" s="644">
        <f t="shared" si="2"/>
        <v>0</v>
      </c>
      <c r="BI3" s="644">
        <f t="shared" si="2"/>
        <v>0</v>
      </c>
      <c r="BJ3" s="644">
        <f t="shared" si="2"/>
        <v>0</v>
      </c>
      <c r="BK3" s="644">
        <f t="shared" si="2"/>
        <v>0</v>
      </c>
      <c r="BL3" s="644">
        <f t="shared" si="2"/>
        <v>0</v>
      </c>
      <c r="BM3" s="1177">
        <v>0</v>
      </c>
      <c r="BN3" s="1177">
        <v>37.441849004521707</v>
      </c>
      <c r="BO3" s="1177">
        <v>20.586135318380567</v>
      </c>
      <c r="BP3" s="1177">
        <v>13.486623955668028</v>
      </c>
      <c r="BQ3" s="1177">
        <v>0.16811309934426127</v>
      </c>
      <c r="BR3" s="1177">
        <v>4428.157731765019</v>
      </c>
      <c r="BS3" s="1177">
        <v>3487.7984341045726</v>
      </c>
      <c r="BT3" s="644">
        <f>'Quality ROM'!S38</f>
        <v>0</v>
      </c>
      <c r="BU3" s="644">
        <f>IF(BT3=0,0,'Quality ROM'!CP3)</f>
        <v>0</v>
      </c>
      <c r="BV3" s="644">
        <f>IF(BU3=0,0,'Quality ROM'!CQ3)</f>
        <v>0</v>
      </c>
      <c r="BW3" s="644">
        <f>IF(BV3=0,0,'Quality ROM'!CR3)</f>
        <v>0</v>
      </c>
      <c r="BX3" s="644">
        <f>IF(BW3=0,0,'Quality ROM'!CS3)</f>
        <v>0</v>
      </c>
      <c r="BY3" s="644">
        <f>IF(BX3=0,0,'Quality ROM'!CT3)</f>
        <v>0</v>
      </c>
      <c r="BZ3" s="644">
        <f>IF(BY3=0,0,'Quality ROM'!CU3)</f>
        <v>0</v>
      </c>
      <c r="CA3" s="1132">
        <f>Actual!F$111</f>
        <v>0</v>
      </c>
      <c r="CB3" s="1144">
        <f>IF(CA3=0,0,'Quality ROM'!AL3)</f>
        <v>0</v>
      </c>
      <c r="CC3" s="1144">
        <f>IF(CB3=0,0,'Quality ROM'!AM3)</f>
        <v>0</v>
      </c>
      <c r="CD3" s="1144">
        <f>IF(CC3=0,0,'Quality ROM'!AN3)</f>
        <v>0</v>
      </c>
      <c r="CE3" s="1144">
        <f>IF(CD3=0,0,'Quality ROM'!AO3)</f>
        <v>0</v>
      </c>
      <c r="CF3" s="1144">
        <f>IF(CE3=0,0,'Quality ROM'!AP3)</f>
        <v>0</v>
      </c>
      <c r="CG3" s="1144">
        <f>IF(CF3=0,0,'Quality ROM'!AQ3)</f>
        <v>0</v>
      </c>
      <c r="CH3" s="644">
        <f>'Quality ROM'!T38</f>
        <v>0</v>
      </c>
      <c r="CI3" s="644">
        <f>IF(CH3=0,0,'Quality ROM'!DJ3)</f>
        <v>0</v>
      </c>
      <c r="CJ3" s="644">
        <f>IF(CI3=0,0,'Quality ROM'!DK3)</f>
        <v>0</v>
      </c>
      <c r="CK3" s="644">
        <f>IF(CJ3=0,0,'Quality ROM'!DL3)</f>
        <v>0</v>
      </c>
      <c r="CL3" s="644">
        <f>IF(CK3=0,0,'Quality ROM'!DM3)</f>
        <v>0</v>
      </c>
      <c r="CM3" s="644">
        <f>IF(CL3=0,0,'Quality ROM'!DN3)</f>
        <v>0</v>
      </c>
      <c r="CN3" s="644">
        <f>IF(CM3=0,0,'Quality ROM'!DO3)</f>
        <v>0</v>
      </c>
      <c r="CO3" s="644">
        <f>'Quality ROM'!N38</f>
        <v>0</v>
      </c>
      <c r="CP3" s="1177">
        <v>39.770000000000003</v>
      </c>
      <c r="CQ3" s="1177">
        <v>22.66</v>
      </c>
      <c r="CR3" s="1177">
        <v>14.18</v>
      </c>
      <c r="CS3" s="1177">
        <v>0.16</v>
      </c>
      <c r="CT3" s="1177">
        <v>4517</v>
      </c>
      <c r="CU3" s="1177">
        <v>3517.6998965606408</v>
      </c>
    </row>
    <row r="4" spans="1:99" ht="15">
      <c r="A4" s="1046" t="str">
        <f>'Equipment '!A7</f>
        <v>02-Sep-26</v>
      </c>
      <c r="B4" s="644">
        <f t="shared" ref="B4:B33" si="3">P4+W4+I4-T39</f>
        <v>4653.6216640000002</v>
      </c>
      <c r="C4" s="644">
        <f t="shared" ref="C4:C33" si="4">IFERROR(((($P4*Q4)+($W4*X4)+($I4*J4))/SUM($I4,$P4,$W4)),0)</f>
        <v>39.897629611647439</v>
      </c>
      <c r="D4" s="644">
        <f t="shared" ref="D4:D33" si="5">IFERROR(((($P4*R4)+($W4*Y4)+($I4*K4))/SUM($I4,$P4,$W4)),0)</f>
        <v>21.790821961800834</v>
      </c>
      <c r="E4" s="644">
        <f t="shared" ref="E4:E33" si="6">IFERROR(((($P4*S4)+($W4*Z4)+($I4*L4))/SUM($I4,$P4,$W4)),0)</f>
        <v>4.7548413836596568</v>
      </c>
      <c r="F4" s="644">
        <f t="shared" ref="F4:F33" si="7">IFERROR(((($P4*T4)+($W4*AA4)+($I4*M4))/SUM($I4,$P4,$W4)),0)</f>
        <v>0.14469177749836432</v>
      </c>
      <c r="G4" s="644">
        <f t="shared" ref="G4:G33" si="8">IFERROR(((($P4*U4)+($W4*AB4)+($I4*N4))/SUM($I4,$P4,$W4)),0)</f>
        <v>4982.1526427032813</v>
      </c>
      <c r="H4" s="644">
        <f t="shared" ref="H4:H33" si="9">IFERROR(((($P4*V4)+($W4*AC4)+($I4*O4))/SUM($I4,$P4,$W4)),0)</f>
        <v>3828.830062842359</v>
      </c>
      <c r="I4" s="644">
        <f>B3</f>
        <v>4653.6216640000002</v>
      </c>
      <c r="J4" s="644">
        <f t="shared" ref="J4:O4" si="10">C3</f>
        <v>39.897629611647439</v>
      </c>
      <c r="K4" s="644">
        <f t="shared" si="10"/>
        <v>21.790821961800834</v>
      </c>
      <c r="L4" s="644">
        <f t="shared" si="10"/>
        <v>4.7548413836596568</v>
      </c>
      <c r="M4" s="644">
        <f t="shared" si="10"/>
        <v>0.14469177749836432</v>
      </c>
      <c r="N4" s="644">
        <f t="shared" si="10"/>
        <v>4982.1526427032813</v>
      </c>
      <c r="O4" s="644">
        <f t="shared" si="10"/>
        <v>3828.830062842359</v>
      </c>
      <c r="P4" s="644">
        <f>'Quality ROM'!M39</f>
        <v>0</v>
      </c>
      <c r="Q4" s="644">
        <f>IF($P4=0,0,'Quality ROM'!J4)</f>
        <v>0</v>
      </c>
      <c r="R4" s="644">
        <f>IF($P4=0,0,'Quality ROM'!K4)</f>
        <v>0</v>
      </c>
      <c r="S4" s="644">
        <f>IF($P4=0,0,'Quality ROM'!L4)</f>
        <v>0</v>
      </c>
      <c r="T4" s="644">
        <f>IF($P4=0,0,'Quality ROM'!M4)</f>
        <v>0</v>
      </c>
      <c r="U4" s="644">
        <f>IF($P4=0,0,'Quality ROM'!N4)</f>
        <v>0</v>
      </c>
      <c r="V4" s="644">
        <f>IF($P4=0,0,'Quality ROM'!O4)</f>
        <v>0</v>
      </c>
      <c r="W4" s="1132">
        <f>Actual!G$112</f>
        <v>0</v>
      </c>
      <c r="X4" s="1144">
        <f>IF($W4=0,0,'Quality ROM'!Q4)</f>
        <v>0</v>
      </c>
      <c r="Y4" s="1144">
        <f>IF($W4=0,0,'Quality ROM'!R4)</f>
        <v>0</v>
      </c>
      <c r="Z4" s="1144">
        <f>IF($W4=0,0,'Quality ROM'!S4)</f>
        <v>0</v>
      </c>
      <c r="AA4" s="1144">
        <f>IF($W4=0,0,'Quality ROM'!T4)</f>
        <v>0</v>
      </c>
      <c r="AB4" s="1144">
        <f>IF($W4=0,0,'Quality ROM'!U4)</f>
        <v>0</v>
      </c>
      <c r="AC4" s="1144">
        <f>IF($W4=0,0,'Quality ROM'!V4)</f>
        <v>0</v>
      </c>
      <c r="AD4" s="644">
        <f t="shared" ref="AD4:AD33" si="11">AR4+AY4+AK4-Y39</f>
        <v>48838.493441999999</v>
      </c>
      <c r="AE4" s="644">
        <f t="shared" ref="AE4:AE33" si="12">IFERROR(((($AR4*AS4)+($AY4*AZ4)+($AK4*AL4))/SUM($AR4,$AY4,$AK4)),0)</f>
        <v>39.897904220516921</v>
      </c>
      <c r="AF4" s="644">
        <f t="shared" ref="AF4:AF33" si="13">IFERROR(((($AR4*AT4)+($AY4*BA4)+($AK4*AM4))/SUM($AR4,$AY4,$AK4)),0)</f>
        <v>22.279372681202894</v>
      </c>
      <c r="AG4" s="644">
        <f t="shared" ref="AG4:AG33" si="14">IFERROR(((($AR4*AU4)+($AY4*BB4)+($AK4*AN4))/SUM($AR4,$AY4,$AK4)),0)</f>
        <v>6.8193908890769395</v>
      </c>
      <c r="AH4" s="644">
        <f t="shared" ref="AH4:AH33" si="15">IFERROR(((($AR4*AV4)+($AY4*BC4)+($AK4*AO4))/SUM($AR4,$AY4,$AK4)),0)</f>
        <v>0.1792773148906143</v>
      </c>
      <c r="AI4" s="644">
        <f t="shared" ref="AI4:AI33" si="16">IFERROR(((($AR4*AW4)+($AY4*BD4)+($AK4*AP4))/SUM($AR4,$AY4,$AK4)),0)</f>
        <v>4777.7131932103202</v>
      </c>
      <c r="AJ4" s="644">
        <f t="shared" ref="AJ4:AJ33" si="17">IFERROR(((($AR4*AX4)+($AY4*BE4)+($AK4*AQ4))/SUM($AR4,$AY4,$AK4)),0)</f>
        <v>3745.5710401698334</v>
      </c>
      <c r="AK4" s="644">
        <f>AD3</f>
        <v>48838.493441999999</v>
      </c>
      <c r="AL4" s="644">
        <f t="shared" ref="AL4" si="18">AE3</f>
        <v>39.897904220516921</v>
      </c>
      <c r="AM4" s="644">
        <f t="shared" ref="AM4" si="19">AF3</f>
        <v>22.279372681202894</v>
      </c>
      <c r="AN4" s="644">
        <f t="shared" ref="AN4" si="20">AG3</f>
        <v>6.8193908890769395</v>
      </c>
      <c r="AO4" s="644">
        <f t="shared" ref="AO4" si="21">AH3</f>
        <v>0.1792773148906143</v>
      </c>
      <c r="AP4" s="644">
        <f t="shared" ref="AP4" si="22">AI3</f>
        <v>4777.7131932103202</v>
      </c>
      <c r="AQ4" s="644">
        <f t="shared" ref="AQ4" si="23">AJ3</f>
        <v>3745.5710401698334</v>
      </c>
      <c r="AR4" s="644">
        <f>'Quality ROM'!O39+'Quality ROM'!P39</f>
        <v>0</v>
      </c>
      <c r="AS4" s="644">
        <f>IF($AR4=0,0,'Quality ROM'!AZ4)</f>
        <v>0</v>
      </c>
      <c r="AT4" s="644">
        <f>IF($AR4=0,0,'Quality ROM'!BA4)</f>
        <v>0</v>
      </c>
      <c r="AU4" s="644">
        <f>IF($AR4=0,0,'Quality ROM'!BB4)</f>
        <v>0</v>
      </c>
      <c r="AV4" s="644">
        <f>IF($AR4=0,0,'Quality ROM'!BC4)</f>
        <v>0</v>
      </c>
      <c r="AW4" s="644">
        <f>IF($AR4=0,0,'Quality ROM'!BD4)</f>
        <v>0</v>
      </c>
      <c r="AX4" s="644">
        <f>IF($AR4=0,0,'Quality ROM'!BE4)</f>
        <v>0</v>
      </c>
      <c r="AY4" s="1132">
        <f>Actual!G$113</f>
        <v>0</v>
      </c>
      <c r="AZ4" s="1144">
        <f>IF($AY4=0,0,'Quality ROM'!BG4)</f>
        <v>0</v>
      </c>
      <c r="BA4" s="1144">
        <f>IF($AY4=0,0,'Quality ROM'!BH4)</f>
        <v>0</v>
      </c>
      <c r="BB4" s="1144">
        <f>IF($AY4=0,0,'Quality ROM'!BI4)</f>
        <v>0</v>
      </c>
      <c r="BC4" s="1144">
        <f>IF($AY4=0,0,'Quality ROM'!BJ4)</f>
        <v>0</v>
      </c>
      <c r="BD4" s="1144">
        <f>IF($AY4=0,0,'Quality ROM'!BK4)</f>
        <v>0</v>
      </c>
      <c r="BE4" s="1144">
        <f>IF($AY4=0,0,'Quality ROM'!BL4)</f>
        <v>0</v>
      </c>
      <c r="BF4" s="644">
        <f>BM4+BT4+CA4+CH4-AF39</f>
        <v>0</v>
      </c>
      <c r="BG4" s="644">
        <f>IFERROR(((($BT4*BU4)+($CA4*CB4)+($BM4*BN4)+($CH4*CI4))/SUM($BT4,$CA4,$BM4,$CH4)),0)</f>
        <v>0</v>
      </c>
      <c r="BH4" s="644">
        <f t="shared" ref="BH4:BH33" si="24">IFERROR(((($BT4*BV4)+($CA4*CC4)+($BM4*BO4)+($CH4*CJ4))/SUM($BT4,$CA4,$BM4,$CH4)),0)</f>
        <v>0</v>
      </c>
      <c r="BI4" s="644">
        <f t="shared" ref="BI4:BI33" si="25">IFERROR(((($BT4*BW4)+($CA4*CD4)+($BM4*BP4)+($CH4*CK4))/SUM($BT4,$CA4,$BM4,$CH4)),0)</f>
        <v>0</v>
      </c>
      <c r="BJ4" s="644">
        <f t="shared" ref="BJ4:BJ33" si="26">IFERROR(((($BT4*BX4)+($CA4*CE4)+($BM4*BQ4)+($CH4*CL4))/SUM($BT4,$CA4,$BM4,$CH4)),0)</f>
        <v>0</v>
      </c>
      <c r="BK4" s="644">
        <f t="shared" ref="BK4:BK33" si="27">IFERROR(((($BT4*BY4)+($CA4*CF4)+($BM4*BR4)+($CH4*CM4))/SUM($BT4,$CA4,$BM4,$CH4)),0)</f>
        <v>0</v>
      </c>
      <c r="BL4" s="644">
        <f t="shared" ref="BL4:BL33" si="28">IFERROR(((($BT4*BZ4)+($CA4*CG4)+($BM4*BS4)+($CH4*CN4))/SUM($BT4,$CA4,$BM4,$CH4)),0)</f>
        <v>0</v>
      </c>
      <c r="BM4" s="644">
        <f>BF3</f>
        <v>0</v>
      </c>
      <c r="BN4" s="644">
        <f t="shared" ref="BN4:BN33" si="29">BG3</f>
        <v>0</v>
      </c>
      <c r="BO4" s="644">
        <f t="shared" ref="BO4:BO33" si="30">BH3</f>
        <v>0</v>
      </c>
      <c r="BP4" s="644">
        <f t="shared" ref="BP4:BP33" si="31">BI3</f>
        <v>0</v>
      </c>
      <c r="BQ4" s="644">
        <f t="shared" ref="BQ4:BQ33" si="32">BJ3</f>
        <v>0</v>
      </c>
      <c r="BR4" s="644">
        <f t="shared" ref="BR4:BR33" si="33">BK3</f>
        <v>0</v>
      </c>
      <c r="BS4" s="644">
        <f t="shared" ref="BS4:BS33" si="34">BL3</f>
        <v>0</v>
      </c>
      <c r="BT4" s="644">
        <f>'Quality ROM'!S39</f>
        <v>0</v>
      </c>
      <c r="BU4" s="644">
        <f>IF(BT4=0,0,'Quality ROM'!CP4)</f>
        <v>0</v>
      </c>
      <c r="BV4" s="644">
        <f>IF(BU4=0,0,'Quality ROM'!CQ4)</f>
        <v>0</v>
      </c>
      <c r="BW4" s="644">
        <f>IF(BV4=0,0,'Quality ROM'!CR4)</f>
        <v>0</v>
      </c>
      <c r="BX4" s="644">
        <f>IF(BW4=0,0,'Quality ROM'!CS4)</f>
        <v>0</v>
      </c>
      <c r="BY4" s="644">
        <f>IF(BX4=0,0,'Quality ROM'!CT4)</f>
        <v>0</v>
      </c>
      <c r="BZ4" s="644">
        <f>IF(BY4=0,0,'Quality ROM'!CU4)</f>
        <v>0</v>
      </c>
      <c r="CA4" s="1132">
        <f>Actual!G$111</f>
        <v>0</v>
      </c>
      <c r="CB4" s="1144">
        <f>IF(CA4=0,0,'Quality ROM'!AL4)</f>
        <v>0</v>
      </c>
      <c r="CC4" s="1144">
        <f>IF(CB4=0,0,'Quality ROM'!AM4)</f>
        <v>0</v>
      </c>
      <c r="CD4" s="1144">
        <f>IF(CC4=0,0,'Quality ROM'!AN4)</f>
        <v>0</v>
      </c>
      <c r="CE4" s="1144">
        <f>IF(CD4=0,0,'Quality ROM'!AO4)</f>
        <v>0</v>
      </c>
      <c r="CF4" s="1144">
        <f>IF(CE4=0,0,'Quality ROM'!AP4)</f>
        <v>0</v>
      </c>
      <c r="CG4" s="1144">
        <f>IF(CF4=0,0,'Quality ROM'!AQ4)</f>
        <v>0</v>
      </c>
      <c r="CH4" s="644">
        <f>'Quality ROM'!T39</f>
        <v>0</v>
      </c>
      <c r="CI4" s="644">
        <f>IF(CH4=0,0,'Quality ROM'!DJ4)</f>
        <v>0</v>
      </c>
      <c r="CJ4" s="644">
        <f>IF(CI4=0,0,'Quality ROM'!DK4)</f>
        <v>0</v>
      </c>
      <c r="CK4" s="644">
        <f>IF(CJ4=0,0,'Quality ROM'!DL4)</f>
        <v>0</v>
      </c>
      <c r="CL4" s="644">
        <f>IF(CK4=0,0,'Quality ROM'!DM4)</f>
        <v>0</v>
      </c>
      <c r="CM4" s="644">
        <f>IF(CL4=0,0,'Quality ROM'!DN4)</f>
        <v>0</v>
      </c>
      <c r="CN4" s="644">
        <f>IF(CM4=0,0,'Quality ROM'!DO4)</f>
        <v>0</v>
      </c>
      <c r="CO4" s="644">
        <f>'Quality ROM'!N39</f>
        <v>0</v>
      </c>
      <c r="CP4" s="644">
        <f>IF(CO4=0,0,'Quality ROM'!CQ4)</f>
        <v>0</v>
      </c>
      <c r="CQ4" s="644">
        <f>IF(CP4=0,0,'Quality ROM'!DL4)</f>
        <v>0</v>
      </c>
      <c r="CR4" s="644">
        <f>IF(CQ4=0,0,'Quality ROM'!DM4)</f>
        <v>0</v>
      </c>
      <c r="CS4" s="644">
        <f>IF(CR4=0,0,'Quality ROM'!DN4)</f>
        <v>0</v>
      </c>
      <c r="CT4" s="644">
        <f>IF(CS4=0,0,'Quality ROM'!DO4)</f>
        <v>0</v>
      </c>
      <c r="CU4" s="644">
        <f>IF(CT4=0,0,'Quality ROM'!DP4)</f>
        <v>0</v>
      </c>
    </row>
    <row r="5" spans="1:99" ht="15">
      <c r="A5" s="1046" t="str">
        <f>'Equipment '!A8</f>
        <v>03-Sep-26</v>
      </c>
      <c r="B5" s="644">
        <f t="shared" si="3"/>
        <v>4653.6216640000002</v>
      </c>
      <c r="C5" s="644">
        <f t="shared" si="4"/>
        <v>39.897629611647439</v>
      </c>
      <c r="D5" s="644">
        <f t="shared" si="5"/>
        <v>21.790821961800834</v>
      </c>
      <c r="E5" s="644">
        <f t="shared" si="6"/>
        <v>4.7548413836596568</v>
      </c>
      <c r="F5" s="644">
        <f t="shared" si="7"/>
        <v>0.14469177749836432</v>
      </c>
      <c r="G5" s="644">
        <f t="shared" si="8"/>
        <v>4982.1526427032813</v>
      </c>
      <c r="H5" s="644">
        <f t="shared" si="9"/>
        <v>3828.830062842359</v>
      </c>
      <c r="I5" s="644">
        <f t="shared" ref="I5:I33" si="35">B4</f>
        <v>4653.6216640000002</v>
      </c>
      <c r="J5" s="644">
        <f t="shared" ref="J5:J33" si="36">C4</f>
        <v>39.897629611647439</v>
      </c>
      <c r="K5" s="644">
        <f t="shared" ref="K5:K33" si="37">D4</f>
        <v>21.790821961800834</v>
      </c>
      <c r="L5" s="644">
        <f t="shared" ref="L5:L33" si="38">E4</f>
        <v>4.7548413836596568</v>
      </c>
      <c r="M5" s="644">
        <f t="shared" ref="M5:M33" si="39">F4</f>
        <v>0.14469177749836432</v>
      </c>
      <c r="N5" s="644">
        <f t="shared" ref="N5:N33" si="40">G4</f>
        <v>4982.1526427032813</v>
      </c>
      <c r="O5" s="644">
        <f t="shared" ref="O5:O33" si="41">H4</f>
        <v>3828.830062842359</v>
      </c>
      <c r="P5" s="644">
        <f>'Quality ROM'!M40</f>
        <v>0</v>
      </c>
      <c r="Q5" s="644">
        <f>IF($P5=0,0,'Quality ROM'!J5)</f>
        <v>0</v>
      </c>
      <c r="R5" s="644">
        <f>IF($P5=0,0,'Quality ROM'!K5)</f>
        <v>0</v>
      </c>
      <c r="S5" s="644">
        <f>IF($P5=0,0,'Quality ROM'!L5)</f>
        <v>0</v>
      </c>
      <c r="T5" s="644">
        <f>IF($P5=0,0,'Quality ROM'!M5)</f>
        <v>0</v>
      </c>
      <c r="U5" s="644">
        <f>IF($P5=0,0,'Quality ROM'!N5)</f>
        <v>0</v>
      </c>
      <c r="V5" s="644">
        <f>IF($P5=0,0,'Quality ROM'!O5)</f>
        <v>0</v>
      </c>
      <c r="W5" s="1132">
        <f>Actual!H$112</f>
        <v>0</v>
      </c>
      <c r="X5" s="1144">
        <f>IF($W5=0,0,'Quality ROM'!Q5)</f>
        <v>0</v>
      </c>
      <c r="Y5" s="1144">
        <f>IF($W5=0,0,'Quality ROM'!R5)</f>
        <v>0</v>
      </c>
      <c r="Z5" s="1144">
        <f>IF($W5=0,0,'Quality ROM'!S5)</f>
        <v>0</v>
      </c>
      <c r="AA5" s="1144">
        <f>IF($W5=0,0,'Quality ROM'!T5)</f>
        <v>0</v>
      </c>
      <c r="AB5" s="1144">
        <f>IF($W5=0,0,'Quality ROM'!U5)</f>
        <v>0</v>
      </c>
      <c r="AC5" s="1144">
        <f>IF($W5=0,0,'Quality ROM'!V5)</f>
        <v>0</v>
      </c>
      <c r="AD5" s="644">
        <f t="shared" si="11"/>
        <v>48838.493441999999</v>
      </c>
      <c r="AE5" s="644">
        <f t="shared" si="12"/>
        <v>39.897904220516921</v>
      </c>
      <c r="AF5" s="644">
        <f t="shared" si="13"/>
        <v>22.279372681202894</v>
      </c>
      <c r="AG5" s="644">
        <f t="shared" si="14"/>
        <v>6.8193908890769395</v>
      </c>
      <c r="AH5" s="644">
        <f t="shared" si="15"/>
        <v>0.1792773148906143</v>
      </c>
      <c r="AI5" s="644">
        <f t="shared" si="16"/>
        <v>4777.7131932103202</v>
      </c>
      <c r="AJ5" s="644">
        <f t="shared" si="17"/>
        <v>3745.5710401698334</v>
      </c>
      <c r="AK5" s="644">
        <f t="shared" ref="AK5:AK33" si="42">AD4</f>
        <v>48838.493441999999</v>
      </c>
      <c r="AL5" s="644">
        <f t="shared" ref="AL5:AL33" si="43">AE4</f>
        <v>39.897904220516921</v>
      </c>
      <c r="AM5" s="644">
        <f t="shared" ref="AM5:AM33" si="44">AF4</f>
        <v>22.279372681202894</v>
      </c>
      <c r="AN5" s="644">
        <f t="shared" ref="AN5:AN33" si="45">AG4</f>
        <v>6.8193908890769395</v>
      </c>
      <c r="AO5" s="644">
        <f t="shared" ref="AO5:AO33" si="46">AH4</f>
        <v>0.1792773148906143</v>
      </c>
      <c r="AP5" s="644">
        <f t="shared" ref="AP5:AP33" si="47">AI4</f>
        <v>4777.7131932103202</v>
      </c>
      <c r="AQ5" s="644">
        <f t="shared" ref="AQ5:AQ33" si="48">AJ4</f>
        <v>3745.5710401698334</v>
      </c>
      <c r="AR5" s="644">
        <f>'Quality ROM'!O40+'Quality ROM'!P40</f>
        <v>0</v>
      </c>
      <c r="AS5" s="644">
        <f>IF($AR5=0,0,'Quality ROM'!AZ5)</f>
        <v>0</v>
      </c>
      <c r="AT5" s="644">
        <f>IF($AR5=0,0,'Quality ROM'!BA5)</f>
        <v>0</v>
      </c>
      <c r="AU5" s="644">
        <f>IF($AR5=0,0,'Quality ROM'!BB5)</f>
        <v>0</v>
      </c>
      <c r="AV5" s="644">
        <f>IF($AR5=0,0,'Quality ROM'!BC5)</f>
        <v>0</v>
      </c>
      <c r="AW5" s="644">
        <f>IF($AR5=0,0,'Quality ROM'!BD5)</f>
        <v>0</v>
      </c>
      <c r="AX5" s="644">
        <f>IF($AR5=0,0,'Quality ROM'!BE5)</f>
        <v>0</v>
      </c>
      <c r="AY5" s="1132">
        <f>Actual!H$113</f>
        <v>0</v>
      </c>
      <c r="AZ5" s="1144">
        <f>IF($AY5=0,0,'Quality ROM'!BG5)</f>
        <v>0</v>
      </c>
      <c r="BA5" s="1144">
        <f>IF($AY5=0,0,'Quality ROM'!BH5)</f>
        <v>0</v>
      </c>
      <c r="BB5" s="1144">
        <f>IF($AY5=0,0,'Quality ROM'!BI5)</f>
        <v>0</v>
      </c>
      <c r="BC5" s="1144">
        <f>IF($AY5=0,0,'Quality ROM'!BJ5)</f>
        <v>0</v>
      </c>
      <c r="BD5" s="1144">
        <f>IF($AY5=0,0,'Quality ROM'!BK5)</f>
        <v>0</v>
      </c>
      <c r="BE5" s="1144">
        <f>IF($AY5=0,0,'Quality ROM'!BL5)</f>
        <v>0</v>
      </c>
      <c r="BF5" s="644">
        <f>BT5+CA5+BM5+CH5-AF40</f>
        <v>0</v>
      </c>
      <c r="BG5" s="644">
        <f t="shared" ref="BG5:BG33" si="49">IFERROR(((($BT5*BU5)+($CA5*CB5)+($BM5*BN5)+($CH5*CI5))/SUM($BT5,$CA5,$BM5,$CH5)),0)</f>
        <v>0</v>
      </c>
      <c r="BH5" s="644">
        <f t="shared" si="24"/>
        <v>0</v>
      </c>
      <c r="BI5" s="644">
        <f t="shared" si="25"/>
        <v>0</v>
      </c>
      <c r="BJ5" s="644">
        <f t="shared" si="26"/>
        <v>0</v>
      </c>
      <c r="BK5" s="644">
        <f t="shared" si="27"/>
        <v>0</v>
      </c>
      <c r="BL5" s="644">
        <f t="shared" si="28"/>
        <v>0</v>
      </c>
      <c r="BM5" s="644">
        <f t="shared" ref="BM5:BM33" si="50">BF4</f>
        <v>0</v>
      </c>
      <c r="BN5" s="644">
        <f>BG4</f>
        <v>0</v>
      </c>
      <c r="BO5" s="644">
        <f t="shared" si="30"/>
        <v>0</v>
      </c>
      <c r="BP5" s="644">
        <f t="shared" si="31"/>
        <v>0</v>
      </c>
      <c r="BQ5" s="644">
        <f t="shared" si="32"/>
        <v>0</v>
      </c>
      <c r="BR5" s="644">
        <f t="shared" si="33"/>
        <v>0</v>
      </c>
      <c r="BS5" s="644">
        <f t="shared" si="34"/>
        <v>0</v>
      </c>
      <c r="BT5" s="644">
        <f>'Quality ROM'!S40</f>
        <v>0</v>
      </c>
      <c r="BU5" s="644">
        <f>IF(BT5=0,0,'Quality ROM'!CP5)</f>
        <v>0</v>
      </c>
      <c r="BV5" s="644">
        <f>IF(BU5=0,0,'Quality ROM'!CQ5)</f>
        <v>0</v>
      </c>
      <c r="BW5" s="644">
        <f>IF(BV5=0,0,'Quality ROM'!CR5)</f>
        <v>0</v>
      </c>
      <c r="BX5" s="644">
        <f>IF(BW5=0,0,'Quality ROM'!CS5)</f>
        <v>0</v>
      </c>
      <c r="BY5" s="644">
        <f>IF(BX5=0,0,'Quality ROM'!CT5)</f>
        <v>0</v>
      </c>
      <c r="BZ5" s="644">
        <f>IF(BY5=0,0,'Quality ROM'!CU5)</f>
        <v>0</v>
      </c>
      <c r="CA5" s="1132">
        <f>Actual!H$111</f>
        <v>0</v>
      </c>
      <c r="CB5" s="1144">
        <f>IF(CA5=0,0,'Quality ROM'!AL5)</f>
        <v>0</v>
      </c>
      <c r="CC5" s="1144">
        <f>IF(CB5=0,0,'Quality ROM'!AM5)</f>
        <v>0</v>
      </c>
      <c r="CD5" s="1144">
        <f>IF(CC5=0,0,'Quality ROM'!AN5)</f>
        <v>0</v>
      </c>
      <c r="CE5" s="1144">
        <f>IF(CD5=0,0,'Quality ROM'!AO5)</f>
        <v>0</v>
      </c>
      <c r="CF5" s="1144">
        <f>IF(CE5=0,0,'Quality ROM'!AP5)</f>
        <v>0</v>
      </c>
      <c r="CG5" s="1144">
        <f>IF(CF5=0,0,'Quality ROM'!AQ5)</f>
        <v>0</v>
      </c>
      <c r="CH5" s="644">
        <f>'Quality ROM'!T40</f>
        <v>0</v>
      </c>
      <c r="CI5" s="644">
        <f>IF(CH5=0,0,'Quality ROM'!DJ5)</f>
        <v>0</v>
      </c>
      <c r="CJ5" s="644">
        <f>IF(CI5=0,0,'Quality ROM'!DK5)</f>
        <v>0</v>
      </c>
      <c r="CK5" s="644">
        <f>IF(CJ5=0,0,'Quality ROM'!DL5)</f>
        <v>0</v>
      </c>
      <c r="CL5" s="644">
        <f>IF(CK5=0,0,'Quality ROM'!DM5)</f>
        <v>0</v>
      </c>
      <c r="CM5" s="644">
        <f>IF(CL5=0,0,'Quality ROM'!DN5)</f>
        <v>0</v>
      </c>
      <c r="CN5" s="644">
        <f>IF(CM5=0,0,'Quality ROM'!DO5)</f>
        <v>0</v>
      </c>
      <c r="CO5" s="644">
        <f>'Quality ROM'!N40</f>
        <v>0</v>
      </c>
      <c r="CP5" s="644">
        <f>IF(CO5=0,0,'Quality ROM'!CQ5)</f>
        <v>0</v>
      </c>
      <c r="CQ5" s="644">
        <f>IF(CP5=0,0,'Quality ROM'!DL5)</f>
        <v>0</v>
      </c>
      <c r="CR5" s="644">
        <f>IF(CQ5=0,0,'Quality ROM'!DM5)</f>
        <v>0</v>
      </c>
      <c r="CS5" s="644">
        <f>IF(CR5=0,0,'Quality ROM'!DN5)</f>
        <v>0</v>
      </c>
      <c r="CT5" s="644">
        <f>IF(CS5=0,0,'Quality ROM'!DO5)</f>
        <v>0</v>
      </c>
      <c r="CU5" s="644">
        <f>IF(CT5=0,0,'Quality ROM'!DP5)</f>
        <v>0</v>
      </c>
    </row>
    <row r="6" spans="1:99" ht="15">
      <c r="A6" s="1046" t="str">
        <f>'Equipment '!A9</f>
        <v>04-Sep-26</v>
      </c>
      <c r="B6" s="644">
        <f t="shared" si="3"/>
        <v>4653.6216640000002</v>
      </c>
      <c r="C6" s="644">
        <f t="shared" si="4"/>
        <v>39.897629611647439</v>
      </c>
      <c r="D6" s="644">
        <f t="shared" si="5"/>
        <v>21.790821961800834</v>
      </c>
      <c r="E6" s="644">
        <f t="shared" si="6"/>
        <v>4.7548413836596568</v>
      </c>
      <c r="F6" s="644">
        <f t="shared" si="7"/>
        <v>0.14469177749836432</v>
      </c>
      <c r="G6" s="644">
        <f t="shared" si="8"/>
        <v>4982.1526427032813</v>
      </c>
      <c r="H6" s="644">
        <f t="shared" si="9"/>
        <v>3828.830062842359</v>
      </c>
      <c r="I6" s="644">
        <f t="shared" si="35"/>
        <v>4653.6216640000002</v>
      </c>
      <c r="J6" s="644">
        <f t="shared" si="36"/>
        <v>39.897629611647439</v>
      </c>
      <c r="K6" s="644">
        <f t="shared" si="37"/>
        <v>21.790821961800834</v>
      </c>
      <c r="L6" s="644">
        <f t="shared" si="38"/>
        <v>4.7548413836596568</v>
      </c>
      <c r="M6" s="644">
        <f t="shared" si="39"/>
        <v>0.14469177749836432</v>
      </c>
      <c r="N6" s="644">
        <f t="shared" si="40"/>
        <v>4982.1526427032813</v>
      </c>
      <c r="O6" s="644">
        <f t="shared" si="41"/>
        <v>3828.830062842359</v>
      </c>
      <c r="P6" s="644">
        <f>'Quality ROM'!M41</f>
        <v>0</v>
      </c>
      <c r="Q6" s="644">
        <f>IF($P6=0,0,'Quality ROM'!J6)</f>
        <v>0</v>
      </c>
      <c r="R6" s="644">
        <f>IF($P6=0,0,'Quality ROM'!K6)</f>
        <v>0</v>
      </c>
      <c r="S6" s="644">
        <f>IF($P6=0,0,'Quality ROM'!L6)</f>
        <v>0</v>
      </c>
      <c r="T6" s="644">
        <f>IF($P6=0,0,'Quality ROM'!M6)</f>
        <v>0</v>
      </c>
      <c r="U6" s="644">
        <f>IF($P6=0,0,'Quality ROM'!N6)</f>
        <v>0</v>
      </c>
      <c r="V6" s="644">
        <f>IF($P6=0,0,'Quality ROM'!O6)</f>
        <v>0</v>
      </c>
      <c r="W6" s="1132">
        <f>Actual!I$112</f>
        <v>0</v>
      </c>
      <c r="X6" s="1144">
        <f>IF($W6=0,0,'Quality ROM'!Q6)</f>
        <v>0</v>
      </c>
      <c r="Y6" s="1144">
        <f>IF($W6=0,0,'Quality ROM'!R6)</f>
        <v>0</v>
      </c>
      <c r="Z6" s="1144">
        <f>IF($W6=0,0,'Quality ROM'!S6)</f>
        <v>0</v>
      </c>
      <c r="AA6" s="1144">
        <f>IF($W6=0,0,'Quality ROM'!T6)</f>
        <v>0</v>
      </c>
      <c r="AB6" s="1144">
        <f>IF($W6=0,0,'Quality ROM'!U6)</f>
        <v>0</v>
      </c>
      <c r="AC6" s="1144">
        <f>IF($W6=0,0,'Quality ROM'!V6)</f>
        <v>0</v>
      </c>
      <c r="AD6" s="644">
        <f t="shared" si="11"/>
        <v>48838.493441999999</v>
      </c>
      <c r="AE6" s="644">
        <f t="shared" si="12"/>
        <v>39.897904220516921</v>
      </c>
      <c r="AF6" s="644">
        <f t="shared" si="13"/>
        <v>22.279372681202894</v>
      </c>
      <c r="AG6" s="644">
        <f t="shared" si="14"/>
        <v>6.8193908890769395</v>
      </c>
      <c r="AH6" s="644">
        <f t="shared" si="15"/>
        <v>0.1792773148906143</v>
      </c>
      <c r="AI6" s="644">
        <f t="shared" si="16"/>
        <v>4777.7131932103202</v>
      </c>
      <c r="AJ6" s="644">
        <f t="shared" si="17"/>
        <v>3745.5710401698334</v>
      </c>
      <c r="AK6" s="644">
        <f t="shared" si="42"/>
        <v>48838.493441999999</v>
      </c>
      <c r="AL6" s="644">
        <f t="shared" si="43"/>
        <v>39.897904220516921</v>
      </c>
      <c r="AM6" s="644">
        <f t="shared" si="44"/>
        <v>22.279372681202894</v>
      </c>
      <c r="AN6" s="644">
        <f t="shared" si="45"/>
        <v>6.8193908890769395</v>
      </c>
      <c r="AO6" s="644">
        <f t="shared" si="46"/>
        <v>0.1792773148906143</v>
      </c>
      <c r="AP6" s="644">
        <f t="shared" si="47"/>
        <v>4777.7131932103202</v>
      </c>
      <c r="AQ6" s="644">
        <f t="shared" si="48"/>
        <v>3745.5710401698334</v>
      </c>
      <c r="AR6" s="644">
        <f>'Quality ROM'!O41+'Quality ROM'!P41</f>
        <v>0</v>
      </c>
      <c r="AS6" s="644">
        <f>IF($AR6=0,0,'Quality ROM'!AZ6)</f>
        <v>0</v>
      </c>
      <c r="AT6" s="644">
        <f>IF($AR6=0,0,'Quality ROM'!BA6)</f>
        <v>0</v>
      </c>
      <c r="AU6" s="644">
        <f>IF($AR6=0,0,'Quality ROM'!BB6)</f>
        <v>0</v>
      </c>
      <c r="AV6" s="644">
        <f>IF($AR6=0,0,'Quality ROM'!BC6)</f>
        <v>0</v>
      </c>
      <c r="AW6" s="644">
        <f>IF($AR6=0,0,'Quality ROM'!BD6)</f>
        <v>0</v>
      </c>
      <c r="AX6" s="644">
        <f>IF($AR6=0,0,'Quality ROM'!BE6)</f>
        <v>0</v>
      </c>
      <c r="AY6" s="1132">
        <f>Actual!I$113</f>
        <v>0</v>
      </c>
      <c r="AZ6" s="1144">
        <f>IF($AY6=0,0,'Quality ROM'!BG6)</f>
        <v>0</v>
      </c>
      <c r="BA6" s="1144">
        <f>IF($AY6=0,0,'Quality ROM'!BH6)</f>
        <v>0</v>
      </c>
      <c r="BB6" s="1144">
        <f>IF($AY6=0,0,'Quality ROM'!BI6)</f>
        <v>0</v>
      </c>
      <c r="BC6" s="1144">
        <f>IF($AY6=0,0,'Quality ROM'!BJ6)</f>
        <v>0</v>
      </c>
      <c r="BD6" s="1144">
        <f>IF($AY6=0,0,'Quality ROM'!BK6)</f>
        <v>0</v>
      </c>
      <c r="BE6" s="1144">
        <f>IF($AY6=0,0,'Quality ROM'!BL6)</f>
        <v>0</v>
      </c>
      <c r="BF6" s="644">
        <f>BT6+CA6+BM6+CH6-AF41</f>
        <v>0</v>
      </c>
      <c r="BG6" s="644">
        <f t="shared" si="49"/>
        <v>0</v>
      </c>
      <c r="BH6" s="644">
        <f t="shared" si="24"/>
        <v>0</v>
      </c>
      <c r="BI6" s="644">
        <f t="shared" si="25"/>
        <v>0</v>
      </c>
      <c r="BJ6" s="644">
        <f t="shared" si="26"/>
        <v>0</v>
      </c>
      <c r="BK6" s="644">
        <f t="shared" si="27"/>
        <v>0</v>
      </c>
      <c r="BL6" s="644">
        <f t="shared" si="28"/>
        <v>0</v>
      </c>
      <c r="BM6" s="644">
        <f t="shared" si="50"/>
        <v>0</v>
      </c>
      <c r="BN6" s="644">
        <f t="shared" si="29"/>
        <v>0</v>
      </c>
      <c r="BO6" s="644">
        <f t="shared" si="30"/>
        <v>0</v>
      </c>
      <c r="BP6" s="644">
        <f t="shared" si="31"/>
        <v>0</v>
      </c>
      <c r="BQ6" s="644">
        <f t="shared" si="32"/>
        <v>0</v>
      </c>
      <c r="BR6" s="644">
        <f t="shared" si="33"/>
        <v>0</v>
      </c>
      <c r="BS6" s="644">
        <f t="shared" si="34"/>
        <v>0</v>
      </c>
      <c r="BT6" s="644">
        <f>'Quality ROM'!S41</f>
        <v>0</v>
      </c>
      <c r="BU6" s="644">
        <f>IF(BT6=0,0,'Quality ROM'!CP6)</f>
        <v>0</v>
      </c>
      <c r="BV6" s="644">
        <f>IF(BU6=0,0,'Quality ROM'!CQ6)</f>
        <v>0</v>
      </c>
      <c r="BW6" s="644">
        <f>IF(BV6=0,0,'Quality ROM'!CR6)</f>
        <v>0</v>
      </c>
      <c r="BX6" s="644">
        <f>IF(BW6=0,0,'Quality ROM'!CS6)</f>
        <v>0</v>
      </c>
      <c r="BY6" s="644">
        <f>IF(BX6=0,0,'Quality ROM'!CT6)</f>
        <v>0</v>
      </c>
      <c r="BZ6" s="644">
        <f>IF(BY6=0,0,'Quality ROM'!CU6)</f>
        <v>0</v>
      </c>
      <c r="CA6" s="1132">
        <f>Actual!I$111</f>
        <v>0</v>
      </c>
      <c r="CB6" s="1144">
        <f>IF(CA6=0,0,'Quality ROM'!AL6)</f>
        <v>0</v>
      </c>
      <c r="CC6" s="1144">
        <f>IF(CB6=0,0,'Quality ROM'!AM6)</f>
        <v>0</v>
      </c>
      <c r="CD6" s="1144">
        <f>IF(CC6=0,0,'Quality ROM'!AN6)</f>
        <v>0</v>
      </c>
      <c r="CE6" s="1144">
        <f>IF(CD6=0,0,'Quality ROM'!AO6)</f>
        <v>0</v>
      </c>
      <c r="CF6" s="1144">
        <f>IF(CE6=0,0,'Quality ROM'!AP6)</f>
        <v>0</v>
      </c>
      <c r="CG6" s="1144">
        <f>IF(CF6=0,0,'Quality ROM'!AQ6)</f>
        <v>0</v>
      </c>
      <c r="CH6" s="644">
        <f>'Quality ROM'!T41</f>
        <v>0</v>
      </c>
      <c r="CI6" s="644">
        <f>IF(CH6=0,0,'Quality ROM'!DJ6)</f>
        <v>0</v>
      </c>
      <c r="CJ6" s="644">
        <f>IF(CI6=0,0,'Quality ROM'!DK6)</f>
        <v>0</v>
      </c>
      <c r="CK6" s="644">
        <f>IF(CJ6=0,0,'Quality ROM'!DL6)</f>
        <v>0</v>
      </c>
      <c r="CL6" s="644">
        <f>IF(CK6=0,0,'Quality ROM'!DM6)</f>
        <v>0</v>
      </c>
      <c r="CM6" s="644">
        <f>IF(CL6=0,0,'Quality ROM'!DN6)</f>
        <v>0</v>
      </c>
      <c r="CN6" s="644">
        <f>IF(CM6=0,0,'Quality ROM'!DO6)</f>
        <v>0</v>
      </c>
      <c r="CO6" s="644">
        <f>'Quality ROM'!N41</f>
        <v>0</v>
      </c>
      <c r="CP6" s="644">
        <f>IF(CO6=0,0,'Quality ROM'!CQ6)</f>
        <v>0</v>
      </c>
      <c r="CQ6" s="644">
        <f>IF(CP6=0,0,'Quality ROM'!DL6)</f>
        <v>0</v>
      </c>
      <c r="CR6" s="644">
        <f>IF(CQ6=0,0,'Quality ROM'!DM6)</f>
        <v>0</v>
      </c>
      <c r="CS6" s="644">
        <f>IF(CR6=0,0,'Quality ROM'!DN6)</f>
        <v>0</v>
      </c>
      <c r="CT6" s="644">
        <f>IF(CS6=0,0,'Quality ROM'!DO6)</f>
        <v>0</v>
      </c>
      <c r="CU6" s="644">
        <f>IF(CT6=0,0,'Quality ROM'!DP6)</f>
        <v>0</v>
      </c>
    </row>
    <row r="7" spans="1:99" ht="15">
      <c r="A7" s="1046" t="str">
        <f>'Equipment '!A10</f>
        <v>05-Sep-26</v>
      </c>
      <c r="B7" s="644">
        <f t="shared" si="3"/>
        <v>4653.6216640000002</v>
      </c>
      <c r="C7" s="644">
        <f t="shared" si="4"/>
        <v>39.897629611647439</v>
      </c>
      <c r="D7" s="644">
        <f t="shared" si="5"/>
        <v>21.790821961800834</v>
      </c>
      <c r="E7" s="644">
        <f t="shared" si="6"/>
        <v>4.7548413836596568</v>
      </c>
      <c r="F7" s="644">
        <f t="shared" si="7"/>
        <v>0.14469177749836432</v>
      </c>
      <c r="G7" s="644">
        <f t="shared" si="8"/>
        <v>4982.1526427032813</v>
      </c>
      <c r="H7" s="644">
        <f t="shared" si="9"/>
        <v>3828.830062842359</v>
      </c>
      <c r="I7" s="644">
        <f t="shared" si="35"/>
        <v>4653.6216640000002</v>
      </c>
      <c r="J7" s="644">
        <f t="shared" si="36"/>
        <v>39.897629611647439</v>
      </c>
      <c r="K7" s="644">
        <f t="shared" si="37"/>
        <v>21.790821961800834</v>
      </c>
      <c r="L7" s="644">
        <f t="shared" si="38"/>
        <v>4.7548413836596568</v>
      </c>
      <c r="M7" s="644">
        <f t="shared" si="39"/>
        <v>0.14469177749836432</v>
      </c>
      <c r="N7" s="644">
        <f t="shared" si="40"/>
        <v>4982.1526427032813</v>
      </c>
      <c r="O7" s="644">
        <f t="shared" si="41"/>
        <v>3828.830062842359</v>
      </c>
      <c r="P7" s="644">
        <f>'Quality ROM'!M42</f>
        <v>0</v>
      </c>
      <c r="Q7" s="644">
        <f>IF($P7=0,0,'Quality ROM'!J7)</f>
        <v>0</v>
      </c>
      <c r="R7" s="644">
        <f>IF($P7=0,0,'Quality ROM'!K7)</f>
        <v>0</v>
      </c>
      <c r="S7" s="644">
        <f>IF($P7=0,0,'Quality ROM'!L7)</f>
        <v>0</v>
      </c>
      <c r="T7" s="644">
        <f>IF($P7=0,0,'Quality ROM'!M7)</f>
        <v>0</v>
      </c>
      <c r="U7" s="644">
        <f>IF($P7=0,0,'Quality ROM'!N7)</f>
        <v>0</v>
      </c>
      <c r="V7" s="644">
        <f>IF($P7=0,0,'Quality ROM'!O7)</f>
        <v>0</v>
      </c>
      <c r="W7" s="1132">
        <f>Actual!J$112</f>
        <v>0</v>
      </c>
      <c r="X7" s="1144">
        <f>IF($W7=0,0,'Quality ROM'!Q7)</f>
        <v>0</v>
      </c>
      <c r="Y7" s="1144">
        <f>IF($W7=0,0,'Quality ROM'!R7)</f>
        <v>0</v>
      </c>
      <c r="Z7" s="1144">
        <f>IF($W7=0,0,'Quality ROM'!S7)</f>
        <v>0</v>
      </c>
      <c r="AA7" s="1144">
        <f>IF($W7=0,0,'Quality ROM'!T7)</f>
        <v>0</v>
      </c>
      <c r="AB7" s="1144">
        <f>IF($W7=0,0,'Quality ROM'!U7)</f>
        <v>0</v>
      </c>
      <c r="AC7" s="1144">
        <f>IF($W7=0,0,'Quality ROM'!V7)</f>
        <v>0</v>
      </c>
      <c r="AD7" s="644">
        <f t="shared" si="11"/>
        <v>48838.493441999999</v>
      </c>
      <c r="AE7" s="644">
        <f t="shared" si="12"/>
        <v>39.897904220516921</v>
      </c>
      <c r="AF7" s="644">
        <f t="shared" si="13"/>
        <v>22.279372681202894</v>
      </c>
      <c r="AG7" s="644">
        <f t="shared" si="14"/>
        <v>6.8193908890769395</v>
      </c>
      <c r="AH7" s="644">
        <f t="shared" si="15"/>
        <v>0.1792773148906143</v>
      </c>
      <c r="AI7" s="644">
        <f t="shared" si="16"/>
        <v>4777.7131932103202</v>
      </c>
      <c r="AJ7" s="644">
        <f t="shared" si="17"/>
        <v>3745.5710401698334</v>
      </c>
      <c r="AK7" s="644">
        <f t="shared" si="42"/>
        <v>48838.493441999999</v>
      </c>
      <c r="AL7" s="644">
        <f t="shared" si="43"/>
        <v>39.897904220516921</v>
      </c>
      <c r="AM7" s="644">
        <f t="shared" si="44"/>
        <v>22.279372681202894</v>
      </c>
      <c r="AN7" s="644">
        <f t="shared" si="45"/>
        <v>6.8193908890769395</v>
      </c>
      <c r="AO7" s="644">
        <f t="shared" si="46"/>
        <v>0.1792773148906143</v>
      </c>
      <c r="AP7" s="644">
        <f t="shared" si="47"/>
        <v>4777.7131932103202</v>
      </c>
      <c r="AQ7" s="644">
        <f t="shared" si="48"/>
        <v>3745.5710401698334</v>
      </c>
      <c r="AR7" s="644">
        <f>'Quality ROM'!O42+'Quality ROM'!P42</f>
        <v>0</v>
      </c>
      <c r="AS7" s="644">
        <f>IF($AR7=0,0,'Quality ROM'!AZ7)</f>
        <v>0</v>
      </c>
      <c r="AT7" s="644">
        <f>IF($AR7=0,0,'Quality ROM'!BA7)</f>
        <v>0</v>
      </c>
      <c r="AU7" s="644">
        <f>IF($AR7=0,0,'Quality ROM'!BB7)</f>
        <v>0</v>
      </c>
      <c r="AV7" s="644">
        <f>IF($AR7=0,0,'Quality ROM'!BC7)</f>
        <v>0</v>
      </c>
      <c r="AW7" s="644">
        <f>IF($AR7=0,0,'Quality ROM'!BD7)</f>
        <v>0</v>
      </c>
      <c r="AX7" s="644">
        <f>IF($AR7=0,0,'Quality ROM'!BE7)</f>
        <v>0</v>
      </c>
      <c r="AY7" s="1132">
        <f>Actual!J$113</f>
        <v>0</v>
      </c>
      <c r="AZ7" s="1144">
        <f>IF($AY7=0,0,'Quality ROM'!BG7)</f>
        <v>0</v>
      </c>
      <c r="BA7" s="1144">
        <f>IF($AY7=0,0,'Quality ROM'!BH7)</f>
        <v>0</v>
      </c>
      <c r="BB7" s="1144">
        <f>IF($AY7=0,0,'Quality ROM'!BI7)</f>
        <v>0</v>
      </c>
      <c r="BC7" s="1144">
        <f>IF($AY7=0,0,'Quality ROM'!BJ7)</f>
        <v>0</v>
      </c>
      <c r="BD7" s="1144">
        <f>IF($AY7=0,0,'Quality ROM'!BK7)</f>
        <v>0</v>
      </c>
      <c r="BE7" s="1144">
        <f>IF($AY7=0,0,'Quality ROM'!BL7)</f>
        <v>0</v>
      </c>
      <c r="BF7" s="644">
        <f>BT7+CA7+BM7+CH7-AF42</f>
        <v>0</v>
      </c>
      <c r="BG7" s="644">
        <f t="shared" si="49"/>
        <v>0</v>
      </c>
      <c r="BH7" s="644">
        <f t="shared" si="24"/>
        <v>0</v>
      </c>
      <c r="BI7" s="644">
        <f t="shared" si="25"/>
        <v>0</v>
      </c>
      <c r="BJ7" s="644">
        <f t="shared" si="26"/>
        <v>0</v>
      </c>
      <c r="BK7" s="644">
        <f t="shared" si="27"/>
        <v>0</v>
      </c>
      <c r="BL7" s="644">
        <f t="shared" si="28"/>
        <v>0</v>
      </c>
      <c r="BM7" s="644">
        <f t="shared" si="50"/>
        <v>0</v>
      </c>
      <c r="BN7" s="644">
        <f t="shared" si="29"/>
        <v>0</v>
      </c>
      <c r="BO7" s="644">
        <f t="shared" si="30"/>
        <v>0</v>
      </c>
      <c r="BP7" s="644">
        <f t="shared" si="31"/>
        <v>0</v>
      </c>
      <c r="BQ7" s="644">
        <f t="shared" si="32"/>
        <v>0</v>
      </c>
      <c r="BR7" s="644">
        <f t="shared" si="33"/>
        <v>0</v>
      </c>
      <c r="BS7" s="644">
        <f t="shared" si="34"/>
        <v>0</v>
      </c>
      <c r="BT7" s="644">
        <f>'Quality ROM'!S42</f>
        <v>0</v>
      </c>
      <c r="BU7" s="644">
        <f>IF(BT7=0,0,'Quality ROM'!CP7)</f>
        <v>0</v>
      </c>
      <c r="BV7" s="644">
        <f>IF(BU7=0,0,'Quality ROM'!CQ7)</f>
        <v>0</v>
      </c>
      <c r="BW7" s="644">
        <f>IF(BV7=0,0,'Quality ROM'!CR7)</f>
        <v>0</v>
      </c>
      <c r="BX7" s="644">
        <f>IF(BW7=0,0,'Quality ROM'!CS7)</f>
        <v>0</v>
      </c>
      <c r="BY7" s="644">
        <f>IF(BX7=0,0,'Quality ROM'!CT7)</f>
        <v>0</v>
      </c>
      <c r="BZ7" s="644">
        <f>IF(BY7=0,0,'Quality ROM'!CU7)</f>
        <v>0</v>
      </c>
      <c r="CA7" s="1132">
        <f>Actual!J$111</f>
        <v>0</v>
      </c>
      <c r="CB7" s="1144">
        <f>IF(CA7=0,0,'Quality ROM'!AL7)</f>
        <v>0</v>
      </c>
      <c r="CC7" s="1144">
        <f>IF(CB7=0,0,'Quality ROM'!AM7)</f>
        <v>0</v>
      </c>
      <c r="CD7" s="1144">
        <f>IF(CC7=0,0,'Quality ROM'!AN7)</f>
        <v>0</v>
      </c>
      <c r="CE7" s="1144">
        <f>IF(CD7=0,0,'Quality ROM'!AO7)</f>
        <v>0</v>
      </c>
      <c r="CF7" s="1144">
        <f>IF(CE7=0,0,'Quality ROM'!AP7)</f>
        <v>0</v>
      </c>
      <c r="CG7" s="1144">
        <f>IF(CF7=0,0,'Quality ROM'!AQ7)</f>
        <v>0</v>
      </c>
      <c r="CH7" s="644">
        <f>'Quality ROM'!T42</f>
        <v>0</v>
      </c>
      <c r="CI7" s="644">
        <f>IF(CH7=0,0,'Quality ROM'!DJ7)</f>
        <v>0</v>
      </c>
      <c r="CJ7" s="644">
        <f>IF(CI7=0,0,'Quality ROM'!DK7)</f>
        <v>0</v>
      </c>
      <c r="CK7" s="644">
        <f>IF(CJ7=0,0,'Quality ROM'!DL7)</f>
        <v>0</v>
      </c>
      <c r="CL7" s="644">
        <f>IF(CK7=0,0,'Quality ROM'!DM7)</f>
        <v>0</v>
      </c>
      <c r="CM7" s="644">
        <f>IF(CL7=0,0,'Quality ROM'!DN7)</f>
        <v>0</v>
      </c>
      <c r="CN7" s="644">
        <f>IF(CM7=0,0,'Quality ROM'!DO7)</f>
        <v>0</v>
      </c>
      <c r="CO7" s="644">
        <f>'Quality ROM'!N42</f>
        <v>0</v>
      </c>
      <c r="CP7" s="644">
        <f>IF(CO7=0,0,'Quality ROM'!CQ7)</f>
        <v>0</v>
      </c>
      <c r="CQ7" s="644">
        <f>IF(CP7=0,0,'Quality ROM'!DL7)</f>
        <v>0</v>
      </c>
      <c r="CR7" s="644">
        <f>IF(CQ7=0,0,'Quality ROM'!DM7)</f>
        <v>0</v>
      </c>
      <c r="CS7" s="644">
        <f>IF(CR7=0,0,'Quality ROM'!DN7)</f>
        <v>0</v>
      </c>
      <c r="CT7" s="644">
        <f>IF(CS7=0,0,'Quality ROM'!DO7)</f>
        <v>0</v>
      </c>
      <c r="CU7" s="644">
        <f>IF(CT7=0,0,'Quality ROM'!DP7)</f>
        <v>0</v>
      </c>
    </row>
    <row r="8" spans="1:99" ht="15">
      <c r="A8" s="1046" t="str">
        <f>'Equipment '!A11</f>
        <v>06-Sep-26</v>
      </c>
      <c r="B8" s="644">
        <f t="shared" si="3"/>
        <v>4653.6216640000002</v>
      </c>
      <c r="C8" s="644">
        <f t="shared" si="4"/>
        <v>39.897629611647439</v>
      </c>
      <c r="D8" s="644">
        <f t="shared" si="5"/>
        <v>21.790821961800834</v>
      </c>
      <c r="E8" s="644">
        <f t="shared" si="6"/>
        <v>4.7548413836596568</v>
      </c>
      <c r="F8" s="644">
        <f t="shared" si="7"/>
        <v>0.14469177749836432</v>
      </c>
      <c r="G8" s="644">
        <f t="shared" si="8"/>
        <v>4982.1526427032813</v>
      </c>
      <c r="H8" s="644">
        <f t="shared" si="9"/>
        <v>3828.830062842359</v>
      </c>
      <c r="I8" s="644">
        <f t="shared" si="35"/>
        <v>4653.6216640000002</v>
      </c>
      <c r="J8" s="644">
        <f t="shared" si="36"/>
        <v>39.897629611647439</v>
      </c>
      <c r="K8" s="644">
        <f t="shared" si="37"/>
        <v>21.790821961800834</v>
      </c>
      <c r="L8" s="644">
        <f t="shared" si="38"/>
        <v>4.7548413836596568</v>
      </c>
      <c r="M8" s="644">
        <f t="shared" si="39"/>
        <v>0.14469177749836432</v>
      </c>
      <c r="N8" s="644">
        <f t="shared" si="40"/>
        <v>4982.1526427032813</v>
      </c>
      <c r="O8" s="644">
        <f t="shared" si="41"/>
        <v>3828.830062842359</v>
      </c>
      <c r="P8" s="644">
        <f>'Quality ROM'!M43</f>
        <v>0</v>
      </c>
      <c r="Q8" s="644">
        <f>IF($P8=0,0,'Quality ROM'!J8)</f>
        <v>0</v>
      </c>
      <c r="R8" s="644">
        <f>IF($P8=0,0,'Quality ROM'!K8)</f>
        <v>0</v>
      </c>
      <c r="S8" s="644">
        <f>IF($P8=0,0,'Quality ROM'!L8)</f>
        <v>0</v>
      </c>
      <c r="T8" s="644">
        <f>IF($P8=0,0,'Quality ROM'!M8)</f>
        <v>0</v>
      </c>
      <c r="U8" s="644">
        <f>IF($P8=0,0,'Quality ROM'!N8)</f>
        <v>0</v>
      </c>
      <c r="V8" s="644">
        <f>IF($P8=0,0,'Quality ROM'!O8)</f>
        <v>0</v>
      </c>
      <c r="W8" s="1132">
        <f>Actual!K$112</f>
        <v>0</v>
      </c>
      <c r="X8" s="1144">
        <f>IF($W8=0,0,'Quality ROM'!Q8)</f>
        <v>0</v>
      </c>
      <c r="Y8" s="1144">
        <f>IF($W8=0,0,'Quality ROM'!R8)</f>
        <v>0</v>
      </c>
      <c r="Z8" s="1144">
        <f>IF($W8=0,0,'Quality ROM'!S8)</f>
        <v>0</v>
      </c>
      <c r="AA8" s="1144">
        <f>IF($W8=0,0,'Quality ROM'!T8)</f>
        <v>0</v>
      </c>
      <c r="AB8" s="1144">
        <f>IF($W8=0,0,'Quality ROM'!U8)</f>
        <v>0</v>
      </c>
      <c r="AC8" s="1144">
        <f>IF($W8=0,0,'Quality ROM'!V8)</f>
        <v>0</v>
      </c>
      <c r="AD8" s="644">
        <f t="shared" si="11"/>
        <v>48838.493441999999</v>
      </c>
      <c r="AE8" s="644">
        <f t="shared" si="12"/>
        <v>39.897904220516921</v>
      </c>
      <c r="AF8" s="644">
        <f t="shared" si="13"/>
        <v>22.279372681202894</v>
      </c>
      <c r="AG8" s="644">
        <f t="shared" si="14"/>
        <v>6.8193908890769395</v>
      </c>
      <c r="AH8" s="644">
        <f t="shared" si="15"/>
        <v>0.1792773148906143</v>
      </c>
      <c r="AI8" s="644">
        <f t="shared" si="16"/>
        <v>4777.7131932103202</v>
      </c>
      <c r="AJ8" s="644">
        <f t="shared" si="17"/>
        <v>3745.5710401698334</v>
      </c>
      <c r="AK8" s="644">
        <f t="shared" si="42"/>
        <v>48838.493441999999</v>
      </c>
      <c r="AL8" s="644">
        <f t="shared" si="43"/>
        <v>39.897904220516921</v>
      </c>
      <c r="AM8" s="644">
        <f t="shared" si="44"/>
        <v>22.279372681202894</v>
      </c>
      <c r="AN8" s="644">
        <f t="shared" si="45"/>
        <v>6.8193908890769395</v>
      </c>
      <c r="AO8" s="644">
        <f t="shared" si="46"/>
        <v>0.1792773148906143</v>
      </c>
      <c r="AP8" s="644">
        <f t="shared" si="47"/>
        <v>4777.7131932103202</v>
      </c>
      <c r="AQ8" s="644">
        <f t="shared" si="48"/>
        <v>3745.5710401698334</v>
      </c>
      <c r="AR8" s="644">
        <f>'Quality ROM'!O43+'Quality ROM'!P43</f>
        <v>0</v>
      </c>
      <c r="AS8" s="644">
        <f>IF($AR8=0,0,'Quality ROM'!AZ8)</f>
        <v>0</v>
      </c>
      <c r="AT8" s="644">
        <f>IF($AR8=0,0,'Quality ROM'!BA8)</f>
        <v>0</v>
      </c>
      <c r="AU8" s="644">
        <f>IF($AR8=0,0,'Quality ROM'!BB8)</f>
        <v>0</v>
      </c>
      <c r="AV8" s="644">
        <f>IF($AR8=0,0,'Quality ROM'!BC8)</f>
        <v>0</v>
      </c>
      <c r="AW8" s="644">
        <f>IF($AR8=0,0,'Quality ROM'!BD8)</f>
        <v>0</v>
      </c>
      <c r="AX8" s="644">
        <f>IF($AR8=0,0,'Quality ROM'!BE8)</f>
        <v>0</v>
      </c>
      <c r="AY8" s="1132">
        <f>Actual!K$113</f>
        <v>0</v>
      </c>
      <c r="AZ8" s="1144">
        <f>IF($AY8=0,0,'Quality ROM'!BG8)</f>
        <v>0</v>
      </c>
      <c r="BA8" s="1144">
        <f>IF($AY8=0,0,'Quality ROM'!BH8)</f>
        <v>0</v>
      </c>
      <c r="BB8" s="1144">
        <f>IF($AY8=0,0,'Quality ROM'!BI8)</f>
        <v>0</v>
      </c>
      <c r="BC8" s="1144">
        <f>IF($AY8=0,0,'Quality ROM'!BJ8)</f>
        <v>0</v>
      </c>
      <c r="BD8" s="1144">
        <f>IF($AY8=0,0,'Quality ROM'!BK8)</f>
        <v>0</v>
      </c>
      <c r="BE8" s="1144">
        <f>IF($AY8=0,0,'Quality ROM'!BL8)</f>
        <v>0</v>
      </c>
      <c r="BF8" s="644">
        <f>BT8+CA8+BM8+CH8-AF43</f>
        <v>0</v>
      </c>
      <c r="BG8" s="644">
        <f t="shared" si="49"/>
        <v>0</v>
      </c>
      <c r="BH8" s="644">
        <f t="shared" si="24"/>
        <v>0</v>
      </c>
      <c r="BI8" s="644">
        <f t="shared" si="25"/>
        <v>0</v>
      </c>
      <c r="BJ8" s="644">
        <f t="shared" si="26"/>
        <v>0</v>
      </c>
      <c r="BK8" s="644">
        <f t="shared" si="27"/>
        <v>0</v>
      </c>
      <c r="BL8" s="644">
        <f t="shared" si="28"/>
        <v>0</v>
      </c>
      <c r="BM8" s="644">
        <f t="shared" si="50"/>
        <v>0</v>
      </c>
      <c r="BN8" s="644">
        <f t="shared" si="29"/>
        <v>0</v>
      </c>
      <c r="BO8" s="644">
        <f t="shared" si="30"/>
        <v>0</v>
      </c>
      <c r="BP8" s="644">
        <f t="shared" si="31"/>
        <v>0</v>
      </c>
      <c r="BQ8" s="644">
        <f t="shared" si="32"/>
        <v>0</v>
      </c>
      <c r="BR8" s="644">
        <f t="shared" si="33"/>
        <v>0</v>
      </c>
      <c r="BS8" s="644">
        <f t="shared" si="34"/>
        <v>0</v>
      </c>
      <c r="BT8" s="644">
        <f>'Quality ROM'!S43</f>
        <v>0</v>
      </c>
      <c r="BU8" s="644">
        <f>IF(BT8=0,0,'Quality ROM'!CP8)</f>
        <v>0</v>
      </c>
      <c r="BV8" s="644">
        <f>IF(BU8=0,0,'Quality ROM'!CQ8)</f>
        <v>0</v>
      </c>
      <c r="BW8" s="644">
        <f>IF(BV8=0,0,'Quality ROM'!CR8)</f>
        <v>0</v>
      </c>
      <c r="BX8" s="644">
        <f>IF(BW8=0,0,'Quality ROM'!CS8)</f>
        <v>0</v>
      </c>
      <c r="BY8" s="644">
        <f>IF(BX8=0,0,'Quality ROM'!CT8)</f>
        <v>0</v>
      </c>
      <c r="BZ8" s="644">
        <f>IF(BY8=0,0,'Quality ROM'!CU8)</f>
        <v>0</v>
      </c>
      <c r="CA8" s="1132">
        <f>Actual!K$111</f>
        <v>0</v>
      </c>
      <c r="CB8" s="1144">
        <f>IF(CA8=0,0,'Quality ROM'!AL8)</f>
        <v>0</v>
      </c>
      <c r="CC8" s="1144">
        <f>IF(CB8=0,0,'Quality ROM'!AM8)</f>
        <v>0</v>
      </c>
      <c r="CD8" s="1144">
        <f>IF(CC8=0,0,'Quality ROM'!AN8)</f>
        <v>0</v>
      </c>
      <c r="CE8" s="1144">
        <f>IF(CD8=0,0,'Quality ROM'!AO8)</f>
        <v>0</v>
      </c>
      <c r="CF8" s="1144">
        <f>IF(CE8=0,0,'Quality ROM'!AP8)</f>
        <v>0</v>
      </c>
      <c r="CG8" s="1144">
        <f>IF(CF8=0,0,'Quality ROM'!AQ8)</f>
        <v>0</v>
      </c>
      <c r="CH8" s="644">
        <f>'Quality ROM'!T43</f>
        <v>0</v>
      </c>
      <c r="CI8" s="644">
        <f>IF(CH8=0,0,'Quality ROM'!DJ8)</f>
        <v>0</v>
      </c>
      <c r="CJ8" s="644">
        <f>IF(CI8=0,0,'Quality ROM'!DK8)</f>
        <v>0</v>
      </c>
      <c r="CK8" s="644">
        <f>IF(CJ8=0,0,'Quality ROM'!DL8)</f>
        <v>0</v>
      </c>
      <c r="CL8" s="644">
        <f>IF(CK8=0,0,'Quality ROM'!DM8)</f>
        <v>0</v>
      </c>
      <c r="CM8" s="644">
        <f>IF(CL8=0,0,'Quality ROM'!DN8)</f>
        <v>0</v>
      </c>
      <c r="CN8" s="644">
        <f>IF(CM8=0,0,'Quality ROM'!DO8)</f>
        <v>0</v>
      </c>
      <c r="CO8" s="644">
        <f>'Quality ROM'!N43</f>
        <v>0</v>
      </c>
      <c r="CP8" s="644">
        <f>IF(CO8=0,0,'Quality ROM'!CQ8)</f>
        <v>0</v>
      </c>
      <c r="CQ8" s="644">
        <f>IF(CP8=0,0,'Quality ROM'!DL8)</f>
        <v>0</v>
      </c>
      <c r="CR8" s="644">
        <f>IF(CQ8=0,0,'Quality ROM'!DM8)</f>
        <v>0</v>
      </c>
      <c r="CS8" s="644">
        <f>IF(CR8=0,0,'Quality ROM'!DN8)</f>
        <v>0</v>
      </c>
      <c r="CT8" s="644">
        <f>IF(CS8=0,0,'Quality ROM'!DO8)</f>
        <v>0</v>
      </c>
      <c r="CU8" s="644">
        <f>IF(CT8=0,0,'Quality ROM'!DP8)</f>
        <v>0</v>
      </c>
    </row>
    <row r="9" spans="1:99" ht="15">
      <c r="A9" s="1046" t="str">
        <f>'Equipment '!A12</f>
        <v>07-Sep-26</v>
      </c>
      <c r="B9" s="644">
        <f t="shared" si="3"/>
        <v>4653.6216640000002</v>
      </c>
      <c r="C9" s="644">
        <f t="shared" si="4"/>
        <v>39.897629611647439</v>
      </c>
      <c r="D9" s="644">
        <f t="shared" si="5"/>
        <v>21.790821961800834</v>
      </c>
      <c r="E9" s="644">
        <f t="shared" si="6"/>
        <v>4.7548413836596568</v>
      </c>
      <c r="F9" s="644">
        <f t="shared" si="7"/>
        <v>0.14469177749836432</v>
      </c>
      <c r="G9" s="644">
        <f t="shared" si="8"/>
        <v>4982.1526427032813</v>
      </c>
      <c r="H9" s="644">
        <f t="shared" si="9"/>
        <v>3828.830062842359</v>
      </c>
      <c r="I9" s="644">
        <f t="shared" si="35"/>
        <v>4653.6216640000002</v>
      </c>
      <c r="J9" s="644">
        <f t="shared" si="36"/>
        <v>39.897629611647439</v>
      </c>
      <c r="K9" s="644">
        <f t="shared" si="37"/>
        <v>21.790821961800834</v>
      </c>
      <c r="L9" s="644">
        <f t="shared" si="38"/>
        <v>4.7548413836596568</v>
      </c>
      <c r="M9" s="644">
        <f t="shared" si="39"/>
        <v>0.14469177749836432</v>
      </c>
      <c r="N9" s="644">
        <f t="shared" si="40"/>
        <v>4982.1526427032813</v>
      </c>
      <c r="O9" s="644">
        <f t="shared" si="41"/>
        <v>3828.830062842359</v>
      </c>
      <c r="P9" s="644">
        <f>'Quality ROM'!M44</f>
        <v>0</v>
      </c>
      <c r="Q9" s="644">
        <f>IF($P9=0,0,'Quality ROM'!J9)</f>
        <v>0</v>
      </c>
      <c r="R9" s="644">
        <f>IF($P9=0,0,'Quality ROM'!K9)</f>
        <v>0</v>
      </c>
      <c r="S9" s="644">
        <f>IF($P9=0,0,'Quality ROM'!L9)</f>
        <v>0</v>
      </c>
      <c r="T9" s="644">
        <f>IF($P9=0,0,'Quality ROM'!M9)</f>
        <v>0</v>
      </c>
      <c r="U9" s="644">
        <f>IF($P9=0,0,'Quality ROM'!N9)</f>
        <v>0</v>
      </c>
      <c r="V9" s="644">
        <f>IF($P9=0,0,'Quality ROM'!O9)</f>
        <v>0</v>
      </c>
      <c r="W9" s="1132">
        <f>Actual!L$112</f>
        <v>0</v>
      </c>
      <c r="X9" s="1144">
        <f>IF($W9=0,0,'Quality ROM'!Q9)</f>
        <v>0</v>
      </c>
      <c r="Y9" s="1144">
        <f>IF($W9=0,0,'Quality ROM'!R9)</f>
        <v>0</v>
      </c>
      <c r="Z9" s="1144">
        <f>IF($W9=0,0,'Quality ROM'!S9)</f>
        <v>0</v>
      </c>
      <c r="AA9" s="1144">
        <f>IF($W9=0,0,'Quality ROM'!T9)</f>
        <v>0</v>
      </c>
      <c r="AB9" s="1144">
        <f>IF($W9=0,0,'Quality ROM'!U9)</f>
        <v>0</v>
      </c>
      <c r="AC9" s="1144">
        <f>IF($W9=0,0,'Quality ROM'!V9)</f>
        <v>0</v>
      </c>
      <c r="AD9" s="644">
        <f t="shared" si="11"/>
        <v>48838.493441999999</v>
      </c>
      <c r="AE9" s="644">
        <f t="shared" si="12"/>
        <v>39.897904220516921</v>
      </c>
      <c r="AF9" s="644">
        <f t="shared" si="13"/>
        <v>22.279372681202894</v>
      </c>
      <c r="AG9" s="644">
        <f t="shared" si="14"/>
        <v>6.8193908890769395</v>
      </c>
      <c r="AH9" s="644">
        <f t="shared" si="15"/>
        <v>0.1792773148906143</v>
      </c>
      <c r="AI9" s="644">
        <f t="shared" si="16"/>
        <v>4777.7131932103202</v>
      </c>
      <c r="AJ9" s="644">
        <f t="shared" si="17"/>
        <v>3745.5710401698334</v>
      </c>
      <c r="AK9" s="644">
        <f t="shared" si="42"/>
        <v>48838.493441999999</v>
      </c>
      <c r="AL9" s="644">
        <f t="shared" si="43"/>
        <v>39.897904220516921</v>
      </c>
      <c r="AM9" s="644">
        <f t="shared" si="44"/>
        <v>22.279372681202894</v>
      </c>
      <c r="AN9" s="644">
        <f t="shared" si="45"/>
        <v>6.8193908890769395</v>
      </c>
      <c r="AO9" s="644">
        <f t="shared" si="46"/>
        <v>0.1792773148906143</v>
      </c>
      <c r="AP9" s="644">
        <f t="shared" si="47"/>
        <v>4777.7131932103202</v>
      </c>
      <c r="AQ9" s="644">
        <f t="shared" si="48"/>
        <v>3745.5710401698334</v>
      </c>
      <c r="AR9" s="644">
        <f>'Quality ROM'!O44+'Quality ROM'!P44</f>
        <v>0</v>
      </c>
      <c r="AS9" s="644">
        <f>IF($AR9=0,0,'Quality ROM'!AZ9)</f>
        <v>0</v>
      </c>
      <c r="AT9" s="644">
        <f>IF($AR9=0,0,'Quality ROM'!BA9)</f>
        <v>0</v>
      </c>
      <c r="AU9" s="644">
        <f>IF($AR9=0,0,'Quality ROM'!BB9)</f>
        <v>0</v>
      </c>
      <c r="AV9" s="644">
        <f>IF($AR9=0,0,'Quality ROM'!BC9)</f>
        <v>0</v>
      </c>
      <c r="AW9" s="644">
        <f>IF($AR9=0,0,'Quality ROM'!BD9)</f>
        <v>0</v>
      </c>
      <c r="AX9" s="644">
        <f>IF($AR9=0,0,'Quality ROM'!BE9)</f>
        <v>0</v>
      </c>
      <c r="AY9" s="1132">
        <f>Actual!L$113</f>
        <v>0</v>
      </c>
      <c r="AZ9" s="1144">
        <f>IF($AY9=0,0,'Quality ROM'!BG9)</f>
        <v>0</v>
      </c>
      <c r="BA9" s="1144">
        <f>IF($AY9=0,0,'Quality ROM'!BH9)</f>
        <v>0</v>
      </c>
      <c r="BB9" s="1144">
        <f>IF($AY9=0,0,'Quality ROM'!BI9)</f>
        <v>0</v>
      </c>
      <c r="BC9" s="1144">
        <f>IF($AY9=0,0,'Quality ROM'!BJ9)</f>
        <v>0</v>
      </c>
      <c r="BD9" s="1144">
        <f>IF($AY9=0,0,'Quality ROM'!BK9)</f>
        <v>0</v>
      </c>
      <c r="BE9" s="1144">
        <f>IF($AY9=0,0,'Quality ROM'!BL9)</f>
        <v>0</v>
      </c>
      <c r="BF9" s="644">
        <f>BT9+CA9+BM9+CH9-AF44</f>
        <v>0</v>
      </c>
      <c r="BG9" s="644">
        <f t="shared" si="49"/>
        <v>0</v>
      </c>
      <c r="BH9" s="644">
        <f t="shared" si="24"/>
        <v>0</v>
      </c>
      <c r="BI9" s="644">
        <f t="shared" si="25"/>
        <v>0</v>
      </c>
      <c r="BJ9" s="644">
        <f t="shared" si="26"/>
        <v>0</v>
      </c>
      <c r="BK9" s="644">
        <f t="shared" si="27"/>
        <v>0</v>
      </c>
      <c r="BL9" s="644">
        <f t="shared" si="28"/>
        <v>0</v>
      </c>
      <c r="BM9" s="644">
        <f t="shared" si="50"/>
        <v>0</v>
      </c>
      <c r="BN9" s="644">
        <f t="shared" si="29"/>
        <v>0</v>
      </c>
      <c r="BO9" s="644">
        <f t="shared" si="30"/>
        <v>0</v>
      </c>
      <c r="BP9" s="644">
        <f t="shared" si="31"/>
        <v>0</v>
      </c>
      <c r="BQ9" s="644">
        <f t="shared" si="32"/>
        <v>0</v>
      </c>
      <c r="BR9" s="644">
        <f t="shared" si="33"/>
        <v>0</v>
      </c>
      <c r="BS9" s="644">
        <f t="shared" si="34"/>
        <v>0</v>
      </c>
      <c r="BT9" s="644">
        <f>'Quality ROM'!S44</f>
        <v>0</v>
      </c>
      <c r="BU9" s="644">
        <f>IF(BT9=0,0,'Quality ROM'!CP9)</f>
        <v>0</v>
      </c>
      <c r="BV9" s="644">
        <f>IF(BU9=0,0,'Quality ROM'!CQ9)</f>
        <v>0</v>
      </c>
      <c r="BW9" s="644">
        <f>IF(BV9=0,0,'Quality ROM'!CR9)</f>
        <v>0</v>
      </c>
      <c r="BX9" s="644">
        <f>IF(BW9=0,0,'Quality ROM'!CS9)</f>
        <v>0</v>
      </c>
      <c r="BY9" s="644">
        <f>IF(BX9=0,0,'Quality ROM'!CT9)</f>
        <v>0</v>
      </c>
      <c r="BZ9" s="644">
        <f>IF(BY9=0,0,'Quality ROM'!CU9)</f>
        <v>0</v>
      </c>
      <c r="CA9" s="1132">
        <f>Actual!L$111</f>
        <v>0</v>
      </c>
      <c r="CB9" s="1144">
        <f>IF(CA9=0,0,'Quality ROM'!AL9)</f>
        <v>0</v>
      </c>
      <c r="CC9" s="1144">
        <f>IF(CB9=0,0,'Quality ROM'!AM9)</f>
        <v>0</v>
      </c>
      <c r="CD9" s="1144">
        <f>IF(CC9=0,0,'Quality ROM'!AN9)</f>
        <v>0</v>
      </c>
      <c r="CE9" s="1144">
        <f>IF(CD9=0,0,'Quality ROM'!AO9)</f>
        <v>0</v>
      </c>
      <c r="CF9" s="1144">
        <f>IF(CE9=0,0,'Quality ROM'!AP9)</f>
        <v>0</v>
      </c>
      <c r="CG9" s="1144">
        <f>IF(CF9=0,0,'Quality ROM'!AQ9)</f>
        <v>0</v>
      </c>
      <c r="CH9" s="644">
        <f>'Quality ROM'!T44</f>
        <v>0</v>
      </c>
      <c r="CI9" s="644">
        <f>IF(CH9=0,0,'Quality ROM'!DJ9)</f>
        <v>0</v>
      </c>
      <c r="CJ9" s="644">
        <f>IF(CI9=0,0,'Quality ROM'!DK9)</f>
        <v>0</v>
      </c>
      <c r="CK9" s="644">
        <f>IF(CJ9=0,0,'Quality ROM'!DL9)</f>
        <v>0</v>
      </c>
      <c r="CL9" s="644">
        <f>IF(CK9=0,0,'Quality ROM'!DM9)</f>
        <v>0</v>
      </c>
      <c r="CM9" s="644">
        <f>IF(CL9=0,0,'Quality ROM'!DN9)</f>
        <v>0</v>
      </c>
      <c r="CN9" s="644">
        <f>IF(CM9=0,0,'Quality ROM'!DO9)</f>
        <v>0</v>
      </c>
      <c r="CO9" s="644">
        <f>'Quality ROM'!N44</f>
        <v>0</v>
      </c>
      <c r="CP9" s="644">
        <f>IF(CO9=0,0,'Quality ROM'!CQ9)</f>
        <v>0</v>
      </c>
      <c r="CQ9" s="644">
        <f>IF(CP9=0,0,'Quality ROM'!DL9)</f>
        <v>0</v>
      </c>
      <c r="CR9" s="644">
        <f>IF(CQ9=0,0,'Quality ROM'!DM9)</f>
        <v>0</v>
      </c>
      <c r="CS9" s="644">
        <f>IF(CR9=0,0,'Quality ROM'!DN9)</f>
        <v>0</v>
      </c>
      <c r="CT9" s="644">
        <f>IF(CS9=0,0,'Quality ROM'!DO9)</f>
        <v>0</v>
      </c>
      <c r="CU9" s="644">
        <f>IF(CT9=0,0,'Quality ROM'!DP9)</f>
        <v>0</v>
      </c>
    </row>
    <row r="10" spans="1:99" ht="15">
      <c r="A10" s="1046" t="str">
        <f>'Equipment '!A13</f>
        <v>08-Sep-26</v>
      </c>
      <c r="B10" s="644">
        <f t="shared" si="3"/>
        <v>4653.6216640000002</v>
      </c>
      <c r="C10" s="644">
        <f t="shared" si="4"/>
        <v>39.897629611647439</v>
      </c>
      <c r="D10" s="644">
        <f t="shared" si="5"/>
        <v>21.790821961800834</v>
      </c>
      <c r="E10" s="644">
        <f t="shared" si="6"/>
        <v>4.7548413836596568</v>
      </c>
      <c r="F10" s="644">
        <f t="shared" si="7"/>
        <v>0.14469177749836432</v>
      </c>
      <c r="G10" s="644">
        <f t="shared" si="8"/>
        <v>4982.1526427032813</v>
      </c>
      <c r="H10" s="644">
        <f t="shared" si="9"/>
        <v>3828.830062842359</v>
      </c>
      <c r="I10" s="644">
        <f t="shared" si="35"/>
        <v>4653.6216640000002</v>
      </c>
      <c r="J10" s="644">
        <f t="shared" si="36"/>
        <v>39.897629611647439</v>
      </c>
      <c r="K10" s="644">
        <f t="shared" si="37"/>
        <v>21.790821961800834</v>
      </c>
      <c r="L10" s="644">
        <f t="shared" si="38"/>
        <v>4.7548413836596568</v>
      </c>
      <c r="M10" s="644">
        <f t="shared" si="39"/>
        <v>0.14469177749836432</v>
      </c>
      <c r="N10" s="644">
        <f t="shared" si="40"/>
        <v>4982.1526427032813</v>
      </c>
      <c r="O10" s="644">
        <f t="shared" si="41"/>
        <v>3828.830062842359</v>
      </c>
      <c r="P10" s="644">
        <f>'Quality ROM'!M45</f>
        <v>0</v>
      </c>
      <c r="Q10" s="644">
        <f>IF($P10=0,0,'Quality ROM'!J10)</f>
        <v>0</v>
      </c>
      <c r="R10" s="644">
        <f>IF($P10=0,0,'Quality ROM'!K10)</f>
        <v>0</v>
      </c>
      <c r="S10" s="644">
        <f>IF($P10=0,0,'Quality ROM'!L10)</f>
        <v>0</v>
      </c>
      <c r="T10" s="644">
        <f>IF($P10=0,0,'Quality ROM'!M10)</f>
        <v>0</v>
      </c>
      <c r="U10" s="644">
        <f>IF($P10=0,0,'Quality ROM'!N10)</f>
        <v>0</v>
      </c>
      <c r="V10" s="644">
        <f>IF($P10=0,0,'Quality ROM'!O10)</f>
        <v>0</v>
      </c>
      <c r="W10" s="1132">
        <f>Actual!M$112</f>
        <v>0</v>
      </c>
      <c r="X10" s="1144">
        <f>IF($W10=0,0,'Quality ROM'!Q10)</f>
        <v>0</v>
      </c>
      <c r="Y10" s="1144">
        <f>IF($W10=0,0,'Quality ROM'!R10)</f>
        <v>0</v>
      </c>
      <c r="Z10" s="1144">
        <f>IF($W10=0,0,'Quality ROM'!S10)</f>
        <v>0</v>
      </c>
      <c r="AA10" s="1144">
        <f>IF($W10=0,0,'Quality ROM'!T10)</f>
        <v>0</v>
      </c>
      <c r="AB10" s="1144">
        <f>IF($W10=0,0,'Quality ROM'!U10)</f>
        <v>0</v>
      </c>
      <c r="AC10" s="1144">
        <f>IF($W10=0,0,'Quality ROM'!V10)</f>
        <v>0</v>
      </c>
      <c r="AD10" s="644">
        <f t="shared" si="11"/>
        <v>48838.493441999999</v>
      </c>
      <c r="AE10" s="644">
        <f t="shared" si="12"/>
        <v>39.897904220516921</v>
      </c>
      <c r="AF10" s="644">
        <f t="shared" si="13"/>
        <v>22.279372681202894</v>
      </c>
      <c r="AG10" s="644">
        <f t="shared" si="14"/>
        <v>6.8193908890769395</v>
      </c>
      <c r="AH10" s="644">
        <f t="shared" si="15"/>
        <v>0.1792773148906143</v>
      </c>
      <c r="AI10" s="644">
        <f t="shared" si="16"/>
        <v>4777.7131932103202</v>
      </c>
      <c r="AJ10" s="644">
        <f t="shared" si="17"/>
        <v>3745.5710401698334</v>
      </c>
      <c r="AK10" s="644">
        <f t="shared" si="42"/>
        <v>48838.493441999999</v>
      </c>
      <c r="AL10" s="644">
        <f t="shared" si="43"/>
        <v>39.897904220516921</v>
      </c>
      <c r="AM10" s="644">
        <f t="shared" si="44"/>
        <v>22.279372681202894</v>
      </c>
      <c r="AN10" s="644">
        <f t="shared" si="45"/>
        <v>6.8193908890769395</v>
      </c>
      <c r="AO10" s="644">
        <f t="shared" si="46"/>
        <v>0.1792773148906143</v>
      </c>
      <c r="AP10" s="644">
        <f t="shared" si="47"/>
        <v>4777.7131932103202</v>
      </c>
      <c r="AQ10" s="644">
        <f t="shared" si="48"/>
        <v>3745.5710401698334</v>
      </c>
      <c r="AR10" s="644">
        <f>'Quality ROM'!O45+'Quality ROM'!P45</f>
        <v>0</v>
      </c>
      <c r="AS10" s="644">
        <f>IF($AR10=0,0,'Quality ROM'!AZ10)</f>
        <v>0</v>
      </c>
      <c r="AT10" s="644">
        <f>IF($AR10=0,0,'Quality ROM'!BA10)</f>
        <v>0</v>
      </c>
      <c r="AU10" s="644">
        <f>IF($AR10=0,0,'Quality ROM'!BB10)</f>
        <v>0</v>
      </c>
      <c r="AV10" s="644">
        <f>IF($AR10=0,0,'Quality ROM'!BC10)</f>
        <v>0</v>
      </c>
      <c r="AW10" s="644">
        <f>IF($AR10=0,0,'Quality ROM'!BD10)</f>
        <v>0</v>
      </c>
      <c r="AX10" s="644">
        <f>IF($AR10=0,0,'Quality ROM'!BE10)</f>
        <v>0</v>
      </c>
      <c r="AY10" s="1132">
        <f>Actual!M$113</f>
        <v>0</v>
      </c>
      <c r="AZ10" s="1144">
        <f>IF($AY10=0,0,'Quality ROM'!BG10)</f>
        <v>0</v>
      </c>
      <c r="BA10" s="1144">
        <f>IF($AY10=0,0,'Quality ROM'!BH10)</f>
        <v>0</v>
      </c>
      <c r="BB10" s="1144">
        <f>IF($AY10=0,0,'Quality ROM'!BI10)</f>
        <v>0</v>
      </c>
      <c r="BC10" s="1144">
        <f>IF($AY10=0,0,'Quality ROM'!BJ10)</f>
        <v>0</v>
      </c>
      <c r="BD10" s="1144">
        <f>IF($AY10=0,0,'Quality ROM'!BK10)</f>
        <v>0</v>
      </c>
      <c r="BE10" s="1144">
        <f>IF($AY10=0,0,'Quality ROM'!BL10)</f>
        <v>0</v>
      </c>
      <c r="BF10" s="644">
        <f t="shared" ref="BF10:BF32" si="51">BT10+CA10+BM10+CH10-AF45</f>
        <v>0</v>
      </c>
      <c r="BG10" s="644">
        <f t="shared" si="49"/>
        <v>0</v>
      </c>
      <c r="BH10" s="644">
        <f t="shared" si="24"/>
        <v>0</v>
      </c>
      <c r="BI10" s="644">
        <f t="shared" si="25"/>
        <v>0</v>
      </c>
      <c r="BJ10" s="644">
        <f t="shared" si="26"/>
        <v>0</v>
      </c>
      <c r="BK10" s="644">
        <f t="shared" si="27"/>
        <v>0</v>
      </c>
      <c r="BL10" s="644">
        <f t="shared" si="28"/>
        <v>0</v>
      </c>
      <c r="BM10" s="644">
        <f t="shared" si="50"/>
        <v>0</v>
      </c>
      <c r="BN10" s="644">
        <f t="shared" si="29"/>
        <v>0</v>
      </c>
      <c r="BO10" s="644">
        <f t="shared" si="30"/>
        <v>0</v>
      </c>
      <c r="BP10" s="644">
        <f t="shared" si="31"/>
        <v>0</v>
      </c>
      <c r="BQ10" s="644">
        <f t="shared" si="32"/>
        <v>0</v>
      </c>
      <c r="BR10" s="644">
        <f t="shared" si="33"/>
        <v>0</v>
      </c>
      <c r="BS10" s="644">
        <f t="shared" si="34"/>
        <v>0</v>
      </c>
      <c r="BT10" s="644">
        <f>'Quality ROM'!S45</f>
        <v>0</v>
      </c>
      <c r="BU10" s="644">
        <f>IF(BT10=0,0,'Quality ROM'!CP10)</f>
        <v>0</v>
      </c>
      <c r="BV10" s="644">
        <f>IF(BU10=0,0,'Quality ROM'!CQ10)</f>
        <v>0</v>
      </c>
      <c r="BW10" s="644">
        <f>IF(BV10=0,0,'Quality ROM'!CR10)</f>
        <v>0</v>
      </c>
      <c r="BX10" s="644">
        <f>IF(BW10=0,0,'Quality ROM'!CS10)</f>
        <v>0</v>
      </c>
      <c r="BY10" s="644">
        <f>IF(BX10=0,0,'Quality ROM'!CT10)</f>
        <v>0</v>
      </c>
      <c r="BZ10" s="644">
        <f>IF(BY10=0,0,'Quality ROM'!CU10)</f>
        <v>0</v>
      </c>
      <c r="CA10" s="1132">
        <f>Actual!M$111</f>
        <v>0</v>
      </c>
      <c r="CB10" s="1144">
        <f>IF(CA10=0,0,'Quality ROM'!AL10)</f>
        <v>0</v>
      </c>
      <c r="CC10" s="1144">
        <f>IF(CB10=0,0,'Quality ROM'!AM10)</f>
        <v>0</v>
      </c>
      <c r="CD10" s="1144">
        <f>IF(CC10=0,0,'Quality ROM'!AN10)</f>
        <v>0</v>
      </c>
      <c r="CE10" s="1144">
        <f>IF(CD10=0,0,'Quality ROM'!AO10)</f>
        <v>0</v>
      </c>
      <c r="CF10" s="1144">
        <f>IF(CE10=0,0,'Quality ROM'!AP10)</f>
        <v>0</v>
      </c>
      <c r="CG10" s="1144">
        <f>IF(CF10=0,0,'Quality ROM'!AQ10)</f>
        <v>0</v>
      </c>
      <c r="CH10" s="644">
        <f>'Quality ROM'!T45</f>
        <v>0</v>
      </c>
      <c r="CI10" s="644">
        <f>IF(CH10=0,0,'Quality ROM'!DJ10)</f>
        <v>0</v>
      </c>
      <c r="CJ10" s="644">
        <f>IF(CI10=0,0,'Quality ROM'!DK10)</f>
        <v>0</v>
      </c>
      <c r="CK10" s="644">
        <f>IF(CJ10=0,0,'Quality ROM'!DL10)</f>
        <v>0</v>
      </c>
      <c r="CL10" s="644">
        <f>IF(CK10=0,0,'Quality ROM'!DM10)</f>
        <v>0</v>
      </c>
      <c r="CM10" s="644">
        <f>IF(CL10=0,0,'Quality ROM'!DN10)</f>
        <v>0</v>
      </c>
      <c r="CN10" s="644">
        <f>IF(CM10=0,0,'Quality ROM'!DO10)</f>
        <v>0</v>
      </c>
      <c r="CO10" s="644">
        <f>'Quality ROM'!N45</f>
        <v>0</v>
      </c>
      <c r="CP10" s="644">
        <f>IF(CO10=0,0,'Quality ROM'!CQ10)</f>
        <v>0</v>
      </c>
      <c r="CQ10" s="644">
        <f>IF(CP10=0,0,'Quality ROM'!DL10)</f>
        <v>0</v>
      </c>
      <c r="CR10" s="644">
        <f>IF(CQ10=0,0,'Quality ROM'!DM10)</f>
        <v>0</v>
      </c>
      <c r="CS10" s="644">
        <f>IF(CR10=0,0,'Quality ROM'!DN10)</f>
        <v>0</v>
      </c>
      <c r="CT10" s="644">
        <f>IF(CS10=0,0,'Quality ROM'!DO10)</f>
        <v>0</v>
      </c>
      <c r="CU10" s="644">
        <f>IF(CT10=0,0,'Quality ROM'!DP10)</f>
        <v>0</v>
      </c>
    </row>
    <row r="11" spans="1:99" ht="15">
      <c r="A11" s="1046" t="str">
        <f>'Equipment '!A14</f>
        <v>09-Sep-26</v>
      </c>
      <c r="B11" s="644">
        <f t="shared" si="3"/>
        <v>4653.6216640000002</v>
      </c>
      <c r="C11" s="644">
        <f t="shared" si="4"/>
        <v>39.897629611647439</v>
      </c>
      <c r="D11" s="644">
        <f t="shared" si="5"/>
        <v>21.790821961800834</v>
      </c>
      <c r="E11" s="644">
        <f t="shared" si="6"/>
        <v>4.7548413836596568</v>
      </c>
      <c r="F11" s="644">
        <f t="shared" si="7"/>
        <v>0.14469177749836432</v>
      </c>
      <c r="G11" s="644">
        <f t="shared" si="8"/>
        <v>4982.1526427032813</v>
      </c>
      <c r="H11" s="644">
        <f t="shared" si="9"/>
        <v>3828.830062842359</v>
      </c>
      <c r="I11" s="644">
        <f t="shared" si="35"/>
        <v>4653.6216640000002</v>
      </c>
      <c r="J11" s="644">
        <f t="shared" si="36"/>
        <v>39.897629611647439</v>
      </c>
      <c r="K11" s="644">
        <f t="shared" si="37"/>
        <v>21.790821961800834</v>
      </c>
      <c r="L11" s="644">
        <f t="shared" si="38"/>
        <v>4.7548413836596568</v>
      </c>
      <c r="M11" s="644">
        <f t="shared" si="39"/>
        <v>0.14469177749836432</v>
      </c>
      <c r="N11" s="644">
        <f t="shared" si="40"/>
        <v>4982.1526427032813</v>
      </c>
      <c r="O11" s="644">
        <f t="shared" si="41"/>
        <v>3828.830062842359</v>
      </c>
      <c r="P11" s="644">
        <f>'Quality ROM'!M46</f>
        <v>0</v>
      </c>
      <c r="Q11" s="644">
        <f>IF($P11=0,0,'Quality ROM'!J11)</f>
        <v>0</v>
      </c>
      <c r="R11" s="644">
        <f>IF($P11=0,0,'Quality ROM'!K11)</f>
        <v>0</v>
      </c>
      <c r="S11" s="644">
        <f>IF($P11=0,0,'Quality ROM'!L11)</f>
        <v>0</v>
      </c>
      <c r="T11" s="644">
        <f>IF($P11=0,0,'Quality ROM'!M11)</f>
        <v>0</v>
      </c>
      <c r="U11" s="644">
        <f>IF($P11=0,0,'Quality ROM'!N11)</f>
        <v>0</v>
      </c>
      <c r="V11" s="644">
        <f>IF($P11=0,0,'Quality ROM'!O11)</f>
        <v>0</v>
      </c>
      <c r="W11" s="1132">
        <f>Actual!N$112</f>
        <v>0</v>
      </c>
      <c r="X11" s="1144">
        <f>IF($W11=0,0,'Quality ROM'!Q11)</f>
        <v>0</v>
      </c>
      <c r="Y11" s="1144">
        <f>IF($W11=0,0,'Quality ROM'!R11)</f>
        <v>0</v>
      </c>
      <c r="Z11" s="1144">
        <f>IF($W11=0,0,'Quality ROM'!S11)</f>
        <v>0</v>
      </c>
      <c r="AA11" s="1144">
        <f>IF($W11=0,0,'Quality ROM'!T11)</f>
        <v>0</v>
      </c>
      <c r="AB11" s="1144">
        <f>IF($W11=0,0,'Quality ROM'!U11)</f>
        <v>0</v>
      </c>
      <c r="AC11" s="1144">
        <f>IF($W11=0,0,'Quality ROM'!V11)</f>
        <v>0</v>
      </c>
      <c r="AD11" s="644">
        <f t="shared" si="11"/>
        <v>48838.493441999999</v>
      </c>
      <c r="AE11" s="644">
        <f t="shared" si="12"/>
        <v>39.897904220516921</v>
      </c>
      <c r="AF11" s="644">
        <f t="shared" si="13"/>
        <v>22.279372681202894</v>
      </c>
      <c r="AG11" s="644">
        <f t="shared" si="14"/>
        <v>6.8193908890769395</v>
      </c>
      <c r="AH11" s="644">
        <f t="shared" si="15"/>
        <v>0.1792773148906143</v>
      </c>
      <c r="AI11" s="644">
        <f t="shared" si="16"/>
        <v>4777.7131932103202</v>
      </c>
      <c r="AJ11" s="644">
        <f t="shared" si="17"/>
        <v>3745.5710401698334</v>
      </c>
      <c r="AK11" s="644">
        <f t="shared" si="42"/>
        <v>48838.493441999999</v>
      </c>
      <c r="AL11" s="644">
        <f t="shared" si="43"/>
        <v>39.897904220516921</v>
      </c>
      <c r="AM11" s="644">
        <f t="shared" si="44"/>
        <v>22.279372681202894</v>
      </c>
      <c r="AN11" s="644">
        <f t="shared" si="45"/>
        <v>6.8193908890769395</v>
      </c>
      <c r="AO11" s="644">
        <f t="shared" si="46"/>
        <v>0.1792773148906143</v>
      </c>
      <c r="AP11" s="644">
        <f t="shared" si="47"/>
        <v>4777.7131932103202</v>
      </c>
      <c r="AQ11" s="644">
        <f t="shared" si="48"/>
        <v>3745.5710401698334</v>
      </c>
      <c r="AR11" s="644">
        <f>'Quality ROM'!O46+'Quality ROM'!P46</f>
        <v>0</v>
      </c>
      <c r="AS11" s="644">
        <f>IF($AR11=0,0,'Quality ROM'!AZ11)</f>
        <v>0</v>
      </c>
      <c r="AT11" s="644">
        <f>IF($AR11=0,0,'Quality ROM'!BA11)</f>
        <v>0</v>
      </c>
      <c r="AU11" s="644">
        <f>IF($AR11=0,0,'Quality ROM'!BB11)</f>
        <v>0</v>
      </c>
      <c r="AV11" s="644">
        <f>IF($AR11=0,0,'Quality ROM'!BC11)</f>
        <v>0</v>
      </c>
      <c r="AW11" s="644">
        <f>IF($AR11=0,0,'Quality ROM'!BD11)</f>
        <v>0</v>
      </c>
      <c r="AX11" s="644">
        <f>IF($AR11=0,0,'Quality ROM'!BE11)</f>
        <v>0</v>
      </c>
      <c r="AY11" s="1132">
        <f>Actual!N$113</f>
        <v>0</v>
      </c>
      <c r="AZ11" s="1144">
        <f>IF($AY11=0,0,'Quality ROM'!BG11)</f>
        <v>0</v>
      </c>
      <c r="BA11" s="1144">
        <f>IF($AY11=0,0,'Quality ROM'!BH11)</f>
        <v>0</v>
      </c>
      <c r="BB11" s="1144">
        <f>IF($AY11=0,0,'Quality ROM'!BI11)</f>
        <v>0</v>
      </c>
      <c r="BC11" s="1144">
        <f>IF($AY11=0,0,'Quality ROM'!BJ11)</f>
        <v>0</v>
      </c>
      <c r="BD11" s="1144">
        <f>IF($AY11=0,0,'Quality ROM'!BK11)</f>
        <v>0</v>
      </c>
      <c r="BE11" s="1144">
        <f>IF($AY11=0,0,'Quality ROM'!BL11)</f>
        <v>0</v>
      </c>
      <c r="BF11" s="644">
        <f>BT11+CA11+BM11+CH11-AF46</f>
        <v>0</v>
      </c>
      <c r="BG11" s="644">
        <f t="shared" si="49"/>
        <v>0</v>
      </c>
      <c r="BH11" s="644">
        <f t="shared" si="24"/>
        <v>0</v>
      </c>
      <c r="BI11" s="644">
        <f t="shared" si="25"/>
        <v>0</v>
      </c>
      <c r="BJ11" s="644">
        <f t="shared" si="26"/>
        <v>0</v>
      </c>
      <c r="BK11" s="644">
        <f t="shared" si="27"/>
        <v>0</v>
      </c>
      <c r="BL11" s="644">
        <f t="shared" si="28"/>
        <v>0</v>
      </c>
      <c r="BM11" s="644">
        <f t="shared" si="50"/>
        <v>0</v>
      </c>
      <c r="BN11" s="644">
        <f t="shared" si="29"/>
        <v>0</v>
      </c>
      <c r="BO11" s="644">
        <f t="shared" si="30"/>
        <v>0</v>
      </c>
      <c r="BP11" s="644">
        <f t="shared" si="31"/>
        <v>0</v>
      </c>
      <c r="BQ11" s="644">
        <f t="shared" si="32"/>
        <v>0</v>
      </c>
      <c r="BR11" s="644">
        <f t="shared" si="33"/>
        <v>0</v>
      </c>
      <c r="BS11" s="644">
        <f t="shared" si="34"/>
        <v>0</v>
      </c>
      <c r="BT11" s="644">
        <f>'Quality ROM'!S46</f>
        <v>0</v>
      </c>
      <c r="BU11" s="644">
        <f>IF(BT11=0,0,'Quality ROM'!CP11)</f>
        <v>0</v>
      </c>
      <c r="BV11" s="644">
        <f>IF(BU11=0,0,'Quality ROM'!CQ11)</f>
        <v>0</v>
      </c>
      <c r="BW11" s="644">
        <f>IF(BV11=0,0,'Quality ROM'!CR11)</f>
        <v>0</v>
      </c>
      <c r="BX11" s="644">
        <f>IF(BW11=0,0,'Quality ROM'!CS11)</f>
        <v>0</v>
      </c>
      <c r="BY11" s="644">
        <f>IF(BX11=0,0,'Quality ROM'!CT11)</f>
        <v>0</v>
      </c>
      <c r="BZ11" s="644">
        <f>IF(BY11=0,0,'Quality ROM'!CU11)</f>
        <v>0</v>
      </c>
      <c r="CA11" s="1132">
        <f>Actual!N$111</f>
        <v>0</v>
      </c>
      <c r="CB11" s="1144">
        <f>IF(CA11=0,0,'Quality ROM'!AL11)</f>
        <v>0</v>
      </c>
      <c r="CC11" s="1144">
        <f>IF(CB11=0,0,'Quality ROM'!AM11)</f>
        <v>0</v>
      </c>
      <c r="CD11" s="1144">
        <f>IF(CC11=0,0,'Quality ROM'!AN11)</f>
        <v>0</v>
      </c>
      <c r="CE11" s="1144">
        <f>IF(CD11=0,0,'Quality ROM'!AO11)</f>
        <v>0</v>
      </c>
      <c r="CF11" s="1144">
        <f>IF(CE11=0,0,'Quality ROM'!AP11)</f>
        <v>0</v>
      </c>
      <c r="CG11" s="1144">
        <f>IF(CF11=0,0,'Quality ROM'!AQ11)</f>
        <v>0</v>
      </c>
      <c r="CH11" s="644">
        <f>'Quality ROM'!T46</f>
        <v>0</v>
      </c>
      <c r="CI11" s="644">
        <f>IF(CH11=0,0,'Quality ROM'!DJ11)</f>
        <v>0</v>
      </c>
      <c r="CJ11" s="644">
        <f>IF(CI11=0,0,'Quality ROM'!DK11)</f>
        <v>0</v>
      </c>
      <c r="CK11" s="644">
        <f>IF(CJ11=0,0,'Quality ROM'!DL11)</f>
        <v>0</v>
      </c>
      <c r="CL11" s="644">
        <f>IF(CK11=0,0,'Quality ROM'!DM11)</f>
        <v>0</v>
      </c>
      <c r="CM11" s="644">
        <f>IF(CL11=0,0,'Quality ROM'!DN11)</f>
        <v>0</v>
      </c>
      <c r="CN11" s="644">
        <f>IF(CM11=0,0,'Quality ROM'!DO11)</f>
        <v>0</v>
      </c>
      <c r="CO11" s="644">
        <f>'Quality ROM'!N46</f>
        <v>0</v>
      </c>
      <c r="CP11" s="644">
        <f>IF(CO11=0,0,'Quality ROM'!CQ11)</f>
        <v>0</v>
      </c>
      <c r="CQ11" s="644">
        <f>IF(CP11=0,0,'Quality ROM'!DL11)</f>
        <v>0</v>
      </c>
      <c r="CR11" s="644">
        <f>IF(CQ11=0,0,'Quality ROM'!DM11)</f>
        <v>0</v>
      </c>
      <c r="CS11" s="644">
        <f>IF(CR11=0,0,'Quality ROM'!DN11)</f>
        <v>0</v>
      </c>
      <c r="CT11" s="644">
        <f>IF(CS11=0,0,'Quality ROM'!DO11)</f>
        <v>0</v>
      </c>
      <c r="CU11" s="644">
        <f>IF(CT11=0,0,'Quality ROM'!DP11)</f>
        <v>0</v>
      </c>
    </row>
    <row r="12" spans="1:99" ht="15">
      <c r="A12" s="1046" t="str">
        <f>'Equipment '!A15</f>
        <v>10-Sep-26</v>
      </c>
      <c r="B12" s="644">
        <f t="shared" si="3"/>
        <v>4653.6216640000002</v>
      </c>
      <c r="C12" s="644">
        <f t="shared" si="4"/>
        <v>39.897629611647439</v>
      </c>
      <c r="D12" s="644">
        <f t="shared" si="5"/>
        <v>21.790821961800834</v>
      </c>
      <c r="E12" s="644">
        <f t="shared" si="6"/>
        <v>4.7548413836596568</v>
      </c>
      <c r="F12" s="644">
        <f t="shared" si="7"/>
        <v>0.14469177749836432</v>
      </c>
      <c r="G12" s="644">
        <f t="shared" si="8"/>
        <v>4982.1526427032813</v>
      </c>
      <c r="H12" s="644">
        <f t="shared" si="9"/>
        <v>3828.830062842359</v>
      </c>
      <c r="I12" s="644">
        <f t="shared" si="35"/>
        <v>4653.6216640000002</v>
      </c>
      <c r="J12" s="644">
        <f t="shared" si="36"/>
        <v>39.897629611647439</v>
      </c>
      <c r="K12" s="644">
        <f t="shared" si="37"/>
        <v>21.790821961800834</v>
      </c>
      <c r="L12" s="644">
        <f t="shared" si="38"/>
        <v>4.7548413836596568</v>
      </c>
      <c r="M12" s="644">
        <f t="shared" si="39"/>
        <v>0.14469177749836432</v>
      </c>
      <c r="N12" s="644">
        <f t="shared" si="40"/>
        <v>4982.1526427032813</v>
      </c>
      <c r="O12" s="644">
        <f t="shared" si="41"/>
        <v>3828.830062842359</v>
      </c>
      <c r="P12" s="644">
        <f>'Quality ROM'!M47</f>
        <v>0</v>
      </c>
      <c r="Q12" s="644">
        <f>IF($P12=0,0,'Quality ROM'!J12)</f>
        <v>0</v>
      </c>
      <c r="R12" s="644">
        <f>IF($P12=0,0,'Quality ROM'!K12)</f>
        <v>0</v>
      </c>
      <c r="S12" s="644">
        <f>IF($P12=0,0,'Quality ROM'!L12)</f>
        <v>0</v>
      </c>
      <c r="T12" s="644">
        <f>IF($P12=0,0,'Quality ROM'!M12)</f>
        <v>0</v>
      </c>
      <c r="U12" s="644">
        <f>IF($P12=0,0,'Quality ROM'!N12)</f>
        <v>0</v>
      </c>
      <c r="V12" s="644">
        <f>IF($P12=0,0,'Quality ROM'!O12)</f>
        <v>0</v>
      </c>
      <c r="W12" s="1132">
        <f>Actual!O$112</f>
        <v>0</v>
      </c>
      <c r="X12" s="1144">
        <f>IF($W12=0,0,'Quality ROM'!Q12)</f>
        <v>0</v>
      </c>
      <c r="Y12" s="1144">
        <f>IF($W12=0,0,'Quality ROM'!R12)</f>
        <v>0</v>
      </c>
      <c r="Z12" s="1144">
        <f>IF($W12=0,0,'Quality ROM'!S12)</f>
        <v>0</v>
      </c>
      <c r="AA12" s="1144">
        <f>IF($W12=0,0,'Quality ROM'!T12)</f>
        <v>0</v>
      </c>
      <c r="AB12" s="1144">
        <f>IF($W12=0,0,'Quality ROM'!U12)</f>
        <v>0</v>
      </c>
      <c r="AC12" s="1144">
        <f>IF($W12=0,0,'Quality ROM'!V12)</f>
        <v>0</v>
      </c>
      <c r="AD12" s="644">
        <f t="shared" si="11"/>
        <v>48838.493441999999</v>
      </c>
      <c r="AE12" s="644">
        <f t="shared" si="12"/>
        <v>39.897904220516921</v>
      </c>
      <c r="AF12" s="644">
        <f t="shared" si="13"/>
        <v>22.279372681202894</v>
      </c>
      <c r="AG12" s="644">
        <f t="shared" si="14"/>
        <v>6.8193908890769395</v>
      </c>
      <c r="AH12" s="644">
        <f t="shared" si="15"/>
        <v>0.1792773148906143</v>
      </c>
      <c r="AI12" s="644">
        <f t="shared" si="16"/>
        <v>4777.7131932103202</v>
      </c>
      <c r="AJ12" s="644">
        <f t="shared" si="17"/>
        <v>3745.5710401698334</v>
      </c>
      <c r="AK12" s="644">
        <f t="shared" si="42"/>
        <v>48838.493441999999</v>
      </c>
      <c r="AL12" s="644">
        <f t="shared" si="43"/>
        <v>39.897904220516921</v>
      </c>
      <c r="AM12" s="644">
        <f t="shared" si="44"/>
        <v>22.279372681202894</v>
      </c>
      <c r="AN12" s="644">
        <f t="shared" si="45"/>
        <v>6.8193908890769395</v>
      </c>
      <c r="AO12" s="644">
        <f t="shared" si="46"/>
        <v>0.1792773148906143</v>
      </c>
      <c r="AP12" s="644">
        <f t="shared" si="47"/>
        <v>4777.7131932103202</v>
      </c>
      <c r="AQ12" s="644">
        <f t="shared" si="48"/>
        <v>3745.5710401698334</v>
      </c>
      <c r="AR12" s="644">
        <f>'Quality ROM'!O47+'Quality ROM'!P47</f>
        <v>0</v>
      </c>
      <c r="AS12" s="644">
        <f>IF($AR12=0,0,'Quality ROM'!AZ12)</f>
        <v>0</v>
      </c>
      <c r="AT12" s="644">
        <f>IF($AR12=0,0,'Quality ROM'!BA12)</f>
        <v>0</v>
      </c>
      <c r="AU12" s="644">
        <f>IF($AR12=0,0,'Quality ROM'!BB12)</f>
        <v>0</v>
      </c>
      <c r="AV12" s="644">
        <f>IF($AR12=0,0,'Quality ROM'!BC12)</f>
        <v>0</v>
      </c>
      <c r="AW12" s="644">
        <f>IF($AR12=0,0,'Quality ROM'!BD12)</f>
        <v>0</v>
      </c>
      <c r="AX12" s="644">
        <f>IF($AR12=0,0,'Quality ROM'!BE12)</f>
        <v>0</v>
      </c>
      <c r="AY12" s="1132">
        <f>Actual!O$113</f>
        <v>0</v>
      </c>
      <c r="AZ12" s="1144">
        <f>IF($AY12=0,0,'Quality ROM'!BG12)</f>
        <v>0</v>
      </c>
      <c r="BA12" s="1144">
        <f>IF($AY12=0,0,'Quality ROM'!BH12)</f>
        <v>0</v>
      </c>
      <c r="BB12" s="1144">
        <f>IF($AY12=0,0,'Quality ROM'!BI12)</f>
        <v>0</v>
      </c>
      <c r="BC12" s="1144">
        <f>IF($AY12=0,0,'Quality ROM'!BJ12)</f>
        <v>0</v>
      </c>
      <c r="BD12" s="1144">
        <f>IF($AY12=0,0,'Quality ROM'!BK12)</f>
        <v>0</v>
      </c>
      <c r="BE12" s="1144">
        <f>IF($AY12=0,0,'Quality ROM'!BL12)</f>
        <v>0</v>
      </c>
      <c r="BF12" s="644">
        <f>BT12+CA12+BM12+CH12-AF47</f>
        <v>0</v>
      </c>
      <c r="BG12" s="644">
        <f t="shared" si="49"/>
        <v>0</v>
      </c>
      <c r="BH12" s="644">
        <f t="shared" si="24"/>
        <v>0</v>
      </c>
      <c r="BI12" s="644">
        <f t="shared" si="25"/>
        <v>0</v>
      </c>
      <c r="BJ12" s="644">
        <f t="shared" si="26"/>
        <v>0</v>
      </c>
      <c r="BK12" s="644">
        <f t="shared" si="27"/>
        <v>0</v>
      </c>
      <c r="BL12" s="644">
        <f t="shared" si="28"/>
        <v>0</v>
      </c>
      <c r="BM12" s="644">
        <f>BF11</f>
        <v>0</v>
      </c>
      <c r="BN12" s="644">
        <f t="shared" si="29"/>
        <v>0</v>
      </c>
      <c r="BO12" s="644">
        <f t="shared" si="30"/>
        <v>0</v>
      </c>
      <c r="BP12" s="644">
        <f t="shared" si="31"/>
        <v>0</v>
      </c>
      <c r="BQ12" s="644">
        <f t="shared" si="32"/>
        <v>0</v>
      </c>
      <c r="BR12" s="644">
        <f t="shared" si="33"/>
        <v>0</v>
      </c>
      <c r="BS12" s="644">
        <f t="shared" si="34"/>
        <v>0</v>
      </c>
      <c r="BT12" s="644">
        <f>'Quality ROM'!S47</f>
        <v>0</v>
      </c>
      <c r="BU12" s="644">
        <f>IF(BT12=0,0,'Quality ROM'!CP12)</f>
        <v>0</v>
      </c>
      <c r="BV12" s="644">
        <f>IF(BU12=0,0,'Quality ROM'!CQ12)</f>
        <v>0</v>
      </c>
      <c r="BW12" s="644">
        <f>IF(BV12=0,0,'Quality ROM'!CR12)</f>
        <v>0</v>
      </c>
      <c r="BX12" s="644">
        <f>IF(BW12=0,0,'Quality ROM'!CS12)</f>
        <v>0</v>
      </c>
      <c r="BY12" s="644">
        <f>IF(BX12=0,0,'Quality ROM'!CT12)</f>
        <v>0</v>
      </c>
      <c r="BZ12" s="644">
        <f>IF(BY12=0,0,'Quality ROM'!CU12)</f>
        <v>0</v>
      </c>
      <c r="CA12" s="1132">
        <f>Actual!O$111</f>
        <v>0</v>
      </c>
      <c r="CB12" s="1144">
        <f>IF(CA12=0,0,'Quality ROM'!AL12)</f>
        <v>0</v>
      </c>
      <c r="CC12" s="1144">
        <f>IF(CB12=0,0,'Quality ROM'!AM12)</f>
        <v>0</v>
      </c>
      <c r="CD12" s="1144">
        <f>IF(CC12=0,0,'Quality ROM'!AN12)</f>
        <v>0</v>
      </c>
      <c r="CE12" s="1144">
        <f>IF(CD12=0,0,'Quality ROM'!AO12)</f>
        <v>0</v>
      </c>
      <c r="CF12" s="1144">
        <f>IF(CE12=0,0,'Quality ROM'!AP12)</f>
        <v>0</v>
      </c>
      <c r="CG12" s="1144">
        <f>IF(CF12=0,0,'Quality ROM'!AQ12)</f>
        <v>0</v>
      </c>
      <c r="CH12" s="644">
        <f>'Quality ROM'!T47</f>
        <v>0</v>
      </c>
      <c r="CI12" s="644">
        <f>IF(CH12=0,0,'Quality ROM'!DJ12)</f>
        <v>0</v>
      </c>
      <c r="CJ12" s="644">
        <f>IF(CI12=0,0,'Quality ROM'!DK12)</f>
        <v>0</v>
      </c>
      <c r="CK12" s="644">
        <f>IF(CJ12=0,0,'Quality ROM'!DL12)</f>
        <v>0</v>
      </c>
      <c r="CL12" s="644">
        <f>IF(CK12=0,0,'Quality ROM'!DM12)</f>
        <v>0</v>
      </c>
      <c r="CM12" s="644">
        <f>IF(CL12=0,0,'Quality ROM'!DN12)</f>
        <v>0</v>
      </c>
      <c r="CN12" s="644">
        <f>IF(CM12=0,0,'Quality ROM'!DO12)</f>
        <v>0</v>
      </c>
      <c r="CO12" s="644">
        <f>'Quality ROM'!N47</f>
        <v>0</v>
      </c>
      <c r="CP12" s="644">
        <f>IF(CO12=0,0,'Quality ROM'!CQ12)</f>
        <v>0</v>
      </c>
      <c r="CQ12" s="644">
        <f>IF(CP12=0,0,'Quality ROM'!DL12)</f>
        <v>0</v>
      </c>
      <c r="CR12" s="644">
        <f>IF(CQ12=0,0,'Quality ROM'!DM12)</f>
        <v>0</v>
      </c>
      <c r="CS12" s="644">
        <f>IF(CR12=0,0,'Quality ROM'!DN12)</f>
        <v>0</v>
      </c>
      <c r="CT12" s="644">
        <f>IF(CS12=0,0,'Quality ROM'!DO12)</f>
        <v>0</v>
      </c>
      <c r="CU12" s="644">
        <f>IF(CT12=0,0,'Quality ROM'!DP12)</f>
        <v>0</v>
      </c>
    </row>
    <row r="13" spans="1:99" ht="15">
      <c r="A13" s="1046" t="str">
        <f>'Equipment '!A16</f>
        <v>11-Sep-26</v>
      </c>
      <c r="B13" s="644">
        <f t="shared" si="3"/>
        <v>4653.6216640000002</v>
      </c>
      <c r="C13" s="644">
        <f t="shared" si="4"/>
        <v>39.897629611647439</v>
      </c>
      <c r="D13" s="644">
        <f t="shared" si="5"/>
        <v>21.790821961800834</v>
      </c>
      <c r="E13" s="644">
        <f t="shared" si="6"/>
        <v>4.7548413836596568</v>
      </c>
      <c r="F13" s="644">
        <f t="shared" si="7"/>
        <v>0.14469177749836432</v>
      </c>
      <c r="G13" s="644">
        <f t="shared" si="8"/>
        <v>4982.1526427032813</v>
      </c>
      <c r="H13" s="644">
        <f t="shared" si="9"/>
        <v>3828.830062842359</v>
      </c>
      <c r="I13" s="644">
        <f t="shared" si="35"/>
        <v>4653.6216640000002</v>
      </c>
      <c r="J13" s="644">
        <f t="shared" si="36"/>
        <v>39.897629611647439</v>
      </c>
      <c r="K13" s="644">
        <f t="shared" si="37"/>
        <v>21.790821961800834</v>
      </c>
      <c r="L13" s="644">
        <f t="shared" si="38"/>
        <v>4.7548413836596568</v>
      </c>
      <c r="M13" s="644">
        <f t="shared" si="39"/>
        <v>0.14469177749836432</v>
      </c>
      <c r="N13" s="644">
        <f t="shared" si="40"/>
        <v>4982.1526427032813</v>
      </c>
      <c r="O13" s="644">
        <f t="shared" si="41"/>
        <v>3828.830062842359</v>
      </c>
      <c r="P13" s="644">
        <f>'Quality ROM'!M48</f>
        <v>0</v>
      </c>
      <c r="Q13" s="644">
        <f>IF($P13=0,0,'Quality ROM'!J13)</f>
        <v>0</v>
      </c>
      <c r="R13" s="644">
        <f>IF($P13=0,0,'Quality ROM'!K13)</f>
        <v>0</v>
      </c>
      <c r="S13" s="644">
        <f>IF($P13=0,0,'Quality ROM'!L13)</f>
        <v>0</v>
      </c>
      <c r="T13" s="644">
        <f>IF($P13=0,0,'Quality ROM'!M13)</f>
        <v>0</v>
      </c>
      <c r="U13" s="644">
        <f>IF($P13=0,0,'Quality ROM'!N13)</f>
        <v>0</v>
      </c>
      <c r="V13" s="644">
        <f>IF($P13=0,0,'Quality ROM'!O13)</f>
        <v>0</v>
      </c>
      <c r="W13" s="1132">
        <f>Actual!P$112</f>
        <v>0</v>
      </c>
      <c r="X13" s="1144">
        <f>IF($W13=0,0,'Quality ROM'!Q13)</f>
        <v>0</v>
      </c>
      <c r="Y13" s="1144">
        <f>IF($W13=0,0,'Quality ROM'!R13)</f>
        <v>0</v>
      </c>
      <c r="Z13" s="1144">
        <f>IF($W13=0,0,'Quality ROM'!S13)</f>
        <v>0</v>
      </c>
      <c r="AA13" s="1144">
        <f>IF($W13=0,0,'Quality ROM'!T13)</f>
        <v>0</v>
      </c>
      <c r="AB13" s="1144">
        <f>IF($W13=0,0,'Quality ROM'!U13)</f>
        <v>0</v>
      </c>
      <c r="AC13" s="1144">
        <f>IF($W13=0,0,'Quality ROM'!V13)</f>
        <v>0</v>
      </c>
      <c r="AD13" s="644">
        <f t="shared" si="11"/>
        <v>48838.493441999999</v>
      </c>
      <c r="AE13" s="644">
        <f t="shared" si="12"/>
        <v>39.897904220516921</v>
      </c>
      <c r="AF13" s="644">
        <f t="shared" si="13"/>
        <v>22.279372681202894</v>
      </c>
      <c r="AG13" s="644">
        <f t="shared" si="14"/>
        <v>6.8193908890769395</v>
      </c>
      <c r="AH13" s="644">
        <f t="shared" si="15"/>
        <v>0.1792773148906143</v>
      </c>
      <c r="AI13" s="644">
        <f t="shared" si="16"/>
        <v>4777.7131932103202</v>
      </c>
      <c r="AJ13" s="644">
        <f t="shared" si="17"/>
        <v>3745.5710401698334</v>
      </c>
      <c r="AK13" s="644">
        <f t="shared" si="42"/>
        <v>48838.493441999999</v>
      </c>
      <c r="AL13" s="644">
        <f t="shared" si="43"/>
        <v>39.897904220516921</v>
      </c>
      <c r="AM13" s="644">
        <f t="shared" si="44"/>
        <v>22.279372681202894</v>
      </c>
      <c r="AN13" s="644">
        <f t="shared" si="45"/>
        <v>6.8193908890769395</v>
      </c>
      <c r="AO13" s="644">
        <f t="shared" si="46"/>
        <v>0.1792773148906143</v>
      </c>
      <c r="AP13" s="644">
        <f t="shared" si="47"/>
        <v>4777.7131932103202</v>
      </c>
      <c r="AQ13" s="644">
        <f t="shared" si="48"/>
        <v>3745.5710401698334</v>
      </c>
      <c r="AR13" s="644">
        <f>'Quality ROM'!O48+'Quality ROM'!P48</f>
        <v>0</v>
      </c>
      <c r="AS13" s="644">
        <f>IF($AR13=0,0,'Quality ROM'!AZ13)</f>
        <v>0</v>
      </c>
      <c r="AT13" s="644">
        <f>IF($AR13=0,0,'Quality ROM'!BA13)</f>
        <v>0</v>
      </c>
      <c r="AU13" s="644">
        <f>IF($AR13=0,0,'Quality ROM'!BB13)</f>
        <v>0</v>
      </c>
      <c r="AV13" s="644">
        <f>IF($AR13=0,0,'Quality ROM'!BC13)</f>
        <v>0</v>
      </c>
      <c r="AW13" s="644">
        <f>IF($AR13=0,0,'Quality ROM'!BD13)</f>
        <v>0</v>
      </c>
      <c r="AX13" s="644">
        <f>IF($AR13=0,0,'Quality ROM'!BE13)</f>
        <v>0</v>
      </c>
      <c r="AY13" s="1132">
        <f>Actual!P$113</f>
        <v>0</v>
      </c>
      <c r="AZ13" s="1144">
        <f>IF($AY13=0,0,'Quality ROM'!BG13)</f>
        <v>0</v>
      </c>
      <c r="BA13" s="1144">
        <f>IF($AY13=0,0,'Quality ROM'!BH13)</f>
        <v>0</v>
      </c>
      <c r="BB13" s="1144">
        <f>IF($AY13=0,0,'Quality ROM'!BI13)</f>
        <v>0</v>
      </c>
      <c r="BC13" s="1144">
        <f>IF($AY13=0,0,'Quality ROM'!BJ13)</f>
        <v>0</v>
      </c>
      <c r="BD13" s="1144">
        <f>IF($AY13=0,0,'Quality ROM'!BK13)</f>
        <v>0</v>
      </c>
      <c r="BE13" s="1144">
        <f>IF($AY13=0,0,'Quality ROM'!BL13)</f>
        <v>0</v>
      </c>
      <c r="BF13" s="644">
        <f t="shared" si="51"/>
        <v>0</v>
      </c>
      <c r="BG13" s="644">
        <f t="shared" si="49"/>
        <v>0</v>
      </c>
      <c r="BH13" s="644">
        <f t="shared" si="24"/>
        <v>0</v>
      </c>
      <c r="BI13" s="644">
        <f t="shared" si="25"/>
        <v>0</v>
      </c>
      <c r="BJ13" s="644">
        <f t="shared" si="26"/>
        <v>0</v>
      </c>
      <c r="BK13" s="644">
        <f t="shared" si="27"/>
        <v>0</v>
      </c>
      <c r="BL13" s="644">
        <f t="shared" si="28"/>
        <v>0</v>
      </c>
      <c r="BM13" s="644">
        <f t="shared" si="50"/>
        <v>0</v>
      </c>
      <c r="BN13" s="644">
        <f t="shared" si="29"/>
        <v>0</v>
      </c>
      <c r="BO13" s="644">
        <f t="shared" si="30"/>
        <v>0</v>
      </c>
      <c r="BP13" s="644">
        <f t="shared" si="31"/>
        <v>0</v>
      </c>
      <c r="BQ13" s="644">
        <f t="shared" si="32"/>
        <v>0</v>
      </c>
      <c r="BR13" s="644">
        <f t="shared" si="33"/>
        <v>0</v>
      </c>
      <c r="BS13" s="644">
        <f t="shared" si="34"/>
        <v>0</v>
      </c>
      <c r="BT13" s="644">
        <f>'Quality ROM'!S48</f>
        <v>0</v>
      </c>
      <c r="BU13" s="644">
        <f>IF(BT13=0,0,'Quality ROM'!CP13)</f>
        <v>0</v>
      </c>
      <c r="BV13" s="644">
        <f>IF(BU13=0,0,'Quality ROM'!CQ13)</f>
        <v>0</v>
      </c>
      <c r="BW13" s="644">
        <f>IF(BV13=0,0,'Quality ROM'!CR13)</f>
        <v>0</v>
      </c>
      <c r="BX13" s="644">
        <f>IF(BW13=0,0,'Quality ROM'!CS13)</f>
        <v>0</v>
      </c>
      <c r="BY13" s="644">
        <f>IF(BX13=0,0,'Quality ROM'!CT13)</f>
        <v>0</v>
      </c>
      <c r="BZ13" s="644">
        <f>IF(BY13=0,0,'Quality ROM'!CU13)</f>
        <v>0</v>
      </c>
      <c r="CA13" s="1132">
        <f>Actual!P$111</f>
        <v>0</v>
      </c>
      <c r="CB13" s="1144">
        <f>IF(CA13=0,0,'Quality ROM'!AL13)</f>
        <v>0</v>
      </c>
      <c r="CC13" s="1144">
        <f>IF(CB13=0,0,'Quality ROM'!AM13)</f>
        <v>0</v>
      </c>
      <c r="CD13" s="1144">
        <f>IF(CC13=0,0,'Quality ROM'!AN13)</f>
        <v>0</v>
      </c>
      <c r="CE13" s="1144">
        <f>IF(CD13=0,0,'Quality ROM'!AO13)</f>
        <v>0</v>
      </c>
      <c r="CF13" s="1144">
        <f>IF(CE13=0,0,'Quality ROM'!AP13)</f>
        <v>0</v>
      </c>
      <c r="CG13" s="1144">
        <f>IF(CF13=0,0,'Quality ROM'!AQ13)</f>
        <v>0</v>
      </c>
      <c r="CH13" s="644">
        <f>'Quality ROM'!T48</f>
        <v>0</v>
      </c>
      <c r="CI13" s="644">
        <f>IF(CH13=0,0,'Quality ROM'!DJ13)</f>
        <v>0</v>
      </c>
      <c r="CJ13" s="644">
        <f>IF(CI13=0,0,'Quality ROM'!DK13)</f>
        <v>0</v>
      </c>
      <c r="CK13" s="644">
        <f>IF(CJ13=0,0,'Quality ROM'!DL13)</f>
        <v>0</v>
      </c>
      <c r="CL13" s="644">
        <f>IF(CK13=0,0,'Quality ROM'!DM13)</f>
        <v>0</v>
      </c>
      <c r="CM13" s="644">
        <f>IF(CL13=0,0,'Quality ROM'!DN13)</f>
        <v>0</v>
      </c>
      <c r="CN13" s="644">
        <f>IF(CM13=0,0,'Quality ROM'!DO13)</f>
        <v>0</v>
      </c>
      <c r="CO13" s="644">
        <f>'Quality ROM'!N48</f>
        <v>0</v>
      </c>
      <c r="CP13" s="644">
        <f>IF(CO13=0,0,'Quality ROM'!CQ13)</f>
        <v>0</v>
      </c>
      <c r="CQ13" s="644">
        <f>IF(CP13=0,0,'Quality ROM'!DL13)</f>
        <v>0</v>
      </c>
      <c r="CR13" s="644">
        <f>IF(CQ13=0,0,'Quality ROM'!DM13)</f>
        <v>0</v>
      </c>
      <c r="CS13" s="644">
        <f>IF(CR13=0,0,'Quality ROM'!DN13)</f>
        <v>0</v>
      </c>
      <c r="CT13" s="644">
        <f>IF(CS13=0,0,'Quality ROM'!DO13)</f>
        <v>0</v>
      </c>
      <c r="CU13" s="644">
        <f>IF(CT13=0,0,'Quality ROM'!DP13)</f>
        <v>0</v>
      </c>
    </row>
    <row r="14" spans="1:99" ht="15">
      <c r="A14" s="1046" t="str">
        <f>'Equipment '!A17</f>
        <v>12-Sep-26</v>
      </c>
      <c r="B14" s="644">
        <f t="shared" si="3"/>
        <v>4653.6216640000002</v>
      </c>
      <c r="C14" s="644">
        <f t="shared" si="4"/>
        <v>39.897629611647439</v>
      </c>
      <c r="D14" s="644">
        <f t="shared" si="5"/>
        <v>21.790821961800834</v>
      </c>
      <c r="E14" s="644">
        <f t="shared" si="6"/>
        <v>4.7548413836596568</v>
      </c>
      <c r="F14" s="644">
        <f t="shared" si="7"/>
        <v>0.14469177749836432</v>
      </c>
      <c r="G14" s="644">
        <f t="shared" si="8"/>
        <v>4982.1526427032813</v>
      </c>
      <c r="H14" s="644">
        <f t="shared" si="9"/>
        <v>3828.830062842359</v>
      </c>
      <c r="I14" s="644">
        <f t="shared" si="35"/>
        <v>4653.6216640000002</v>
      </c>
      <c r="J14" s="644">
        <f t="shared" si="36"/>
        <v>39.897629611647439</v>
      </c>
      <c r="K14" s="644">
        <f t="shared" si="37"/>
        <v>21.790821961800834</v>
      </c>
      <c r="L14" s="644">
        <f t="shared" si="38"/>
        <v>4.7548413836596568</v>
      </c>
      <c r="M14" s="644">
        <f t="shared" si="39"/>
        <v>0.14469177749836432</v>
      </c>
      <c r="N14" s="644">
        <f t="shared" si="40"/>
        <v>4982.1526427032813</v>
      </c>
      <c r="O14" s="644">
        <f t="shared" si="41"/>
        <v>3828.830062842359</v>
      </c>
      <c r="P14" s="644">
        <f>'Quality ROM'!M49</f>
        <v>0</v>
      </c>
      <c r="Q14" s="644">
        <f>IF($P14=0,0,'Quality ROM'!J14)</f>
        <v>0</v>
      </c>
      <c r="R14" s="644">
        <f>IF($P14=0,0,'Quality ROM'!K14)</f>
        <v>0</v>
      </c>
      <c r="S14" s="644">
        <f>IF($P14=0,0,'Quality ROM'!L14)</f>
        <v>0</v>
      </c>
      <c r="T14" s="644">
        <f>IF($P14=0,0,'Quality ROM'!M14)</f>
        <v>0</v>
      </c>
      <c r="U14" s="644">
        <f>IF($P14=0,0,'Quality ROM'!N14)</f>
        <v>0</v>
      </c>
      <c r="V14" s="644">
        <f>IF($P14=0,0,'Quality ROM'!O14)</f>
        <v>0</v>
      </c>
      <c r="W14" s="1132">
        <f>Actual!Q$112</f>
        <v>0</v>
      </c>
      <c r="X14" s="1144">
        <f>IF($W14=0,0,'Quality ROM'!Q14)</f>
        <v>0</v>
      </c>
      <c r="Y14" s="1144">
        <f>IF($W14=0,0,'Quality ROM'!R14)</f>
        <v>0</v>
      </c>
      <c r="Z14" s="1144">
        <f>IF($W14=0,0,'Quality ROM'!S14)</f>
        <v>0</v>
      </c>
      <c r="AA14" s="1144">
        <f>IF($W14=0,0,'Quality ROM'!T14)</f>
        <v>0</v>
      </c>
      <c r="AB14" s="1144">
        <f>IF($W14=0,0,'Quality ROM'!U14)</f>
        <v>0</v>
      </c>
      <c r="AC14" s="1144">
        <f>IF($W14=0,0,'Quality ROM'!V14)</f>
        <v>0</v>
      </c>
      <c r="AD14" s="644">
        <f t="shared" si="11"/>
        <v>48838.493441999999</v>
      </c>
      <c r="AE14" s="644">
        <f t="shared" si="12"/>
        <v>39.897904220516921</v>
      </c>
      <c r="AF14" s="644">
        <f t="shared" si="13"/>
        <v>22.279372681202894</v>
      </c>
      <c r="AG14" s="644">
        <f t="shared" si="14"/>
        <v>6.8193908890769395</v>
      </c>
      <c r="AH14" s="644">
        <f t="shared" si="15"/>
        <v>0.1792773148906143</v>
      </c>
      <c r="AI14" s="644">
        <f t="shared" si="16"/>
        <v>4777.7131932103202</v>
      </c>
      <c r="AJ14" s="644">
        <f t="shared" si="17"/>
        <v>3745.5710401698334</v>
      </c>
      <c r="AK14" s="644">
        <f t="shared" si="42"/>
        <v>48838.493441999999</v>
      </c>
      <c r="AL14" s="644">
        <f t="shared" si="43"/>
        <v>39.897904220516921</v>
      </c>
      <c r="AM14" s="644">
        <f t="shared" si="44"/>
        <v>22.279372681202894</v>
      </c>
      <c r="AN14" s="644">
        <f t="shared" si="45"/>
        <v>6.8193908890769395</v>
      </c>
      <c r="AO14" s="644">
        <f t="shared" si="46"/>
        <v>0.1792773148906143</v>
      </c>
      <c r="AP14" s="644">
        <f t="shared" si="47"/>
        <v>4777.7131932103202</v>
      </c>
      <c r="AQ14" s="644">
        <f t="shared" si="48"/>
        <v>3745.5710401698334</v>
      </c>
      <c r="AR14" s="644">
        <f>'Quality ROM'!O49+'Quality ROM'!P49</f>
        <v>0</v>
      </c>
      <c r="AS14" s="644">
        <f>IF($AR14=0,0,'Quality ROM'!AZ14)</f>
        <v>0</v>
      </c>
      <c r="AT14" s="644">
        <f>IF($AR14=0,0,'Quality ROM'!BA14)</f>
        <v>0</v>
      </c>
      <c r="AU14" s="644">
        <f>IF($AR14=0,0,'Quality ROM'!BB14)</f>
        <v>0</v>
      </c>
      <c r="AV14" s="644">
        <f>IF($AR14=0,0,'Quality ROM'!BC14)</f>
        <v>0</v>
      </c>
      <c r="AW14" s="644">
        <f>IF($AR14=0,0,'Quality ROM'!BD14)</f>
        <v>0</v>
      </c>
      <c r="AX14" s="644">
        <f>IF($AR14=0,0,'Quality ROM'!BE14)</f>
        <v>0</v>
      </c>
      <c r="AY14" s="1132">
        <f>Actual!Q$113</f>
        <v>0</v>
      </c>
      <c r="AZ14" s="1144">
        <f>IF($AY14=0,0,'Quality ROM'!BG14)</f>
        <v>0</v>
      </c>
      <c r="BA14" s="1144">
        <f>IF($AY14=0,0,'Quality ROM'!BH14)</f>
        <v>0</v>
      </c>
      <c r="BB14" s="1144">
        <f>IF($AY14=0,0,'Quality ROM'!BI14)</f>
        <v>0</v>
      </c>
      <c r="BC14" s="1144">
        <f>IF($AY14=0,0,'Quality ROM'!BJ14)</f>
        <v>0</v>
      </c>
      <c r="BD14" s="1144">
        <f>IF($AY14=0,0,'Quality ROM'!BK14)</f>
        <v>0</v>
      </c>
      <c r="BE14" s="1144">
        <f>IF($AY14=0,0,'Quality ROM'!BL14)</f>
        <v>0</v>
      </c>
      <c r="BF14" s="644">
        <f t="shared" si="51"/>
        <v>0</v>
      </c>
      <c r="BG14" s="644">
        <f t="shared" si="49"/>
        <v>0</v>
      </c>
      <c r="BH14" s="644">
        <f t="shared" si="24"/>
        <v>0</v>
      </c>
      <c r="BI14" s="644">
        <f t="shared" si="25"/>
        <v>0</v>
      </c>
      <c r="BJ14" s="644">
        <f t="shared" si="26"/>
        <v>0</v>
      </c>
      <c r="BK14" s="644">
        <f t="shared" si="27"/>
        <v>0</v>
      </c>
      <c r="BL14" s="644">
        <f t="shared" si="28"/>
        <v>0</v>
      </c>
      <c r="BM14" s="644">
        <f t="shared" si="50"/>
        <v>0</v>
      </c>
      <c r="BN14" s="644">
        <f t="shared" si="29"/>
        <v>0</v>
      </c>
      <c r="BO14" s="644">
        <f t="shared" si="30"/>
        <v>0</v>
      </c>
      <c r="BP14" s="644">
        <f t="shared" si="31"/>
        <v>0</v>
      </c>
      <c r="BQ14" s="644">
        <f t="shared" si="32"/>
        <v>0</v>
      </c>
      <c r="BR14" s="644">
        <f t="shared" si="33"/>
        <v>0</v>
      </c>
      <c r="BS14" s="644">
        <f t="shared" si="34"/>
        <v>0</v>
      </c>
      <c r="BT14" s="644">
        <f>'Quality ROM'!S49</f>
        <v>0</v>
      </c>
      <c r="BU14" s="644">
        <f>IF(BT14=0,0,'Quality ROM'!CP14)</f>
        <v>0</v>
      </c>
      <c r="BV14" s="644">
        <f>IF(BU14=0,0,'Quality ROM'!CQ14)</f>
        <v>0</v>
      </c>
      <c r="BW14" s="644">
        <f>IF(BV14=0,0,'Quality ROM'!CR14)</f>
        <v>0</v>
      </c>
      <c r="BX14" s="644">
        <f>IF(BW14=0,0,'Quality ROM'!CS14)</f>
        <v>0</v>
      </c>
      <c r="BY14" s="644">
        <f>IF(BX14=0,0,'Quality ROM'!CT14)</f>
        <v>0</v>
      </c>
      <c r="BZ14" s="644">
        <f>IF(BY14=0,0,'Quality ROM'!CU14)</f>
        <v>0</v>
      </c>
      <c r="CA14" s="1132">
        <f>Actual!Q$111</f>
        <v>0</v>
      </c>
      <c r="CB14" s="1144">
        <f>IF(CA14=0,0,'Quality ROM'!AL14)</f>
        <v>0</v>
      </c>
      <c r="CC14" s="1144">
        <f>IF(CB14=0,0,'Quality ROM'!AM14)</f>
        <v>0</v>
      </c>
      <c r="CD14" s="1144">
        <f>IF(CC14=0,0,'Quality ROM'!AN14)</f>
        <v>0</v>
      </c>
      <c r="CE14" s="1144">
        <f>IF(CD14=0,0,'Quality ROM'!AO14)</f>
        <v>0</v>
      </c>
      <c r="CF14" s="1144">
        <f>IF(CE14=0,0,'Quality ROM'!AP14)</f>
        <v>0</v>
      </c>
      <c r="CG14" s="1144">
        <f>IF(CF14=0,0,'Quality ROM'!AQ14)</f>
        <v>0</v>
      </c>
      <c r="CH14" s="644">
        <f>'Quality ROM'!T49</f>
        <v>0</v>
      </c>
      <c r="CI14" s="644">
        <f>IF(CH14=0,0,'Quality ROM'!DJ14)</f>
        <v>0</v>
      </c>
      <c r="CJ14" s="644">
        <f>IF(CI14=0,0,'Quality ROM'!DK14)</f>
        <v>0</v>
      </c>
      <c r="CK14" s="644">
        <f>IF(CJ14=0,0,'Quality ROM'!DL14)</f>
        <v>0</v>
      </c>
      <c r="CL14" s="644">
        <f>IF(CK14=0,0,'Quality ROM'!DM14)</f>
        <v>0</v>
      </c>
      <c r="CM14" s="644">
        <f>IF(CL14=0,0,'Quality ROM'!DN14)</f>
        <v>0</v>
      </c>
      <c r="CN14" s="644">
        <f>IF(CM14=0,0,'Quality ROM'!DO14)</f>
        <v>0</v>
      </c>
      <c r="CO14" s="644">
        <f>'Quality ROM'!N49</f>
        <v>0</v>
      </c>
      <c r="CP14" s="644">
        <f>IF(CO14=0,0,'Quality ROM'!CQ14)</f>
        <v>0</v>
      </c>
      <c r="CQ14" s="644">
        <f>IF(CP14=0,0,'Quality ROM'!DL14)</f>
        <v>0</v>
      </c>
      <c r="CR14" s="644">
        <f>IF(CQ14=0,0,'Quality ROM'!DM14)</f>
        <v>0</v>
      </c>
      <c r="CS14" s="644">
        <f>IF(CR14=0,0,'Quality ROM'!DN14)</f>
        <v>0</v>
      </c>
      <c r="CT14" s="644">
        <f>IF(CS14=0,0,'Quality ROM'!DO14)</f>
        <v>0</v>
      </c>
      <c r="CU14" s="644">
        <f>IF(CT14=0,0,'Quality ROM'!DP14)</f>
        <v>0</v>
      </c>
    </row>
    <row r="15" spans="1:99" ht="15">
      <c r="A15" s="1046" t="str">
        <f>'Equipment '!A18</f>
        <v>13-Sep-26</v>
      </c>
      <c r="B15" s="644">
        <f t="shared" si="3"/>
        <v>4653.6216640000002</v>
      </c>
      <c r="C15" s="644">
        <f t="shared" si="4"/>
        <v>39.897629611647439</v>
      </c>
      <c r="D15" s="644">
        <f t="shared" si="5"/>
        <v>21.790821961800834</v>
      </c>
      <c r="E15" s="644">
        <f t="shared" si="6"/>
        <v>4.7548413836596568</v>
      </c>
      <c r="F15" s="644">
        <f t="shared" si="7"/>
        <v>0.14469177749836432</v>
      </c>
      <c r="G15" s="644">
        <f t="shared" si="8"/>
        <v>4982.1526427032813</v>
      </c>
      <c r="H15" s="644">
        <f t="shared" si="9"/>
        <v>3828.830062842359</v>
      </c>
      <c r="I15" s="644">
        <f t="shared" si="35"/>
        <v>4653.6216640000002</v>
      </c>
      <c r="J15" s="644">
        <f t="shared" si="36"/>
        <v>39.897629611647439</v>
      </c>
      <c r="K15" s="644">
        <f t="shared" si="37"/>
        <v>21.790821961800834</v>
      </c>
      <c r="L15" s="644">
        <f t="shared" si="38"/>
        <v>4.7548413836596568</v>
      </c>
      <c r="M15" s="644">
        <f t="shared" si="39"/>
        <v>0.14469177749836432</v>
      </c>
      <c r="N15" s="644">
        <f t="shared" si="40"/>
        <v>4982.1526427032813</v>
      </c>
      <c r="O15" s="644">
        <f t="shared" si="41"/>
        <v>3828.830062842359</v>
      </c>
      <c r="P15" s="644">
        <f>'Quality ROM'!M50</f>
        <v>0</v>
      </c>
      <c r="Q15" s="644">
        <f>IF($P15=0,0,'Quality ROM'!J15)</f>
        <v>0</v>
      </c>
      <c r="R15" s="644">
        <f>IF($P15=0,0,'Quality ROM'!K15)</f>
        <v>0</v>
      </c>
      <c r="S15" s="644">
        <f>IF($P15=0,0,'Quality ROM'!L15)</f>
        <v>0</v>
      </c>
      <c r="T15" s="644">
        <f>IF($P15=0,0,'Quality ROM'!M15)</f>
        <v>0</v>
      </c>
      <c r="U15" s="644">
        <f>IF($P15=0,0,'Quality ROM'!N15)</f>
        <v>0</v>
      </c>
      <c r="V15" s="644">
        <f>IF($P15=0,0,'Quality ROM'!O15)</f>
        <v>0</v>
      </c>
      <c r="W15" s="1132">
        <f>Actual!R$112</f>
        <v>0</v>
      </c>
      <c r="X15" s="1144">
        <f>IF($W15=0,0,'Quality ROM'!Q15)</f>
        <v>0</v>
      </c>
      <c r="Y15" s="1144">
        <f>IF($W15=0,0,'Quality ROM'!R15)</f>
        <v>0</v>
      </c>
      <c r="Z15" s="1144">
        <f>IF($W15=0,0,'Quality ROM'!S15)</f>
        <v>0</v>
      </c>
      <c r="AA15" s="1144">
        <f>IF($W15=0,0,'Quality ROM'!T15)</f>
        <v>0</v>
      </c>
      <c r="AB15" s="1144">
        <f>IF($W15=0,0,'Quality ROM'!U15)</f>
        <v>0</v>
      </c>
      <c r="AC15" s="1144">
        <f>IF($W15=0,0,'Quality ROM'!V15)</f>
        <v>0</v>
      </c>
      <c r="AD15" s="644">
        <f t="shared" si="11"/>
        <v>48838.493441999999</v>
      </c>
      <c r="AE15" s="644">
        <f t="shared" si="12"/>
        <v>39.897904220516921</v>
      </c>
      <c r="AF15" s="644">
        <f t="shared" si="13"/>
        <v>22.279372681202894</v>
      </c>
      <c r="AG15" s="644">
        <f t="shared" si="14"/>
        <v>6.8193908890769395</v>
      </c>
      <c r="AH15" s="644">
        <f t="shared" si="15"/>
        <v>0.1792773148906143</v>
      </c>
      <c r="AI15" s="644">
        <f t="shared" si="16"/>
        <v>4777.7131932103202</v>
      </c>
      <c r="AJ15" s="644">
        <f t="shared" si="17"/>
        <v>3745.5710401698334</v>
      </c>
      <c r="AK15" s="644">
        <f t="shared" si="42"/>
        <v>48838.493441999999</v>
      </c>
      <c r="AL15" s="644">
        <f t="shared" si="43"/>
        <v>39.897904220516921</v>
      </c>
      <c r="AM15" s="644">
        <f t="shared" si="44"/>
        <v>22.279372681202894</v>
      </c>
      <c r="AN15" s="644">
        <f t="shared" si="45"/>
        <v>6.8193908890769395</v>
      </c>
      <c r="AO15" s="644">
        <f t="shared" si="46"/>
        <v>0.1792773148906143</v>
      </c>
      <c r="AP15" s="644">
        <f t="shared" si="47"/>
        <v>4777.7131932103202</v>
      </c>
      <c r="AQ15" s="644">
        <f t="shared" si="48"/>
        <v>3745.5710401698334</v>
      </c>
      <c r="AR15" s="644">
        <f>'Quality ROM'!O50+'Quality ROM'!P50</f>
        <v>0</v>
      </c>
      <c r="AS15" s="644">
        <f>IF($AR15=0,0,'Quality ROM'!AZ15)</f>
        <v>0</v>
      </c>
      <c r="AT15" s="644">
        <f>IF($AR15=0,0,'Quality ROM'!BA15)</f>
        <v>0</v>
      </c>
      <c r="AU15" s="644">
        <f>IF($AR15=0,0,'Quality ROM'!BB15)</f>
        <v>0</v>
      </c>
      <c r="AV15" s="644">
        <f>IF($AR15=0,0,'Quality ROM'!BC15)</f>
        <v>0</v>
      </c>
      <c r="AW15" s="644">
        <f>IF($AR15=0,0,'Quality ROM'!BD15)</f>
        <v>0</v>
      </c>
      <c r="AX15" s="644">
        <f>IF($AR15=0,0,'Quality ROM'!BE15)</f>
        <v>0</v>
      </c>
      <c r="AY15" s="1132">
        <f>Actual!R$113</f>
        <v>0</v>
      </c>
      <c r="AZ15" s="1144">
        <f>IF($AY15=0,0,'Quality ROM'!BG15)</f>
        <v>0</v>
      </c>
      <c r="BA15" s="1144">
        <f>IF($AY15=0,0,'Quality ROM'!BH15)</f>
        <v>0</v>
      </c>
      <c r="BB15" s="1144">
        <f>IF($AY15=0,0,'Quality ROM'!BI15)</f>
        <v>0</v>
      </c>
      <c r="BC15" s="1144">
        <f>IF($AY15=0,0,'Quality ROM'!BJ15)</f>
        <v>0</v>
      </c>
      <c r="BD15" s="1144">
        <f>IF($AY15=0,0,'Quality ROM'!BK15)</f>
        <v>0</v>
      </c>
      <c r="BE15" s="1144">
        <f>IF($AY15=0,0,'Quality ROM'!BL15)</f>
        <v>0</v>
      </c>
      <c r="BF15" s="644">
        <f>BT15+CA15+BM15+CH15-AF50</f>
        <v>0</v>
      </c>
      <c r="BG15" s="644">
        <f t="shared" si="49"/>
        <v>0</v>
      </c>
      <c r="BH15" s="644">
        <f t="shared" si="24"/>
        <v>0</v>
      </c>
      <c r="BI15" s="644">
        <f t="shared" si="25"/>
        <v>0</v>
      </c>
      <c r="BJ15" s="644">
        <f t="shared" si="26"/>
        <v>0</v>
      </c>
      <c r="BK15" s="644">
        <f t="shared" si="27"/>
        <v>0</v>
      </c>
      <c r="BL15" s="644">
        <f t="shared" si="28"/>
        <v>0</v>
      </c>
      <c r="BM15" s="644">
        <f t="shared" si="50"/>
        <v>0</v>
      </c>
      <c r="BN15" s="644">
        <f t="shared" si="29"/>
        <v>0</v>
      </c>
      <c r="BO15" s="644">
        <f t="shared" si="30"/>
        <v>0</v>
      </c>
      <c r="BP15" s="644">
        <f t="shared" si="31"/>
        <v>0</v>
      </c>
      <c r="BQ15" s="644">
        <f t="shared" si="32"/>
        <v>0</v>
      </c>
      <c r="BR15" s="644">
        <f t="shared" si="33"/>
        <v>0</v>
      </c>
      <c r="BS15" s="644">
        <f t="shared" si="34"/>
        <v>0</v>
      </c>
      <c r="BT15" s="644">
        <f>'Quality ROM'!S50</f>
        <v>0</v>
      </c>
      <c r="BU15" s="644">
        <f>IF(BT15=0,0,'Quality ROM'!CP15)</f>
        <v>0</v>
      </c>
      <c r="BV15" s="644">
        <f>IF(BU15=0,0,'Quality ROM'!CQ15)</f>
        <v>0</v>
      </c>
      <c r="BW15" s="644">
        <f>IF(BV15=0,0,'Quality ROM'!CR15)</f>
        <v>0</v>
      </c>
      <c r="BX15" s="644">
        <f>IF(BW15=0,0,'Quality ROM'!CS15)</f>
        <v>0</v>
      </c>
      <c r="BY15" s="644">
        <f>IF(BX15=0,0,'Quality ROM'!CT15)</f>
        <v>0</v>
      </c>
      <c r="BZ15" s="644">
        <f>IF(BY15=0,0,'Quality ROM'!CU15)</f>
        <v>0</v>
      </c>
      <c r="CA15" s="1132">
        <f>Actual!R$111</f>
        <v>0</v>
      </c>
      <c r="CB15" s="1144">
        <f>IF(CA15=0,0,'Quality ROM'!AL15)</f>
        <v>0</v>
      </c>
      <c r="CC15" s="1144">
        <f>IF(CB15=0,0,'Quality ROM'!AM15)</f>
        <v>0</v>
      </c>
      <c r="CD15" s="1144">
        <f>IF(CC15=0,0,'Quality ROM'!AN15)</f>
        <v>0</v>
      </c>
      <c r="CE15" s="1144">
        <f>IF(CD15=0,0,'Quality ROM'!AO15)</f>
        <v>0</v>
      </c>
      <c r="CF15" s="1144">
        <f>IF(CE15=0,0,'Quality ROM'!AP15)</f>
        <v>0</v>
      </c>
      <c r="CG15" s="1144">
        <f>IF(CF15=0,0,'Quality ROM'!AQ15)</f>
        <v>0</v>
      </c>
      <c r="CH15" s="644">
        <f>'Quality ROM'!T50</f>
        <v>0</v>
      </c>
      <c r="CI15" s="644">
        <f>IF(CH15=0,0,'Quality ROM'!DJ15)</f>
        <v>0</v>
      </c>
      <c r="CJ15" s="644">
        <f>IF(CI15=0,0,'Quality ROM'!DK15)</f>
        <v>0</v>
      </c>
      <c r="CK15" s="644">
        <f>IF(CJ15=0,0,'Quality ROM'!DL15)</f>
        <v>0</v>
      </c>
      <c r="CL15" s="644">
        <f>IF(CK15=0,0,'Quality ROM'!DM15)</f>
        <v>0</v>
      </c>
      <c r="CM15" s="644">
        <f>IF(CL15=0,0,'Quality ROM'!DN15)</f>
        <v>0</v>
      </c>
      <c r="CN15" s="644">
        <f>IF(CM15=0,0,'Quality ROM'!DO15)</f>
        <v>0</v>
      </c>
      <c r="CO15" s="644">
        <f>'Quality ROM'!N50</f>
        <v>0</v>
      </c>
      <c r="CP15" s="644">
        <f>IF(CO15=0,0,'Quality ROM'!CQ15)</f>
        <v>0</v>
      </c>
      <c r="CQ15" s="644">
        <f>IF(CP15=0,0,'Quality ROM'!DL15)</f>
        <v>0</v>
      </c>
      <c r="CR15" s="644">
        <f>IF(CQ15=0,0,'Quality ROM'!DM15)</f>
        <v>0</v>
      </c>
      <c r="CS15" s="644">
        <f>IF(CR15=0,0,'Quality ROM'!DN15)</f>
        <v>0</v>
      </c>
      <c r="CT15" s="644">
        <f>IF(CS15=0,0,'Quality ROM'!DO15)</f>
        <v>0</v>
      </c>
      <c r="CU15" s="644">
        <f>IF(CT15=0,0,'Quality ROM'!DP15)</f>
        <v>0</v>
      </c>
    </row>
    <row r="16" spans="1:99" ht="15">
      <c r="A16" s="1046" t="str">
        <f>'Equipment '!A19</f>
        <v>14-Sep-26</v>
      </c>
      <c r="B16" s="644">
        <f t="shared" si="3"/>
        <v>4653.6216640000002</v>
      </c>
      <c r="C16" s="644">
        <f t="shared" si="4"/>
        <v>39.897629611647439</v>
      </c>
      <c r="D16" s="644">
        <f t="shared" si="5"/>
        <v>21.790821961800834</v>
      </c>
      <c r="E16" s="644">
        <f t="shared" si="6"/>
        <v>4.7548413836596568</v>
      </c>
      <c r="F16" s="644">
        <f t="shared" si="7"/>
        <v>0.14469177749836432</v>
      </c>
      <c r="G16" s="644">
        <f t="shared" si="8"/>
        <v>4982.1526427032813</v>
      </c>
      <c r="H16" s="644">
        <f t="shared" si="9"/>
        <v>3828.830062842359</v>
      </c>
      <c r="I16" s="644">
        <f t="shared" si="35"/>
        <v>4653.6216640000002</v>
      </c>
      <c r="J16" s="644">
        <f t="shared" si="36"/>
        <v>39.897629611647439</v>
      </c>
      <c r="K16" s="644">
        <f t="shared" si="37"/>
        <v>21.790821961800834</v>
      </c>
      <c r="L16" s="644">
        <f t="shared" si="38"/>
        <v>4.7548413836596568</v>
      </c>
      <c r="M16" s="644">
        <f t="shared" si="39"/>
        <v>0.14469177749836432</v>
      </c>
      <c r="N16" s="644">
        <f t="shared" si="40"/>
        <v>4982.1526427032813</v>
      </c>
      <c r="O16" s="644">
        <f t="shared" si="41"/>
        <v>3828.830062842359</v>
      </c>
      <c r="P16" s="644">
        <f>'Quality ROM'!M51</f>
        <v>0</v>
      </c>
      <c r="Q16" s="644">
        <f>IF($P16=0,0,'Quality ROM'!J16)</f>
        <v>0</v>
      </c>
      <c r="R16" s="644">
        <f>IF($P16=0,0,'Quality ROM'!K16)</f>
        <v>0</v>
      </c>
      <c r="S16" s="644">
        <f>IF($P16=0,0,'Quality ROM'!L16)</f>
        <v>0</v>
      </c>
      <c r="T16" s="644">
        <f>IF($P16=0,0,'Quality ROM'!M16)</f>
        <v>0</v>
      </c>
      <c r="U16" s="644">
        <f>IF($P16=0,0,'Quality ROM'!N16)</f>
        <v>0</v>
      </c>
      <c r="V16" s="644">
        <f>IF($P16=0,0,'Quality ROM'!O16)</f>
        <v>0</v>
      </c>
      <c r="W16" s="1132">
        <f>Actual!S$112</f>
        <v>0</v>
      </c>
      <c r="X16" s="1144">
        <f>IF($W16=0,0,'Quality ROM'!Q16)</f>
        <v>0</v>
      </c>
      <c r="Y16" s="1144">
        <f>IF($W16=0,0,'Quality ROM'!R16)</f>
        <v>0</v>
      </c>
      <c r="Z16" s="1144">
        <f>IF($W16=0,0,'Quality ROM'!S16)</f>
        <v>0</v>
      </c>
      <c r="AA16" s="1144">
        <f>IF($W16=0,0,'Quality ROM'!T16)</f>
        <v>0</v>
      </c>
      <c r="AB16" s="1144">
        <f>IF($W16=0,0,'Quality ROM'!U16)</f>
        <v>0</v>
      </c>
      <c r="AC16" s="1144">
        <f>IF($W16=0,0,'Quality ROM'!V16)</f>
        <v>0</v>
      </c>
      <c r="AD16" s="644">
        <f t="shared" si="11"/>
        <v>48838.493441999999</v>
      </c>
      <c r="AE16" s="644">
        <f t="shared" si="12"/>
        <v>39.897904220516921</v>
      </c>
      <c r="AF16" s="644">
        <f t="shared" si="13"/>
        <v>22.279372681202894</v>
      </c>
      <c r="AG16" s="644">
        <f t="shared" si="14"/>
        <v>6.8193908890769395</v>
      </c>
      <c r="AH16" s="644">
        <f t="shared" si="15"/>
        <v>0.1792773148906143</v>
      </c>
      <c r="AI16" s="644">
        <f t="shared" si="16"/>
        <v>4777.7131932103202</v>
      </c>
      <c r="AJ16" s="644">
        <f t="shared" si="17"/>
        <v>3745.5710401698334</v>
      </c>
      <c r="AK16" s="644">
        <f t="shared" si="42"/>
        <v>48838.493441999999</v>
      </c>
      <c r="AL16" s="644">
        <f t="shared" si="43"/>
        <v>39.897904220516921</v>
      </c>
      <c r="AM16" s="644">
        <f t="shared" si="44"/>
        <v>22.279372681202894</v>
      </c>
      <c r="AN16" s="644">
        <f t="shared" si="45"/>
        <v>6.8193908890769395</v>
      </c>
      <c r="AO16" s="644">
        <f t="shared" si="46"/>
        <v>0.1792773148906143</v>
      </c>
      <c r="AP16" s="644">
        <f t="shared" si="47"/>
        <v>4777.7131932103202</v>
      </c>
      <c r="AQ16" s="644">
        <f t="shared" si="48"/>
        <v>3745.5710401698334</v>
      </c>
      <c r="AR16" s="644">
        <f>'Quality ROM'!O51+'Quality ROM'!P51</f>
        <v>0</v>
      </c>
      <c r="AS16" s="644">
        <f>IF($AR16=0,0,'Quality ROM'!AZ16)</f>
        <v>0</v>
      </c>
      <c r="AT16" s="644">
        <f>IF($AR16=0,0,'Quality ROM'!BA16)</f>
        <v>0</v>
      </c>
      <c r="AU16" s="644">
        <f>IF($AR16=0,0,'Quality ROM'!BB16)</f>
        <v>0</v>
      </c>
      <c r="AV16" s="644">
        <f>IF($AR16=0,0,'Quality ROM'!BC16)</f>
        <v>0</v>
      </c>
      <c r="AW16" s="644">
        <f>IF($AR16=0,0,'Quality ROM'!BD16)</f>
        <v>0</v>
      </c>
      <c r="AX16" s="644">
        <f>IF($AR16=0,0,'Quality ROM'!BE16)</f>
        <v>0</v>
      </c>
      <c r="AY16" s="1132">
        <f>Actual!S$113</f>
        <v>0</v>
      </c>
      <c r="AZ16" s="1144">
        <f>IF($AY16=0,0,'Quality ROM'!BG16)</f>
        <v>0</v>
      </c>
      <c r="BA16" s="1144">
        <f>IF($AY16=0,0,'Quality ROM'!BH16)</f>
        <v>0</v>
      </c>
      <c r="BB16" s="1144">
        <f>IF($AY16=0,0,'Quality ROM'!BI16)</f>
        <v>0</v>
      </c>
      <c r="BC16" s="1144">
        <f>IF($AY16=0,0,'Quality ROM'!BJ16)</f>
        <v>0</v>
      </c>
      <c r="BD16" s="1144">
        <f>IF($AY16=0,0,'Quality ROM'!BK16)</f>
        <v>0</v>
      </c>
      <c r="BE16" s="1144">
        <f>IF($AY16=0,0,'Quality ROM'!BL16)</f>
        <v>0</v>
      </c>
      <c r="BF16" s="644">
        <f t="shared" si="51"/>
        <v>0</v>
      </c>
      <c r="BG16" s="644">
        <f t="shared" si="49"/>
        <v>0</v>
      </c>
      <c r="BH16" s="644">
        <f t="shared" si="24"/>
        <v>0</v>
      </c>
      <c r="BI16" s="644">
        <f t="shared" si="25"/>
        <v>0</v>
      </c>
      <c r="BJ16" s="644">
        <f t="shared" si="26"/>
        <v>0</v>
      </c>
      <c r="BK16" s="644">
        <f t="shared" si="27"/>
        <v>0</v>
      </c>
      <c r="BL16" s="644">
        <f t="shared" si="28"/>
        <v>0</v>
      </c>
      <c r="BM16" s="644">
        <f t="shared" si="50"/>
        <v>0</v>
      </c>
      <c r="BN16" s="644">
        <f t="shared" si="29"/>
        <v>0</v>
      </c>
      <c r="BO16" s="644">
        <f t="shared" si="30"/>
        <v>0</v>
      </c>
      <c r="BP16" s="644">
        <f t="shared" si="31"/>
        <v>0</v>
      </c>
      <c r="BQ16" s="644">
        <f t="shared" si="32"/>
        <v>0</v>
      </c>
      <c r="BR16" s="644">
        <f t="shared" si="33"/>
        <v>0</v>
      </c>
      <c r="BS16" s="644">
        <f t="shared" si="34"/>
        <v>0</v>
      </c>
      <c r="BT16" s="644">
        <f>'Quality ROM'!S51</f>
        <v>0</v>
      </c>
      <c r="BU16" s="644">
        <f>IF(BT16=0,0,'Quality ROM'!CP16)</f>
        <v>0</v>
      </c>
      <c r="BV16" s="644">
        <f>IF(BU16=0,0,'Quality ROM'!CQ16)</f>
        <v>0</v>
      </c>
      <c r="BW16" s="644">
        <f>IF(BV16=0,0,'Quality ROM'!CR16)</f>
        <v>0</v>
      </c>
      <c r="BX16" s="644">
        <f>IF(BW16=0,0,'Quality ROM'!CS16)</f>
        <v>0</v>
      </c>
      <c r="BY16" s="644">
        <f>IF(BX16=0,0,'Quality ROM'!CT16)</f>
        <v>0</v>
      </c>
      <c r="BZ16" s="644">
        <f>IF(BY16=0,0,'Quality ROM'!CU16)</f>
        <v>0</v>
      </c>
      <c r="CA16" s="1132">
        <f>Actual!S$111</f>
        <v>0</v>
      </c>
      <c r="CB16" s="1144">
        <f>IF(CA16=0,0,'Quality ROM'!AL16)</f>
        <v>0</v>
      </c>
      <c r="CC16" s="1144">
        <f>IF(CB16=0,0,'Quality ROM'!AM16)</f>
        <v>0</v>
      </c>
      <c r="CD16" s="1144">
        <f>IF(CC16=0,0,'Quality ROM'!AN16)</f>
        <v>0</v>
      </c>
      <c r="CE16" s="1144">
        <f>IF(CD16=0,0,'Quality ROM'!AO16)</f>
        <v>0</v>
      </c>
      <c r="CF16" s="1144">
        <f>IF(CE16=0,0,'Quality ROM'!AP16)</f>
        <v>0</v>
      </c>
      <c r="CG16" s="1144">
        <f>IF(CF16=0,0,'Quality ROM'!AQ16)</f>
        <v>0</v>
      </c>
      <c r="CH16" s="644">
        <f>'Quality ROM'!T51</f>
        <v>0</v>
      </c>
      <c r="CI16" s="644">
        <f>IF(CH16=0,0,'Quality ROM'!DJ16)</f>
        <v>0</v>
      </c>
      <c r="CJ16" s="644">
        <f>IF(CI16=0,0,'Quality ROM'!DK16)</f>
        <v>0</v>
      </c>
      <c r="CK16" s="644">
        <f>IF(CJ16=0,0,'Quality ROM'!DL16)</f>
        <v>0</v>
      </c>
      <c r="CL16" s="644">
        <f>IF(CK16=0,0,'Quality ROM'!DM16)</f>
        <v>0</v>
      </c>
      <c r="CM16" s="644">
        <f>IF(CL16=0,0,'Quality ROM'!DN16)</f>
        <v>0</v>
      </c>
      <c r="CN16" s="644">
        <f>IF(CM16=0,0,'Quality ROM'!DO16)</f>
        <v>0</v>
      </c>
      <c r="CO16" s="644">
        <f>'Quality ROM'!N51</f>
        <v>0</v>
      </c>
      <c r="CP16" s="644">
        <f>IF(CO16=0,0,'Quality ROM'!CQ16)</f>
        <v>0</v>
      </c>
      <c r="CQ16" s="644">
        <f>IF(CP16=0,0,'Quality ROM'!DL16)</f>
        <v>0</v>
      </c>
      <c r="CR16" s="644">
        <f>IF(CQ16=0,0,'Quality ROM'!DM16)</f>
        <v>0</v>
      </c>
      <c r="CS16" s="644">
        <f>IF(CR16=0,0,'Quality ROM'!DN16)</f>
        <v>0</v>
      </c>
      <c r="CT16" s="644">
        <f>IF(CS16=0,0,'Quality ROM'!DO16)</f>
        <v>0</v>
      </c>
      <c r="CU16" s="644">
        <f>IF(CT16=0,0,'Quality ROM'!DP16)</f>
        <v>0</v>
      </c>
    </row>
    <row r="17" spans="1:99" ht="15">
      <c r="A17" s="1046" t="str">
        <f>'Equipment '!A20</f>
        <v>15-Sep-26</v>
      </c>
      <c r="B17" s="644">
        <f t="shared" si="3"/>
        <v>4653.6216640000002</v>
      </c>
      <c r="C17" s="644">
        <f t="shared" si="4"/>
        <v>39.897629611647439</v>
      </c>
      <c r="D17" s="644">
        <f t="shared" si="5"/>
        <v>21.790821961800834</v>
      </c>
      <c r="E17" s="644">
        <f t="shared" si="6"/>
        <v>4.7548413836596568</v>
      </c>
      <c r="F17" s="644">
        <f t="shared" si="7"/>
        <v>0.14469177749836432</v>
      </c>
      <c r="G17" s="644">
        <f t="shared" si="8"/>
        <v>4982.1526427032813</v>
      </c>
      <c r="H17" s="644">
        <f t="shared" si="9"/>
        <v>3828.830062842359</v>
      </c>
      <c r="I17" s="644">
        <f t="shared" si="35"/>
        <v>4653.6216640000002</v>
      </c>
      <c r="J17" s="644">
        <f t="shared" si="36"/>
        <v>39.897629611647439</v>
      </c>
      <c r="K17" s="644">
        <f t="shared" si="37"/>
        <v>21.790821961800834</v>
      </c>
      <c r="L17" s="644">
        <f t="shared" si="38"/>
        <v>4.7548413836596568</v>
      </c>
      <c r="M17" s="644">
        <f t="shared" si="39"/>
        <v>0.14469177749836432</v>
      </c>
      <c r="N17" s="644">
        <f t="shared" si="40"/>
        <v>4982.1526427032813</v>
      </c>
      <c r="O17" s="644">
        <f t="shared" si="41"/>
        <v>3828.830062842359</v>
      </c>
      <c r="P17" s="644">
        <f>'Quality ROM'!M52</f>
        <v>0</v>
      </c>
      <c r="Q17" s="644">
        <f>IF($P17=0,0,'Quality ROM'!J17)</f>
        <v>0</v>
      </c>
      <c r="R17" s="644">
        <f>IF($P17=0,0,'Quality ROM'!K17)</f>
        <v>0</v>
      </c>
      <c r="S17" s="644">
        <f>IF($P17=0,0,'Quality ROM'!L17)</f>
        <v>0</v>
      </c>
      <c r="T17" s="644">
        <f>IF($P17=0,0,'Quality ROM'!M17)</f>
        <v>0</v>
      </c>
      <c r="U17" s="644">
        <f>IF($P17=0,0,'Quality ROM'!N17)</f>
        <v>0</v>
      </c>
      <c r="V17" s="644">
        <f>IF($P17=0,0,'Quality ROM'!O17)</f>
        <v>0</v>
      </c>
      <c r="W17" s="1132">
        <f>Actual!T$112</f>
        <v>0</v>
      </c>
      <c r="X17" s="1144">
        <f>IF($W17=0,0,'Quality ROM'!Q17)</f>
        <v>0</v>
      </c>
      <c r="Y17" s="1144">
        <f>IF($W17=0,0,'Quality ROM'!R17)</f>
        <v>0</v>
      </c>
      <c r="Z17" s="1144">
        <f>IF($W17=0,0,'Quality ROM'!S17)</f>
        <v>0</v>
      </c>
      <c r="AA17" s="1144">
        <f>IF($W17=0,0,'Quality ROM'!T17)</f>
        <v>0</v>
      </c>
      <c r="AB17" s="1144">
        <f>IF($W17=0,0,'Quality ROM'!U17)</f>
        <v>0</v>
      </c>
      <c r="AC17" s="1144">
        <f>IF($W17=0,0,'Quality ROM'!V17)</f>
        <v>0</v>
      </c>
      <c r="AD17" s="644">
        <f t="shared" si="11"/>
        <v>48838.493441999999</v>
      </c>
      <c r="AE17" s="644">
        <f t="shared" si="12"/>
        <v>39.897904220516921</v>
      </c>
      <c r="AF17" s="644">
        <f t="shared" si="13"/>
        <v>22.279372681202894</v>
      </c>
      <c r="AG17" s="644">
        <f t="shared" si="14"/>
        <v>6.8193908890769395</v>
      </c>
      <c r="AH17" s="644">
        <f t="shared" si="15"/>
        <v>0.1792773148906143</v>
      </c>
      <c r="AI17" s="644">
        <f t="shared" si="16"/>
        <v>4777.7131932103202</v>
      </c>
      <c r="AJ17" s="644">
        <f t="shared" si="17"/>
        <v>3745.5710401698334</v>
      </c>
      <c r="AK17" s="644">
        <f t="shared" si="42"/>
        <v>48838.493441999999</v>
      </c>
      <c r="AL17" s="644">
        <f t="shared" si="43"/>
        <v>39.897904220516921</v>
      </c>
      <c r="AM17" s="644">
        <f t="shared" si="44"/>
        <v>22.279372681202894</v>
      </c>
      <c r="AN17" s="644">
        <f t="shared" si="45"/>
        <v>6.8193908890769395</v>
      </c>
      <c r="AO17" s="644">
        <f t="shared" si="46"/>
        <v>0.1792773148906143</v>
      </c>
      <c r="AP17" s="644">
        <f t="shared" si="47"/>
        <v>4777.7131932103202</v>
      </c>
      <c r="AQ17" s="644">
        <f t="shared" si="48"/>
        <v>3745.5710401698334</v>
      </c>
      <c r="AR17" s="644">
        <f>'Quality ROM'!O52+'Quality ROM'!P52</f>
        <v>0</v>
      </c>
      <c r="AS17" s="644">
        <f>IF($AR17=0,0,'Quality ROM'!AZ17)</f>
        <v>0</v>
      </c>
      <c r="AT17" s="644">
        <f>IF($AR17=0,0,'Quality ROM'!BA17)</f>
        <v>0</v>
      </c>
      <c r="AU17" s="644">
        <f>IF($AR17=0,0,'Quality ROM'!BB17)</f>
        <v>0</v>
      </c>
      <c r="AV17" s="644">
        <f>IF($AR17=0,0,'Quality ROM'!BC17)</f>
        <v>0</v>
      </c>
      <c r="AW17" s="644">
        <f>IF($AR17=0,0,'Quality ROM'!BD17)</f>
        <v>0</v>
      </c>
      <c r="AX17" s="644">
        <f>IF($AR17=0,0,'Quality ROM'!BE17)</f>
        <v>0</v>
      </c>
      <c r="AY17" s="1132">
        <f>Actual!T$113</f>
        <v>0</v>
      </c>
      <c r="AZ17" s="1144">
        <f>IF($AY17=0,0,'Quality ROM'!BG17)</f>
        <v>0</v>
      </c>
      <c r="BA17" s="1144">
        <f>IF($AY17=0,0,'Quality ROM'!BH17)</f>
        <v>0</v>
      </c>
      <c r="BB17" s="1144">
        <f>IF($AY17=0,0,'Quality ROM'!BI17)</f>
        <v>0</v>
      </c>
      <c r="BC17" s="1144">
        <f>IF($AY17=0,0,'Quality ROM'!BJ17)</f>
        <v>0</v>
      </c>
      <c r="BD17" s="1144">
        <f>IF($AY17=0,0,'Quality ROM'!BK17)</f>
        <v>0</v>
      </c>
      <c r="BE17" s="1144">
        <f>IF($AY17=0,0,'Quality ROM'!BL17)</f>
        <v>0</v>
      </c>
      <c r="BF17" s="644">
        <f t="shared" si="51"/>
        <v>0</v>
      </c>
      <c r="BG17" s="644">
        <f t="shared" si="49"/>
        <v>0</v>
      </c>
      <c r="BH17" s="644">
        <f t="shared" si="24"/>
        <v>0</v>
      </c>
      <c r="BI17" s="644">
        <f t="shared" si="25"/>
        <v>0</v>
      </c>
      <c r="BJ17" s="644">
        <f t="shared" si="26"/>
        <v>0</v>
      </c>
      <c r="BK17" s="644">
        <f t="shared" si="27"/>
        <v>0</v>
      </c>
      <c r="BL17" s="644">
        <f t="shared" si="28"/>
        <v>0</v>
      </c>
      <c r="BM17" s="644">
        <f t="shared" si="50"/>
        <v>0</v>
      </c>
      <c r="BN17" s="644">
        <f t="shared" si="29"/>
        <v>0</v>
      </c>
      <c r="BO17" s="644">
        <f t="shared" si="30"/>
        <v>0</v>
      </c>
      <c r="BP17" s="644">
        <f t="shared" si="31"/>
        <v>0</v>
      </c>
      <c r="BQ17" s="644">
        <f t="shared" si="32"/>
        <v>0</v>
      </c>
      <c r="BR17" s="644">
        <f t="shared" si="33"/>
        <v>0</v>
      </c>
      <c r="BS17" s="644">
        <f t="shared" si="34"/>
        <v>0</v>
      </c>
      <c r="BT17" s="644">
        <f>'Quality ROM'!S52</f>
        <v>0</v>
      </c>
      <c r="BU17" s="644">
        <f>IF(BT17=0,0,'Quality ROM'!CP17)</f>
        <v>0</v>
      </c>
      <c r="BV17" s="644">
        <f>IF(BU17=0,0,'Quality ROM'!CQ17)</f>
        <v>0</v>
      </c>
      <c r="BW17" s="644">
        <f>IF(BV17=0,0,'Quality ROM'!CR17)</f>
        <v>0</v>
      </c>
      <c r="BX17" s="644">
        <f>IF(BW17=0,0,'Quality ROM'!CS17)</f>
        <v>0</v>
      </c>
      <c r="BY17" s="644">
        <f>IF(BX17=0,0,'Quality ROM'!CT17)</f>
        <v>0</v>
      </c>
      <c r="BZ17" s="644">
        <f>IF(BY17=0,0,'Quality ROM'!CU17)</f>
        <v>0</v>
      </c>
      <c r="CA17" s="1132">
        <f>Actual!T$111</f>
        <v>0</v>
      </c>
      <c r="CB17" s="1144">
        <f>IF(CA17=0,0,'Quality ROM'!AL17)</f>
        <v>0</v>
      </c>
      <c r="CC17" s="1144">
        <f>IF(CB17=0,0,'Quality ROM'!AM17)</f>
        <v>0</v>
      </c>
      <c r="CD17" s="1144">
        <f>IF(CC17=0,0,'Quality ROM'!AN17)</f>
        <v>0</v>
      </c>
      <c r="CE17" s="1144">
        <f>IF(CD17=0,0,'Quality ROM'!AO17)</f>
        <v>0</v>
      </c>
      <c r="CF17" s="1144">
        <f>IF(CE17=0,0,'Quality ROM'!AP17)</f>
        <v>0</v>
      </c>
      <c r="CG17" s="1144">
        <f>IF(CF17=0,0,'Quality ROM'!AQ17)</f>
        <v>0</v>
      </c>
      <c r="CH17" s="644">
        <f>'Quality ROM'!T52</f>
        <v>0</v>
      </c>
      <c r="CI17" s="644">
        <f>IF(CH17=0,0,'Quality ROM'!DJ17)</f>
        <v>0</v>
      </c>
      <c r="CJ17" s="644">
        <f>IF(CI17=0,0,'Quality ROM'!DK17)</f>
        <v>0</v>
      </c>
      <c r="CK17" s="644">
        <f>IF(CJ17=0,0,'Quality ROM'!DL17)</f>
        <v>0</v>
      </c>
      <c r="CL17" s="644">
        <f>IF(CK17=0,0,'Quality ROM'!DM17)</f>
        <v>0</v>
      </c>
      <c r="CM17" s="644">
        <f>IF(CL17=0,0,'Quality ROM'!DN17)</f>
        <v>0</v>
      </c>
      <c r="CN17" s="644">
        <f>IF(CM17=0,0,'Quality ROM'!DO17)</f>
        <v>0</v>
      </c>
      <c r="CO17" s="644">
        <f>'Quality ROM'!N52</f>
        <v>0</v>
      </c>
      <c r="CP17" s="644">
        <f>IF(CO17=0,0,'Quality ROM'!CQ17)</f>
        <v>0</v>
      </c>
      <c r="CQ17" s="644">
        <f>IF(CP17=0,0,'Quality ROM'!DL17)</f>
        <v>0</v>
      </c>
      <c r="CR17" s="644">
        <f>IF(CQ17=0,0,'Quality ROM'!DM17)</f>
        <v>0</v>
      </c>
      <c r="CS17" s="644">
        <f>IF(CR17=0,0,'Quality ROM'!DN17)</f>
        <v>0</v>
      </c>
      <c r="CT17" s="644">
        <f>IF(CS17=0,0,'Quality ROM'!DO17)</f>
        <v>0</v>
      </c>
      <c r="CU17" s="644">
        <f>IF(CT17=0,0,'Quality ROM'!DP17)</f>
        <v>0</v>
      </c>
    </row>
    <row r="18" spans="1:99" ht="15">
      <c r="A18" s="1046" t="str">
        <f>'Equipment '!A21</f>
        <v>16-Sep-26</v>
      </c>
      <c r="B18" s="644">
        <f t="shared" si="3"/>
        <v>4653.6216640000002</v>
      </c>
      <c r="C18" s="644">
        <f t="shared" si="4"/>
        <v>39.897629611647439</v>
      </c>
      <c r="D18" s="644">
        <f t="shared" si="5"/>
        <v>21.790821961800834</v>
      </c>
      <c r="E18" s="644">
        <f t="shared" si="6"/>
        <v>4.7548413836596568</v>
      </c>
      <c r="F18" s="644">
        <f t="shared" si="7"/>
        <v>0.14469177749836432</v>
      </c>
      <c r="G18" s="644">
        <f t="shared" si="8"/>
        <v>4982.1526427032813</v>
      </c>
      <c r="H18" s="644">
        <f t="shared" si="9"/>
        <v>3828.830062842359</v>
      </c>
      <c r="I18" s="644">
        <f t="shared" si="35"/>
        <v>4653.6216640000002</v>
      </c>
      <c r="J18" s="644">
        <f t="shared" si="36"/>
        <v>39.897629611647439</v>
      </c>
      <c r="K18" s="644">
        <f t="shared" si="37"/>
        <v>21.790821961800834</v>
      </c>
      <c r="L18" s="644">
        <f t="shared" si="38"/>
        <v>4.7548413836596568</v>
      </c>
      <c r="M18" s="644">
        <f t="shared" si="39"/>
        <v>0.14469177749836432</v>
      </c>
      <c r="N18" s="644">
        <f t="shared" si="40"/>
        <v>4982.1526427032813</v>
      </c>
      <c r="O18" s="644">
        <f t="shared" si="41"/>
        <v>3828.830062842359</v>
      </c>
      <c r="P18" s="644">
        <f>'Quality ROM'!M53</f>
        <v>0</v>
      </c>
      <c r="Q18" s="644">
        <f>IF($P18=0,0,'Quality ROM'!J18)</f>
        <v>0</v>
      </c>
      <c r="R18" s="644">
        <f>IF($P18=0,0,'Quality ROM'!K18)</f>
        <v>0</v>
      </c>
      <c r="S18" s="644">
        <f>IF($P18=0,0,'Quality ROM'!L18)</f>
        <v>0</v>
      </c>
      <c r="T18" s="644">
        <f>IF($P18=0,0,'Quality ROM'!M18)</f>
        <v>0</v>
      </c>
      <c r="U18" s="644">
        <f>IF($P18=0,0,'Quality ROM'!N18)</f>
        <v>0</v>
      </c>
      <c r="V18" s="644">
        <f>IF($P18=0,0,'Quality ROM'!O18)</f>
        <v>0</v>
      </c>
      <c r="W18" s="1132">
        <f>Actual!U$112</f>
        <v>0</v>
      </c>
      <c r="X18" s="1144">
        <f>IF($W18=0,0,'Quality ROM'!Q18)</f>
        <v>0</v>
      </c>
      <c r="Y18" s="1144">
        <f>IF($W18=0,0,'Quality ROM'!R18)</f>
        <v>0</v>
      </c>
      <c r="Z18" s="1144">
        <f>IF($W18=0,0,'Quality ROM'!S18)</f>
        <v>0</v>
      </c>
      <c r="AA18" s="1144">
        <f>IF($W18=0,0,'Quality ROM'!T18)</f>
        <v>0</v>
      </c>
      <c r="AB18" s="1144">
        <f>IF($W18=0,0,'Quality ROM'!U18)</f>
        <v>0</v>
      </c>
      <c r="AC18" s="1144">
        <f>IF($W18=0,0,'Quality ROM'!V18)</f>
        <v>0</v>
      </c>
      <c r="AD18" s="644">
        <f t="shared" si="11"/>
        <v>48838.493441999999</v>
      </c>
      <c r="AE18" s="644">
        <f t="shared" si="12"/>
        <v>39.897904220516921</v>
      </c>
      <c r="AF18" s="644">
        <f t="shared" si="13"/>
        <v>22.279372681202894</v>
      </c>
      <c r="AG18" s="644">
        <f t="shared" si="14"/>
        <v>6.8193908890769395</v>
      </c>
      <c r="AH18" s="644">
        <f t="shared" si="15"/>
        <v>0.1792773148906143</v>
      </c>
      <c r="AI18" s="644">
        <f t="shared" si="16"/>
        <v>4777.7131932103202</v>
      </c>
      <c r="AJ18" s="644">
        <f t="shared" si="17"/>
        <v>3745.5710401698334</v>
      </c>
      <c r="AK18" s="644">
        <f t="shared" si="42"/>
        <v>48838.493441999999</v>
      </c>
      <c r="AL18" s="644">
        <f t="shared" si="43"/>
        <v>39.897904220516921</v>
      </c>
      <c r="AM18" s="644">
        <f t="shared" si="44"/>
        <v>22.279372681202894</v>
      </c>
      <c r="AN18" s="644">
        <f t="shared" si="45"/>
        <v>6.8193908890769395</v>
      </c>
      <c r="AO18" s="644">
        <f t="shared" si="46"/>
        <v>0.1792773148906143</v>
      </c>
      <c r="AP18" s="644">
        <f t="shared" si="47"/>
        <v>4777.7131932103202</v>
      </c>
      <c r="AQ18" s="644">
        <f t="shared" si="48"/>
        <v>3745.5710401698334</v>
      </c>
      <c r="AR18" s="644">
        <f>'Quality ROM'!O53+'Quality ROM'!P53</f>
        <v>0</v>
      </c>
      <c r="AS18" s="644">
        <f>IF($AR18=0,0,'Quality ROM'!AZ18)</f>
        <v>0</v>
      </c>
      <c r="AT18" s="644">
        <f>IF($AR18=0,0,'Quality ROM'!BA18)</f>
        <v>0</v>
      </c>
      <c r="AU18" s="644">
        <f>IF($AR18=0,0,'Quality ROM'!BB18)</f>
        <v>0</v>
      </c>
      <c r="AV18" s="644">
        <f>IF($AR18=0,0,'Quality ROM'!BC18)</f>
        <v>0</v>
      </c>
      <c r="AW18" s="644">
        <f>IF($AR18=0,0,'Quality ROM'!BD18)</f>
        <v>0</v>
      </c>
      <c r="AX18" s="644">
        <f>IF($AR18=0,0,'Quality ROM'!BE18)</f>
        <v>0</v>
      </c>
      <c r="AY18" s="1132">
        <f>Actual!U$113</f>
        <v>0</v>
      </c>
      <c r="AZ18" s="1144">
        <f>IF($AY18=0,0,'Quality ROM'!BG18)</f>
        <v>0</v>
      </c>
      <c r="BA18" s="1144">
        <f>IF($AY18=0,0,'Quality ROM'!BH18)</f>
        <v>0</v>
      </c>
      <c r="BB18" s="1144">
        <f>IF($AY18=0,0,'Quality ROM'!BI18)</f>
        <v>0</v>
      </c>
      <c r="BC18" s="1144">
        <f>IF($AY18=0,0,'Quality ROM'!BJ18)</f>
        <v>0</v>
      </c>
      <c r="BD18" s="1144">
        <f>IF($AY18=0,0,'Quality ROM'!BK18)</f>
        <v>0</v>
      </c>
      <c r="BE18" s="1144">
        <f>IF($AY18=0,0,'Quality ROM'!BL18)</f>
        <v>0</v>
      </c>
      <c r="BF18" s="644">
        <f t="shared" si="51"/>
        <v>0</v>
      </c>
      <c r="BG18" s="644">
        <f t="shared" si="49"/>
        <v>0</v>
      </c>
      <c r="BH18" s="644">
        <f t="shared" si="24"/>
        <v>0</v>
      </c>
      <c r="BI18" s="644">
        <f t="shared" si="25"/>
        <v>0</v>
      </c>
      <c r="BJ18" s="644">
        <f t="shared" si="26"/>
        <v>0</v>
      </c>
      <c r="BK18" s="644">
        <f t="shared" si="27"/>
        <v>0</v>
      </c>
      <c r="BL18" s="644">
        <f t="shared" si="28"/>
        <v>0</v>
      </c>
      <c r="BM18" s="644">
        <f t="shared" si="50"/>
        <v>0</v>
      </c>
      <c r="BN18" s="644">
        <f t="shared" si="29"/>
        <v>0</v>
      </c>
      <c r="BO18" s="644">
        <f t="shared" si="30"/>
        <v>0</v>
      </c>
      <c r="BP18" s="644">
        <f t="shared" si="31"/>
        <v>0</v>
      </c>
      <c r="BQ18" s="644">
        <f t="shared" si="32"/>
        <v>0</v>
      </c>
      <c r="BR18" s="644">
        <f t="shared" si="33"/>
        <v>0</v>
      </c>
      <c r="BS18" s="644">
        <f t="shared" si="34"/>
        <v>0</v>
      </c>
      <c r="BT18" s="644">
        <f>'Quality ROM'!S53</f>
        <v>0</v>
      </c>
      <c r="BU18" s="644">
        <f>IF(BT18=0,0,'Quality ROM'!CP18)</f>
        <v>0</v>
      </c>
      <c r="BV18" s="644">
        <f>IF(BU18=0,0,'Quality ROM'!CQ18)</f>
        <v>0</v>
      </c>
      <c r="BW18" s="644">
        <f>IF(BV18=0,0,'Quality ROM'!CR18)</f>
        <v>0</v>
      </c>
      <c r="BX18" s="644">
        <f>IF(BW18=0,0,'Quality ROM'!CS18)</f>
        <v>0</v>
      </c>
      <c r="BY18" s="644">
        <f>IF(BX18=0,0,'Quality ROM'!CT18)</f>
        <v>0</v>
      </c>
      <c r="BZ18" s="644">
        <f>IF(BY18=0,0,'Quality ROM'!CU18)</f>
        <v>0</v>
      </c>
      <c r="CA18" s="1132">
        <f>Actual!U$111</f>
        <v>0</v>
      </c>
      <c r="CB18" s="1144">
        <f>IF(CA18=0,0,'Quality ROM'!AL18)</f>
        <v>0</v>
      </c>
      <c r="CC18" s="1144">
        <f>IF(CB18=0,0,'Quality ROM'!AM18)</f>
        <v>0</v>
      </c>
      <c r="CD18" s="1144">
        <f>IF(CC18=0,0,'Quality ROM'!AN18)</f>
        <v>0</v>
      </c>
      <c r="CE18" s="1144">
        <f>IF(CD18=0,0,'Quality ROM'!AO18)</f>
        <v>0</v>
      </c>
      <c r="CF18" s="1144">
        <f>IF(CE18=0,0,'Quality ROM'!AP18)</f>
        <v>0</v>
      </c>
      <c r="CG18" s="1144">
        <f>IF(CF18=0,0,'Quality ROM'!AQ18)</f>
        <v>0</v>
      </c>
      <c r="CH18" s="644">
        <f>'Quality ROM'!T53</f>
        <v>0</v>
      </c>
      <c r="CI18" s="644">
        <f>IF(CH18=0,0,'Quality ROM'!DJ18)</f>
        <v>0</v>
      </c>
      <c r="CJ18" s="644">
        <f>IF(CI18=0,0,'Quality ROM'!DK18)</f>
        <v>0</v>
      </c>
      <c r="CK18" s="644">
        <f>IF(CJ18=0,0,'Quality ROM'!DL18)</f>
        <v>0</v>
      </c>
      <c r="CL18" s="644">
        <f>IF(CK18=0,0,'Quality ROM'!DM18)</f>
        <v>0</v>
      </c>
      <c r="CM18" s="644">
        <f>IF(CL18=0,0,'Quality ROM'!DN18)</f>
        <v>0</v>
      </c>
      <c r="CN18" s="644">
        <f>IF(CM18=0,0,'Quality ROM'!DO18)</f>
        <v>0</v>
      </c>
      <c r="CO18" s="644">
        <f>'Quality ROM'!N53</f>
        <v>0</v>
      </c>
      <c r="CP18" s="644">
        <f>IF(CO18=0,0,'Quality ROM'!CQ18)</f>
        <v>0</v>
      </c>
      <c r="CQ18" s="644">
        <f>IF(CP18=0,0,'Quality ROM'!DL18)</f>
        <v>0</v>
      </c>
      <c r="CR18" s="644">
        <f>IF(CQ18=0,0,'Quality ROM'!DM18)</f>
        <v>0</v>
      </c>
      <c r="CS18" s="644">
        <f>IF(CR18=0,0,'Quality ROM'!DN18)</f>
        <v>0</v>
      </c>
      <c r="CT18" s="644">
        <f>IF(CS18=0,0,'Quality ROM'!DO18)</f>
        <v>0</v>
      </c>
      <c r="CU18" s="644">
        <f>IF(CT18=0,0,'Quality ROM'!DP18)</f>
        <v>0</v>
      </c>
    </row>
    <row r="19" spans="1:99" ht="15">
      <c r="A19" s="1046" t="str">
        <f>'Equipment '!A22</f>
        <v>17-Sep-26</v>
      </c>
      <c r="B19" s="644">
        <f t="shared" si="3"/>
        <v>4653.6216640000002</v>
      </c>
      <c r="C19" s="644">
        <f t="shared" si="4"/>
        <v>39.897629611647439</v>
      </c>
      <c r="D19" s="644">
        <f t="shared" si="5"/>
        <v>21.790821961800834</v>
      </c>
      <c r="E19" s="644">
        <f t="shared" si="6"/>
        <v>4.7548413836596568</v>
      </c>
      <c r="F19" s="644">
        <f t="shared" si="7"/>
        <v>0.14469177749836432</v>
      </c>
      <c r="G19" s="644">
        <f t="shared" si="8"/>
        <v>4982.1526427032813</v>
      </c>
      <c r="H19" s="644">
        <f t="shared" si="9"/>
        <v>3828.830062842359</v>
      </c>
      <c r="I19" s="644">
        <f t="shared" si="35"/>
        <v>4653.6216640000002</v>
      </c>
      <c r="J19" s="644">
        <f t="shared" si="36"/>
        <v>39.897629611647439</v>
      </c>
      <c r="K19" s="644">
        <f t="shared" si="37"/>
        <v>21.790821961800834</v>
      </c>
      <c r="L19" s="644">
        <f t="shared" si="38"/>
        <v>4.7548413836596568</v>
      </c>
      <c r="M19" s="644">
        <f t="shared" si="39"/>
        <v>0.14469177749836432</v>
      </c>
      <c r="N19" s="644">
        <f t="shared" si="40"/>
        <v>4982.1526427032813</v>
      </c>
      <c r="O19" s="644">
        <f t="shared" si="41"/>
        <v>3828.830062842359</v>
      </c>
      <c r="P19" s="644">
        <f>'Quality ROM'!M54</f>
        <v>0</v>
      </c>
      <c r="Q19" s="644">
        <f>IF($P19=0,0,'Quality ROM'!J19)</f>
        <v>0</v>
      </c>
      <c r="R19" s="644">
        <f>IF($P19=0,0,'Quality ROM'!K19)</f>
        <v>0</v>
      </c>
      <c r="S19" s="644">
        <f>IF($P19=0,0,'Quality ROM'!L19)</f>
        <v>0</v>
      </c>
      <c r="T19" s="644">
        <f>IF($P19=0,0,'Quality ROM'!M19)</f>
        <v>0</v>
      </c>
      <c r="U19" s="644">
        <f>IF($P19=0,0,'Quality ROM'!N19)</f>
        <v>0</v>
      </c>
      <c r="V19" s="644">
        <f>IF($P19=0,0,'Quality ROM'!O19)</f>
        <v>0</v>
      </c>
      <c r="W19" s="1132">
        <f>Actual!V$112</f>
        <v>0</v>
      </c>
      <c r="X19" s="1144">
        <f>IF($W19=0,0,'Quality ROM'!Q19)</f>
        <v>0</v>
      </c>
      <c r="Y19" s="1144">
        <f>IF($W19=0,0,'Quality ROM'!R19)</f>
        <v>0</v>
      </c>
      <c r="Z19" s="1144">
        <f>IF($W19=0,0,'Quality ROM'!S19)</f>
        <v>0</v>
      </c>
      <c r="AA19" s="1144">
        <f>IF($W19=0,0,'Quality ROM'!T19)</f>
        <v>0</v>
      </c>
      <c r="AB19" s="1144">
        <f>IF($W19=0,0,'Quality ROM'!U19)</f>
        <v>0</v>
      </c>
      <c r="AC19" s="1144">
        <f>IF($W19=0,0,'Quality ROM'!V19)</f>
        <v>0</v>
      </c>
      <c r="AD19" s="644">
        <f t="shared" si="11"/>
        <v>48838.493441999999</v>
      </c>
      <c r="AE19" s="644">
        <f t="shared" si="12"/>
        <v>39.897904220516921</v>
      </c>
      <c r="AF19" s="644">
        <f t="shared" si="13"/>
        <v>22.279372681202894</v>
      </c>
      <c r="AG19" s="644">
        <f t="shared" si="14"/>
        <v>6.8193908890769395</v>
      </c>
      <c r="AH19" s="644">
        <f t="shared" si="15"/>
        <v>0.1792773148906143</v>
      </c>
      <c r="AI19" s="644">
        <f t="shared" si="16"/>
        <v>4777.7131932103202</v>
      </c>
      <c r="AJ19" s="644">
        <f t="shared" si="17"/>
        <v>3745.5710401698334</v>
      </c>
      <c r="AK19" s="644">
        <f t="shared" si="42"/>
        <v>48838.493441999999</v>
      </c>
      <c r="AL19" s="644">
        <f t="shared" si="43"/>
        <v>39.897904220516921</v>
      </c>
      <c r="AM19" s="644">
        <f t="shared" si="44"/>
        <v>22.279372681202894</v>
      </c>
      <c r="AN19" s="644">
        <f t="shared" si="45"/>
        <v>6.8193908890769395</v>
      </c>
      <c r="AO19" s="644">
        <f t="shared" si="46"/>
        <v>0.1792773148906143</v>
      </c>
      <c r="AP19" s="644">
        <f t="shared" si="47"/>
        <v>4777.7131932103202</v>
      </c>
      <c r="AQ19" s="644">
        <f t="shared" si="48"/>
        <v>3745.5710401698334</v>
      </c>
      <c r="AR19" s="644">
        <f>'Quality ROM'!O54+'Quality ROM'!P54</f>
        <v>0</v>
      </c>
      <c r="AS19" s="644">
        <f>IF($AR19=0,0,'Quality ROM'!AZ19)</f>
        <v>0</v>
      </c>
      <c r="AT19" s="644">
        <f>IF($AR19=0,0,'Quality ROM'!BA19)</f>
        <v>0</v>
      </c>
      <c r="AU19" s="644">
        <f>IF($AR19=0,0,'Quality ROM'!BB19)</f>
        <v>0</v>
      </c>
      <c r="AV19" s="644">
        <f>IF($AR19=0,0,'Quality ROM'!BC19)</f>
        <v>0</v>
      </c>
      <c r="AW19" s="644">
        <f>IF($AR19=0,0,'Quality ROM'!BD19)</f>
        <v>0</v>
      </c>
      <c r="AX19" s="644">
        <f>IF($AR19=0,0,'Quality ROM'!BE19)</f>
        <v>0</v>
      </c>
      <c r="AY19" s="1132">
        <f>Actual!V$113</f>
        <v>0</v>
      </c>
      <c r="AZ19" s="1144">
        <f>IF($AY19=0,0,'Quality ROM'!BG19)</f>
        <v>0</v>
      </c>
      <c r="BA19" s="1144">
        <f>IF($AY19=0,0,'Quality ROM'!BH19)</f>
        <v>0</v>
      </c>
      <c r="BB19" s="1144">
        <f>IF($AY19=0,0,'Quality ROM'!BI19)</f>
        <v>0</v>
      </c>
      <c r="BC19" s="1144">
        <f>IF($AY19=0,0,'Quality ROM'!BJ19)</f>
        <v>0</v>
      </c>
      <c r="BD19" s="1144">
        <f>IF($AY19=0,0,'Quality ROM'!BK19)</f>
        <v>0</v>
      </c>
      <c r="BE19" s="1144">
        <f>IF($AY19=0,0,'Quality ROM'!BL19)</f>
        <v>0</v>
      </c>
      <c r="BF19" s="644">
        <f>BT19+CA19+BM19+CH19-AF54</f>
        <v>0</v>
      </c>
      <c r="BG19" s="644">
        <f t="shared" si="49"/>
        <v>0</v>
      </c>
      <c r="BH19" s="644">
        <f t="shared" si="24"/>
        <v>0</v>
      </c>
      <c r="BI19" s="644">
        <f t="shared" si="25"/>
        <v>0</v>
      </c>
      <c r="BJ19" s="644">
        <f t="shared" si="26"/>
        <v>0</v>
      </c>
      <c r="BK19" s="644">
        <f t="shared" si="27"/>
        <v>0</v>
      </c>
      <c r="BL19" s="644">
        <f t="shared" si="28"/>
        <v>0</v>
      </c>
      <c r="BM19" s="644">
        <f t="shared" si="50"/>
        <v>0</v>
      </c>
      <c r="BN19" s="644">
        <f t="shared" si="29"/>
        <v>0</v>
      </c>
      <c r="BO19" s="644">
        <f t="shared" si="30"/>
        <v>0</v>
      </c>
      <c r="BP19" s="644">
        <f t="shared" si="31"/>
        <v>0</v>
      </c>
      <c r="BQ19" s="644">
        <f t="shared" si="32"/>
        <v>0</v>
      </c>
      <c r="BR19" s="644">
        <f t="shared" si="33"/>
        <v>0</v>
      </c>
      <c r="BS19" s="644">
        <f t="shared" si="34"/>
        <v>0</v>
      </c>
      <c r="BT19" s="644">
        <f>'Quality ROM'!S54</f>
        <v>0</v>
      </c>
      <c r="BU19" s="644">
        <f>IF(BT19=0,0,'Quality ROM'!CP19)</f>
        <v>0</v>
      </c>
      <c r="BV19" s="644">
        <f>IF(BU19=0,0,'Quality ROM'!CQ19)</f>
        <v>0</v>
      </c>
      <c r="BW19" s="644">
        <f>IF(BV19=0,0,'Quality ROM'!CR19)</f>
        <v>0</v>
      </c>
      <c r="BX19" s="644">
        <f>IF(BW19=0,0,'Quality ROM'!CS19)</f>
        <v>0</v>
      </c>
      <c r="BY19" s="644">
        <f>IF(BX19=0,0,'Quality ROM'!CT19)</f>
        <v>0</v>
      </c>
      <c r="BZ19" s="644">
        <f>IF(BY19=0,0,'Quality ROM'!CU19)</f>
        <v>0</v>
      </c>
      <c r="CA19" s="1132">
        <f>Actual!V$111</f>
        <v>0</v>
      </c>
      <c r="CB19" s="1144">
        <f>IF(CA19=0,0,'Quality ROM'!AL19)</f>
        <v>0</v>
      </c>
      <c r="CC19" s="1144">
        <f>IF(CB19=0,0,'Quality ROM'!AM19)</f>
        <v>0</v>
      </c>
      <c r="CD19" s="1144">
        <f>IF(CC19=0,0,'Quality ROM'!AN19)</f>
        <v>0</v>
      </c>
      <c r="CE19" s="1144">
        <f>IF(CD19=0,0,'Quality ROM'!AO19)</f>
        <v>0</v>
      </c>
      <c r="CF19" s="1144">
        <f>IF(CE19=0,0,'Quality ROM'!AP19)</f>
        <v>0</v>
      </c>
      <c r="CG19" s="1144">
        <f>IF(CF19=0,0,'Quality ROM'!AQ19)</f>
        <v>0</v>
      </c>
      <c r="CH19" s="644">
        <f>'Quality ROM'!T54</f>
        <v>0</v>
      </c>
      <c r="CI19" s="644">
        <f>IF(CH19=0,0,'Quality ROM'!DJ19)</f>
        <v>0</v>
      </c>
      <c r="CJ19" s="644">
        <f>IF(CI19=0,0,'Quality ROM'!DK19)</f>
        <v>0</v>
      </c>
      <c r="CK19" s="644">
        <f>IF(CJ19=0,0,'Quality ROM'!DL19)</f>
        <v>0</v>
      </c>
      <c r="CL19" s="644">
        <f>IF(CK19=0,0,'Quality ROM'!DM19)</f>
        <v>0</v>
      </c>
      <c r="CM19" s="644">
        <f>IF(CL19=0,0,'Quality ROM'!DN19)</f>
        <v>0</v>
      </c>
      <c r="CN19" s="644">
        <f>IF(CM19=0,0,'Quality ROM'!DO19)</f>
        <v>0</v>
      </c>
      <c r="CO19" s="644">
        <f>'Quality ROM'!N54</f>
        <v>0</v>
      </c>
      <c r="CP19" s="644">
        <f>IF(CO19=0,0,'Quality ROM'!CQ19)</f>
        <v>0</v>
      </c>
      <c r="CQ19" s="644">
        <f>IF(CP19=0,0,'Quality ROM'!DL19)</f>
        <v>0</v>
      </c>
      <c r="CR19" s="644">
        <f>IF(CQ19=0,0,'Quality ROM'!DM19)</f>
        <v>0</v>
      </c>
      <c r="CS19" s="644">
        <f>IF(CR19=0,0,'Quality ROM'!DN19)</f>
        <v>0</v>
      </c>
      <c r="CT19" s="644">
        <f>IF(CS19=0,0,'Quality ROM'!DO19)</f>
        <v>0</v>
      </c>
      <c r="CU19" s="644">
        <f>IF(CT19=0,0,'Quality ROM'!DP19)</f>
        <v>0</v>
      </c>
    </row>
    <row r="20" spans="1:99" ht="15">
      <c r="A20" s="1046" t="str">
        <f>'Equipment '!A23</f>
        <v>18-Sep-26</v>
      </c>
      <c r="B20" s="644">
        <f t="shared" si="3"/>
        <v>4653.6216640000002</v>
      </c>
      <c r="C20" s="644">
        <f t="shared" si="4"/>
        <v>39.897629611647439</v>
      </c>
      <c r="D20" s="644">
        <f t="shared" si="5"/>
        <v>21.790821961800834</v>
      </c>
      <c r="E20" s="644">
        <f t="shared" si="6"/>
        <v>4.7548413836596568</v>
      </c>
      <c r="F20" s="644">
        <f t="shared" si="7"/>
        <v>0.14469177749836432</v>
      </c>
      <c r="G20" s="644">
        <f t="shared" si="8"/>
        <v>4982.1526427032813</v>
      </c>
      <c r="H20" s="644">
        <f t="shared" si="9"/>
        <v>3828.830062842359</v>
      </c>
      <c r="I20" s="644">
        <f t="shared" si="35"/>
        <v>4653.6216640000002</v>
      </c>
      <c r="J20" s="644">
        <f t="shared" si="36"/>
        <v>39.897629611647439</v>
      </c>
      <c r="K20" s="644">
        <f t="shared" si="37"/>
        <v>21.790821961800834</v>
      </c>
      <c r="L20" s="644">
        <f t="shared" si="38"/>
        <v>4.7548413836596568</v>
      </c>
      <c r="M20" s="644">
        <f t="shared" si="39"/>
        <v>0.14469177749836432</v>
      </c>
      <c r="N20" s="644">
        <f t="shared" si="40"/>
        <v>4982.1526427032813</v>
      </c>
      <c r="O20" s="644">
        <f t="shared" si="41"/>
        <v>3828.830062842359</v>
      </c>
      <c r="P20" s="644">
        <f>'Quality ROM'!M55</f>
        <v>0</v>
      </c>
      <c r="Q20" s="644">
        <f>IF($P20=0,0,'Quality ROM'!J20)</f>
        <v>0</v>
      </c>
      <c r="R20" s="644">
        <f>IF($P20=0,0,'Quality ROM'!K20)</f>
        <v>0</v>
      </c>
      <c r="S20" s="644">
        <f>IF($P20=0,0,'Quality ROM'!L20)</f>
        <v>0</v>
      </c>
      <c r="T20" s="644">
        <f>IF($P20=0,0,'Quality ROM'!M20)</f>
        <v>0</v>
      </c>
      <c r="U20" s="644">
        <f>IF($P20=0,0,'Quality ROM'!N20)</f>
        <v>0</v>
      </c>
      <c r="V20" s="644">
        <f>IF($P20=0,0,'Quality ROM'!O20)</f>
        <v>0</v>
      </c>
      <c r="W20" s="1132">
        <f>Actual!W$112</f>
        <v>0</v>
      </c>
      <c r="X20" s="1144">
        <f>IF($W20=0,0,'Quality ROM'!Q20)</f>
        <v>0</v>
      </c>
      <c r="Y20" s="1144">
        <f>IF($W20=0,0,'Quality ROM'!R20)</f>
        <v>0</v>
      </c>
      <c r="Z20" s="1144">
        <f>IF($W20=0,0,'Quality ROM'!S20)</f>
        <v>0</v>
      </c>
      <c r="AA20" s="1144">
        <f>IF($W20=0,0,'Quality ROM'!T20)</f>
        <v>0</v>
      </c>
      <c r="AB20" s="1144">
        <f>IF($W20=0,0,'Quality ROM'!U20)</f>
        <v>0</v>
      </c>
      <c r="AC20" s="1144">
        <f>IF($W20=0,0,'Quality ROM'!V20)</f>
        <v>0</v>
      </c>
      <c r="AD20" s="644">
        <f>AR20+AY20+AK20-Y55</f>
        <v>48838.493441999999</v>
      </c>
      <c r="AE20" s="644">
        <f t="shared" si="12"/>
        <v>39.897904220516921</v>
      </c>
      <c r="AF20" s="644">
        <f t="shared" si="13"/>
        <v>22.279372681202894</v>
      </c>
      <c r="AG20" s="644">
        <f t="shared" si="14"/>
        <v>6.8193908890769395</v>
      </c>
      <c r="AH20" s="644">
        <f t="shared" si="15"/>
        <v>0.1792773148906143</v>
      </c>
      <c r="AI20" s="644">
        <f t="shared" si="16"/>
        <v>4777.7131932103202</v>
      </c>
      <c r="AJ20" s="644">
        <f t="shared" si="17"/>
        <v>3745.5710401698334</v>
      </c>
      <c r="AK20" s="644">
        <f t="shared" si="42"/>
        <v>48838.493441999999</v>
      </c>
      <c r="AL20" s="644">
        <f t="shared" si="43"/>
        <v>39.897904220516921</v>
      </c>
      <c r="AM20" s="644">
        <f t="shared" si="44"/>
        <v>22.279372681202894</v>
      </c>
      <c r="AN20" s="644">
        <f t="shared" si="45"/>
        <v>6.8193908890769395</v>
      </c>
      <c r="AO20" s="644">
        <f t="shared" si="46"/>
        <v>0.1792773148906143</v>
      </c>
      <c r="AP20" s="644">
        <f t="shared" si="47"/>
        <v>4777.7131932103202</v>
      </c>
      <c r="AQ20" s="644">
        <f t="shared" si="48"/>
        <v>3745.5710401698334</v>
      </c>
      <c r="AR20" s="644">
        <f>'Quality ROM'!O55+'Quality ROM'!P55</f>
        <v>0</v>
      </c>
      <c r="AS20" s="644">
        <f>IF($AR20=0,0,'Quality ROM'!AZ20)</f>
        <v>0</v>
      </c>
      <c r="AT20" s="644">
        <f>IF($AR20=0,0,'Quality ROM'!BA20)</f>
        <v>0</v>
      </c>
      <c r="AU20" s="644">
        <f>IF($AR20=0,0,'Quality ROM'!BB20)</f>
        <v>0</v>
      </c>
      <c r="AV20" s="644">
        <f>IF($AR20=0,0,'Quality ROM'!BC20)</f>
        <v>0</v>
      </c>
      <c r="AW20" s="644">
        <f>IF($AR20=0,0,'Quality ROM'!BD20)</f>
        <v>0</v>
      </c>
      <c r="AX20" s="644">
        <f>IF($AR20=0,0,'Quality ROM'!BE20)</f>
        <v>0</v>
      </c>
      <c r="AY20" s="1132">
        <f>Actual!W$113</f>
        <v>0</v>
      </c>
      <c r="AZ20" s="1144">
        <f>IF($AY20=0,0,'Quality ROM'!BG20)</f>
        <v>0</v>
      </c>
      <c r="BA20" s="1144">
        <f>IF($AY20=0,0,'Quality ROM'!BH20)</f>
        <v>0</v>
      </c>
      <c r="BB20" s="1144">
        <f>IF($AY20=0,0,'Quality ROM'!BI20)</f>
        <v>0</v>
      </c>
      <c r="BC20" s="1144">
        <f>IF($AY20=0,0,'Quality ROM'!BJ20)</f>
        <v>0</v>
      </c>
      <c r="BD20" s="1144">
        <f>IF($AY20=0,0,'Quality ROM'!BK20)</f>
        <v>0</v>
      </c>
      <c r="BE20" s="1144">
        <f>IF($AY20=0,0,'Quality ROM'!BL20)</f>
        <v>0</v>
      </c>
      <c r="BF20" s="644">
        <f t="shared" si="51"/>
        <v>0</v>
      </c>
      <c r="BG20" s="644">
        <f t="shared" si="49"/>
        <v>0</v>
      </c>
      <c r="BH20" s="644">
        <f t="shared" si="24"/>
        <v>0</v>
      </c>
      <c r="BI20" s="644">
        <f t="shared" si="25"/>
        <v>0</v>
      </c>
      <c r="BJ20" s="644">
        <f t="shared" si="26"/>
        <v>0</v>
      </c>
      <c r="BK20" s="644">
        <f t="shared" si="27"/>
        <v>0</v>
      </c>
      <c r="BL20" s="644">
        <f t="shared" si="28"/>
        <v>0</v>
      </c>
      <c r="BM20" s="644">
        <f t="shared" si="50"/>
        <v>0</v>
      </c>
      <c r="BN20" s="644">
        <f t="shared" si="29"/>
        <v>0</v>
      </c>
      <c r="BO20" s="644">
        <f t="shared" si="30"/>
        <v>0</v>
      </c>
      <c r="BP20" s="644">
        <f t="shared" si="31"/>
        <v>0</v>
      </c>
      <c r="BQ20" s="644">
        <f t="shared" si="32"/>
        <v>0</v>
      </c>
      <c r="BR20" s="644">
        <f t="shared" si="33"/>
        <v>0</v>
      </c>
      <c r="BS20" s="644">
        <f t="shared" si="34"/>
        <v>0</v>
      </c>
      <c r="BT20" s="644">
        <f>'Quality ROM'!S55</f>
        <v>0</v>
      </c>
      <c r="BU20" s="644">
        <f>IF(BT20=0,0,'Quality ROM'!CP20)</f>
        <v>0</v>
      </c>
      <c r="BV20" s="644">
        <f>IF(BU20=0,0,'Quality ROM'!CQ20)</f>
        <v>0</v>
      </c>
      <c r="BW20" s="644">
        <f>IF(BV20=0,0,'Quality ROM'!CR20)</f>
        <v>0</v>
      </c>
      <c r="BX20" s="644">
        <f>IF(BW20=0,0,'Quality ROM'!CS20)</f>
        <v>0</v>
      </c>
      <c r="BY20" s="644">
        <f>IF(BX20=0,0,'Quality ROM'!CT20)</f>
        <v>0</v>
      </c>
      <c r="BZ20" s="644">
        <f>IF(BY20=0,0,'Quality ROM'!CU20)</f>
        <v>0</v>
      </c>
      <c r="CA20" s="1132">
        <f>Actual!W$111</f>
        <v>0</v>
      </c>
      <c r="CB20" s="1144">
        <f>IF(CA20=0,0,'Quality ROM'!AL20)</f>
        <v>0</v>
      </c>
      <c r="CC20" s="1144">
        <f>IF(CB20=0,0,'Quality ROM'!AM20)</f>
        <v>0</v>
      </c>
      <c r="CD20" s="1144">
        <f>IF(CC20=0,0,'Quality ROM'!AN20)</f>
        <v>0</v>
      </c>
      <c r="CE20" s="1144">
        <f>IF(CD20=0,0,'Quality ROM'!AO20)</f>
        <v>0</v>
      </c>
      <c r="CF20" s="1144">
        <f>IF(CE20=0,0,'Quality ROM'!AP20)</f>
        <v>0</v>
      </c>
      <c r="CG20" s="1144">
        <f>IF(CF20=0,0,'Quality ROM'!AQ20)</f>
        <v>0</v>
      </c>
      <c r="CH20" s="644">
        <f>'Quality ROM'!T55</f>
        <v>0</v>
      </c>
      <c r="CI20" s="644">
        <f>IF(CH20=0,0,'Quality ROM'!DJ20)</f>
        <v>0</v>
      </c>
      <c r="CJ20" s="644">
        <f>IF(CI20=0,0,'Quality ROM'!DK20)</f>
        <v>0</v>
      </c>
      <c r="CK20" s="644">
        <f>IF(CJ20=0,0,'Quality ROM'!DL20)</f>
        <v>0</v>
      </c>
      <c r="CL20" s="644">
        <f>IF(CK20=0,0,'Quality ROM'!DM20)</f>
        <v>0</v>
      </c>
      <c r="CM20" s="644">
        <f>IF(CL20=0,0,'Quality ROM'!DN20)</f>
        <v>0</v>
      </c>
      <c r="CN20" s="644">
        <f>IF(CM20=0,0,'Quality ROM'!DO20)</f>
        <v>0</v>
      </c>
      <c r="CO20" s="644">
        <f>'Quality ROM'!N55</f>
        <v>0</v>
      </c>
      <c r="CP20" s="644">
        <f>IF(CO20=0,0,'Quality ROM'!CQ20)</f>
        <v>0</v>
      </c>
      <c r="CQ20" s="644">
        <f>IF(CP20=0,0,'Quality ROM'!DL20)</f>
        <v>0</v>
      </c>
      <c r="CR20" s="644">
        <f>IF(CQ20=0,0,'Quality ROM'!DM20)</f>
        <v>0</v>
      </c>
      <c r="CS20" s="644">
        <f>IF(CR20=0,0,'Quality ROM'!DN20)</f>
        <v>0</v>
      </c>
      <c r="CT20" s="644">
        <f>IF(CS20=0,0,'Quality ROM'!DO20)</f>
        <v>0</v>
      </c>
      <c r="CU20" s="644">
        <f>IF(CT20=0,0,'Quality ROM'!DP20)</f>
        <v>0</v>
      </c>
    </row>
    <row r="21" spans="1:99" ht="15">
      <c r="A21" s="1046" t="str">
        <f>'Equipment '!A24</f>
        <v>19-Sep-26</v>
      </c>
      <c r="B21" s="644">
        <f t="shared" si="3"/>
        <v>4653.6216640000002</v>
      </c>
      <c r="C21" s="644">
        <f t="shared" si="4"/>
        <v>39.897629611647439</v>
      </c>
      <c r="D21" s="644">
        <f t="shared" si="5"/>
        <v>21.790821961800834</v>
      </c>
      <c r="E21" s="644">
        <f t="shared" si="6"/>
        <v>4.7548413836596568</v>
      </c>
      <c r="F21" s="644">
        <f t="shared" si="7"/>
        <v>0.14469177749836432</v>
      </c>
      <c r="G21" s="644">
        <f t="shared" si="8"/>
        <v>4982.1526427032813</v>
      </c>
      <c r="H21" s="644">
        <f t="shared" si="9"/>
        <v>3828.830062842359</v>
      </c>
      <c r="I21" s="644">
        <f t="shared" si="35"/>
        <v>4653.6216640000002</v>
      </c>
      <c r="J21" s="644">
        <f t="shared" si="36"/>
        <v>39.897629611647439</v>
      </c>
      <c r="K21" s="644">
        <f t="shared" si="37"/>
        <v>21.790821961800834</v>
      </c>
      <c r="L21" s="644">
        <f t="shared" si="38"/>
        <v>4.7548413836596568</v>
      </c>
      <c r="M21" s="644">
        <f t="shared" si="39"/>
        <v>0.14469177749836432</v>
      </c>
      <c r="N21" s="644">
        <f t="shared" si="40"/>
        <v>4982.1526427032813</v>
      </c>
      <c r="O21" s="644">
        <f t="shared" si="41"/>
        <v>3828.830062842359</v>
      </c>
      <c r="P21" s="644">
        <f>'Quality ROM'!M56</f>
        <v>0</v>
      </c>
      <c r="Q21" s="644">
        <f>IF($P21=0,0,'Quality ROM'!J21)</f>
        <v>0</v>
      </c>
      <c r="R21" s="644">
        <f>IF($P21=0,0,'Quality ROM'!K21)</f>
        <v>0</v>
      </c>
      <c r="S21" s="644">
        <f>IF($P21=0,0,'Quality ROM'!L21)</f>
        <v>0</v>
      </c>
      <c r="T21" s="644">
        <f>IF($P21=0,0,'Quality ROM'!M21)</f>
        <v>0</v>
      </c>
      <c r="U21" s="644">
        <f>IF($P21=0,0,'Quality ROM'!N21)</f>
        <v>0</v>
      </c>
      <c r="V21" s="644">
        <f>IF($P21=0,0,'Quality ROM'!O21)</f>
        <v>0</v>
      </c>
      <c r="W21" s="1132">
        <f>Actual!X$112</f>
        <v>0</v>
      </c>
      <c r="X21" s="1144">
        <f>IF($W21=0,0,'Quality ROM'!Q21)</f>
        <v>0</v>
      </c>
      <c r="Y21" s="1144">
        <f>IF($W21=0,0,'Quality ROM'!R21)</f>
        <v>0</v>
      </c>
      <c r="Z21" s="1144">
        <f>IF($W21=0,0,'Quality ROM'!S21)</f>
        <v>0</v>
      </c>
      <c r="AA21" s="1144">
        <f>IF($W21=0,0,'Quality ROM'!T21)</f>
        <v>0</v>
      </c>
      <c r="AB21" s="1144">
        <f>IF($W21=0,0,'Quality ROM'!U21)</f>
        <v>0</v>
      </c>
      <c r="AC21" s="1144">
        <f>IF($W21=0,0,'Quality ROM'!V21)</f>
        <v>0</v>
      </c>
      <c r="AD21" s="644">
        <f t="shared" si="11"/>
        <v>48838.493441999999</v>
      </c>
      <c r="AE21" s="644">
        <f t="shared" si="12"/>
        <v>39.897904220516921</v>
      </c>
      <c r="AF21" s="644">
        <f t="shared" si="13"/>
        <v>22.279372681202894</v>
      </c>
      <c r="AG21" s="644">
        <f t="shared" si="14"/>
        <v>6.8193908890769395</v>
      </c>
      <c r="AH21" s="644">
        <f t="shared" si="15"/>
        <v>0.1792773148906143</v>
      </c>
      <c r="AI21" s="644">
        <f t="shared" si="16"/>
        <v>4777.7131932103202</v>
      </c>
      <c r="AJ21" s="644">
        <f t="shared" si="17"/>
        <v>3745.5710401698334</v>
      </c>
      <c r="AK21" s="644">
        <f t="shared" si="42"/>
        <v>48838.493441999999</v>
      </c>
      <c r="AL21" s="644">
        <f t="shared" si="43"/>
        <v>39.897904220516921</v>
      </c>
      <c r="AM21" s="644">
        <f t="shared" si="44"/>
        <v>22.279372681202894</v>
      </c>
      <c r="AN21" s="644">
        <f t="shared" si="45"/>
        <v>6.8193908890769395</v>
      </c>
      <c r="AO21" s="644">
        <f t="shared" si="46"/>
        <v>0.1792773148906143</v>
      </c>
      <c r="AP21" s="644">
        <f t="shared" si="47"/>
        <v>4777.7131932103202</v>
      </c>
      <c r="AQ21" s="644">
        <f t="shared" si="48"/>
        <v>3745.5710401698334</v>
      </c>
      <c r="AR21" s="644">
        <f>'Quality ROM'!O56+'Quality ROM'!P56</f>
        <v>0</v>
      </c>
      <c r="AS21" s="644">
        <f>IF($AR21=0,0,'Quality ROM'!AZ21)</f>
        <v>0</v>
      </c>
      <c r="AT21" s="644">
        <f>IF($AR21=0,0,'Quality ROM'!BA21)</f>
        <v>0</v>
      </c>
      <c r="AU21" s="644">
        <f>IF($AR21=0,0,'Quality ROM'!BB21)</f>
        <v>0</v>
      </c>
      <c r="AV21" s="644">
        <f>IF($AR21=0,0,'Quality ROM'!BC21)</f>
        <v>0</v>
      </c>
      <c r="AW21" s="644">
        <f>IF($AR21=0,0,'Quality ROM'!BD21)</f>
        <v>0</v>
      </c>
      <c r="AX21" s="644">
        <f>IF($AR21=0,0,'Quality ROM'!BE21)</f>
        <v>0</v>
      </c>
      <c r="AY21" s="1132">
        <f>Actual!X$113</f>
        <v>0</v>
      </c>
      <c r="AZ21" s="1144">
        <f>IF($AY21=0,0,'Quality ROM'!BG21)</f>
        <v>0</v>
      </c>
      <c r="BA21" s="1144">
        <f>IF($AY21=0,0,'Quality ROM'!BH21)</f>
        <v>0</v>
      </c>
      <c r="BB21" s="1144">
        <f>IF($AY21=0,0,'Quality ROM'!BI21)</f>
        <v>0</v>
      </c>
      <c r="BC21" s="1144">
        <f>IF($AY21=0,0,'Quality ROM'!BJ21)</f>
        <v>0</v>
      </c>
      <c r="BD21" s="1144">
        <f>IF($AY21=0,0,'Quality ROM'!BK21)</f>
        <v>0</v>
      </c>
      <c r="BE21" s="1144">
        <f>IF($AY21=0,0,'Quality ROM'!BL21)</f>
        <v>0</v>
      </c>
      <c r="BF21" s="644">
        <f t="shared" si="51"/>
        <v>0</v>
      </c>
      <c r="BG21" s="644">
        <f t="shared" si="49"/>
        <v>0</v>
      </c>
      <c r="BH21" s="644">
        <f t="shared" si="24"/>
        <v>0</v>
      </c>
      <c r="BI21" s="644">
        <f t="shared" si="25"/>
        <v>0</v>
      </c>
      <c r="BJ21" s="644">
        <f t="shared" si="26"/>
        <v>0</v>
      </c>
      <c r="BK21" s="644">
        <f t="shared" si="27"/>
        <v>0</v>
      </c>
      <c r="BL21" s="644">
        <f t="shared" si="28"/>
        <v>0</v>
      </c>
      <c r="BM21" s="644">
        <f t="shared" si="50"/>
        <v>0</v>
      </c>
      <c r="BN21" s="644">
        <f t="shared" si="29"/>
        <v>0</v>
      </c>
      <c r="BO21" s="644">
        <f t="shared" si="30"/>
        <v>0</v>
      </c>
      <c r="BP21" s="644">
        <f t="shared" si="31"/>
        <v>0</v>
      </c>
      <c r="BQ21" s="644">
        <f t="shared" si="32"/>
        <v>0</v>
      </c>
      <c r="BR21" s="644">
        <f t="shared" si="33"/>
        <v>0</v>
      </c>
      <c r="BS21" s="644">
        <f t="shared" si="34"/>
        <v>0</v>
      </c>
      <c r="BT21" s="644">
        <f>'Quality ROM'!S56</f>
        <v>0</v>
      </c>
      <c r="BU21" s="644">
        <f>IF(BT21=0,0,'Quality ROM'!CP21)</f>
        <v>0</v>
      </c>
      <c r="BV21" s="644">
        <f>IF(BU21=0,0,'Quality ROM'!CQ21)</f>
        <v>0</v>
      </c>
      <c r="BW21" s="644">
        <f>IF(BV21=0,0,'Quality ROM'!CR21)</f>
        <v>0</v>
      </c>
      <c r="BX21" s="644">
        <f>IF(BW21=0,0,'Quality ROM'!CS21)</f>
        <v>0</v>
      </c>
      <c r="BY21" s="644">
        <f>IF(BX21=0,0,'Quality ROM'!CT21)</f>
        <v>0</v>
      </c>
      <c r="BZ21" s="644">
        <f>IF(BY21=0,0,'Quality ROM'!CU21)</f>
        <v>0</v>
      </c>
      <c r="CA21" s="1132">
        <f>Actual!X$111</f>
        <v>0</v>
      </c>
      <c r="CB21" s="1144">
        <f>IF(CA21=0,0,'Quality ROM'!AL21)</f>
        <v>0</v>
      </c>
      <c r="CC21" s="1144">
        <f>IF(CB21=0,0,'Quality ROM'!AM21)</f>
        <v>0</v>
      </c>
      <c r="CD21" s="1144">
        <f>IF(CC21=0,0,'Quality ROM'!AN21)</f>
        <v>0</v>
      </c>
      <c r="CE21" s="1144">
        <f>IF(CD21=0,0,'Quality ROM'!AO21)</f>
        <v>0</v>
      </c>
      <c r="CF21" s="1144">
        <f>IF(CE21=0,0,'Quality ROM'!AP21)</f>
        <v>0</v>
      </c>
      <c r="CG21" s="1144">
        <f>IF(CF21=0,0,'Quality ROM'!AQ21)</f>
        <v>0</v>
      </c>
      <c r="CH21" s="644">
        <f>'Quality ROM'!T56</f>
        <v>0</v>
      </c>
      <c r="CI21" s="644">
        <f>IF(CH21=0,0,'Quality ROM'!DJ21)</f>
        <v>0</v>
      </c>
      <c r="CJ21" s="644">
        <f>IF(CI21=0,0,'Quality ROM'!DK21)</f>
        <v>0</v>
      </c>
      <c r="CK21" s="644">
        <f>IF(CJ21=0,0,'Quality ROM'!DL21)</f>
        <v>0</v>
      </c>
      <c r="CL21" s="644">
        <f>IF(CK21=0,0,'Quality ROM'!DM21)</f>
        <v>0</v>
      </c>
      <c r="CM21" s="644">
        <f>IF(CL21=0,0,'Quality ROM'!DN21)</f>
        <v>0</v>
      </c>
      <c r="CN21" s="644">
        <f>IF(CM21=0,0,'Quality ROM'!DO21)</f>
        <v>0</v>
      </c>
      <c r="CO21" s="644">
        <f>'Quality ROM'!N56</f>
        <v>0</v>
      </c>
      <c r="CP21" s="644">
        <f>IF(CO21=0,0,'Quality ROM'!CQ21)</f>
        <v>0</v>
      </c>
      <c r="CQ21" s="644">
        <f>IF(CP21=0,0,'Quality ROM'!DL21)</f>
        <v>0</v>
      </c>
      <c r="CR21" s="644">
        <f>IF(CQ21=0,0,'Quality ROM'!DM21)</f>
        <v>0</v>
      </c>
      <c r="CS21" s="644">
        <f>IF(CR21=0,0,'Quality ROM'!DN21)</f>
        <v>0</v>
      </c>
      <c r="CT21" s="644">
        <f>IF(CS21=0,0,'Quality ROM'!DO21)</f>
        <v>0</v>
      </c>
      <c r="CU21" s="644">
        <f>IF(CT21=0,0,'Quality ROM'!DP21)</f>
        <v>0</v>
      </c>
    </row>
    <row r="22" spans="1:99" ht="15">
      <c r="A22" s="1046" t="str">
        <f>'Equipment '!A25</f>
        <v>20-Sep-26</v>
      </c>
      <c r="B22" s="644">
        <f t="shared" si="3"/>
        <v>4653.6216640000002</v>
      </c>
      <c r="C22" s="644">
        <f t="shared" si="4"/>
        <v>39.897629611647439</v>
      </c>
      <c r="D22" s="644">
        <f t="shared" si="5"/>
        <v>21.790821961800834</v>
      </c>
      <c r="E22" s="644">
        <f t="shared" si="6"/>
        <v>4.7548413836596568</v>
      </c>
      <c r="F22" s="644">
        <f t="shared" si="7"/>
        <v>0.14469177749836432</v>
      </c>
      <c r="G22" s="644">
        <f t="shared" si="8"/>
        <v>4982.1526427032813</v>
      </c>
      <c r="H22" s="644">
        <f t="shared" si="9"/>
        <v>3828.830062842359</v>
      </c>
      <c r="I22" s="644">
        <f t="shared" si="35"/>
        <v>4653.6216640000002</v>
      </c>
      <c r="J22" s="644">
        <f t="shared" si="36"/>
        <v>39.897629611647439</v>
      </c>
      <c r="K22" s="644">
        <f t="shared" si="37"/>
        <v>21.790821961800834</v>
      </c>
      <c r="L22" s="644">
        <f t="shared" si="38"/>
        <v>4.7548413836596568</v>
      </c>
      <c r="M22" s="644">
        <f t="shared" si="39"/>
        <v>0.14469177749836432</v>
      </c>
      <c r="N22" s="644">
        <f t="shared" si="40"/>
        <v>4982.1526427032813</v>
      </c>
      <c r="O22" s="644">
        <f t="shared" si="41"/>
        <v>3828.830062842359</v>
      </c>
      <c r="P22" s="644">
        <f>'Quality ROM'!M57</f>
        <v>0</v>
      </c>
      <c r="Q22" s="644">
        <f>IF($P22=0,0,'Quality ROM'!J22)</f>
        <v>0</v>
      </c>
      <c r="R22" s="644">
        <f>IF($P22=0,0,'Quality ROM'!K22)</f>
        <v>0</v>
      </c>
      <c r="S22" s="644">
        <f>IF($P22=0,0,'Quality ROM'!L22)</f>
        <v>0</v>
      </c>
      <c r="T22" s="644">
        <f>IF($P22=0,0,'Quality ROM'!M22)</f>
        <v>0</v>
      </c>
      <c r="U22" s="644">
        <f>IF($P22=0,0,'Quality ROM'!N22)</f>
        <v>0</v>
      </c>
      <c r="V22" s="644">
        <f>IF($P22=0,0,'Quality ROM'!O22)</f>
        <v>0</v>
      </c>
      <c r="W22" s="1132">
        <f>Actual!Y$112</f>
        <v>0</v>
      </c>
      <c r="X22" s="1144">
        <f>IF($W22=0,0,'Quality ROM'!Q22)</f>
        <v>0</v>
      </c>
      <c r="Y22" s="1144">
        <f>IF($W22=0,0,'Quality ROM'!R22)</f>
        <v>0</v>
      </c>
      <c r="Z22" s="1144">
        <f>IF($W22=0,0,'Quality ROM'!S22)</f>
        <v>0</v>
      </c>
      <c r="AA22" s="1144">
        <f>IF($W22=0,0,'Quality ROM'!T22)</f>
        <v>0</v>
      </c>
      <c r="AB22" s="1144">
        <f>IF($W22=0,0,'Quality ROM'!U22)</f>
        <v>0</v>
      </c>
      <c r="AC22" s="1144">
        <f>IF($W22=0,0,'Quality ROM'!V22)</f>
        <v>0</v>
      </c>
      <c r="AD22" s="644">
        <f t="shared" si="11"/>
        <v>48838.493441999999</v>
      </c>
      <c r="AE22" s="644">
        <f t="shared" si="12"/>
        <v>39.897904220516921</v>
      </c>
      <c r="AF22" s="644">
        <f t="shared" si="13"/>
        <v>22.279372681202894</v>
      </c>
      <c r="AG22" s="644">
        <f t="shared" si="14"/>
        <v>6.8193908890769395</v>
      </c>
      <c r="AH22" s="644">
        <f t="shared" si="15"/>
        <v>0.1792773148906143</v>
      </c>
      <c r="AI22" s="644">
        <f t="shared" si="16"/>
        <v>4777.7131932103202</v>
      </c>
      <c r="AJ22" s="644">
        <f t="shared" si="17"/>
        <v>3745.5710401698334</v>
      </c>
      <c r="AK22" s="644">
        <f t="shared" si="42"/>
        <v>48838.493441999999</v>
      </c>
      <c r="AL22" s="644">
        <f t="shared" si="43"/>
        <v>39.897904220516921</v>
      </c>
      <c r="AM22" s="644">
        <f t="shared" si="44"/>
        <v>22.279372681202894</v>
      </c>
      <c r="AN22" s="644">
        <f t="shared" si="45"/>
        <v>6.8193908890769395</v>
      </c>
      <c r="AO22" s="644">
        <f t="shared" si="46"/>
        <v>0.1792773148906143</v>
      </c>
      <c r="AP22" s="644">
        <f t="shared" si="47"/>
        <v>4777.7131932103202</v>
      </c>
      <c r="AQ22" s="644">
        <f t="shared" si="48"/>
        <v>3745.5710401698334</v>
      </c>
      <c r="AR22" s="644">
        <f>'Quality ROM'!O57+'Quality ROM'!P57</f>
        <v>0</v>
      </c>
      <c r="AS22" s="644">
        <f>IF($AR22=0,0,'Quality ROM'!AZ22)</f>
        <v>0</v>
      </c>
      <c r="AT22" s="644">
        <f>IF($AR22=0,0,'Quality ROM'!BA22)</f>
        <v>0</v>
      </c>
      <c r="AU22" s="644">
        <f>IF($AR22=0,0,'Quality ROM'!BB22)</f>
        <v>0</v>
      </c>
      <c r="AV22" s="644">
        <f>IF($AR22=0,0,'Quality ROM'!BC22)</f>
        <v>0</v>
      </c>
      <c r="AW22" s="644">
        <f>IF($AR22=0,0,'Quality ROM'!BD22)</f>
        <v>0</v>
      </c>
      <c r="AX22" s="644">
        <f>IF($AR22=0,0,'Quality ROM'!BE22)</f>
        <v>0</v>
      </c>
      <c r="AY22" s="1132">
        <f>Actual!Y$113</f>
        <v>0</v>
      </c>
      <c r="AZ22" s="1144">
        <f>IF($AY22=0,0,'Quality ROM'!BG22)</f>
        <v>0</v>
      </c>
      <c r="BA22" s="1144">
        <f>IF($AY22=0,0,'Quality ROM'!BH22)</f>
        <v>0</v>
      </c>
      <c r="BB22" s="1144">
        <f>IF($AY22=0,0,'Quality ROM'!BI22)</f>
        <v>0</v>
      </c>
      <c r="BC22" s="1144">
        <f>IF($AY22=0,0,'Quality ROM'!BJ22)</f>
        <v>0</v>
      </c>
      <c r="BD22" s="1144">
        <f>IF($AY22=0,0,'Quality ROM'!BK22)</f>
        <v>0</v>
      </c>
      <c r="BE22" s="1144">
        <f>IF($AY22=0,0,'Quality ROM'!BL22)</f>
        <v>0</v>
      </c>
      <c r="BF22" s="644">
        <f t="shared" si="51"/>
        <v>0</v>
      </c>
      <c r="BG22" s="644">
        <f t="shared" si="49"/>
        <v>0</v>
      </c>
      <c r="BH22" s="644">
        <f t="shared" si="24"/>
        <v>0</v>
      </c>
      <c r="BI22" s="644">
        <f t="shared" si="25"/>
        <v>0</v>
      </c>
      <c r="BJ22" s="644">
        <f t="shared" si="26"/>
        <v>0</v>
      </c>
      <c r="BK22" s="644">
        <f t="shared" si="27"/>
        <v>0</v>
      </c>
      <c r="BL22" s="644">
        <f t="shared" si="28"/>
        <v>0</v>
      </c>
      <c r="BM22" s="644">
        <f t="shared" si="50"/>
        <v>0</v>
      </c>
      <c r="BN22" s="644">
        <f t="shared" si="29"/>
        <v>0</v>
      </c>
      <c r="BO22" s="644">
        <f t="shared" si="30"/>
        <v>0</v>
      </c>
      <c r="BP22" s="644">
        <f t="shared" si="31"/>
        <v>0</v>
      </c>
      <c r="BQ22" s="644">
        <f t="shared" si="32"/>
        <v>0</v>
      </c>
      <c r="BR22" s="644">
        <f t="shared" si="33"/>
        <v>0</v>
      </c>
      <c r="BS22" s="644">
        <f t="shared" si="34"/>
        <v>0</v>
      </c>
      <c r="BT22" s="644">
        <f>'Quality ROM'!S57</f>
        <v>0</v>
      </c>
      <c r="BU22" s="644">
        <f>IF(BT22=0,0,'Quality ROM'!CP22)</f>
        <v>0</v>
      </c>
      <c r="BV22" s="644">
        <f>IF(BU22=0,0,'Quality ROM'!CQ22)</f>
        <v>0</v>
      </c>
      <c r="BW22" s="644">
        <f>IF(BV22=0,0,'Quality ROM'!CR22)</f>
        <v>0</v>
      </c>
      <c r="BX22" s="644">
        <f>IF(BW22=0,0,'Quality ROM'!CS22)</f>
        <v>0</v>
      </c>
      <c r="BY22" s="644">
        <f>IF(BX22=0,0,'Quality ROM'!CT22)</f>
        <v>0</v>
      </c>
      <c r="BZ22" s="644">
        <f>IF(BY22=0,0,'Quality ROM'!CU22)</f>
        <v>0</v>
      </c>
      <c r="CA22" s="1132">
        <f>Actual!Y$111</f>
        <v>0</v>
      </c>
      <c r="CB22" s="1144">
        <f>IF(CA22=0,0,'Quality ROM'!AL22)</f>
        <v>0</v>
      </c>
      <c r="CC22" s="1144">
        <f>IF(CB22=0,0,'Quality ROM'!AM22)</f>
        <v>0</v>
      </c>
      <c r="CD22" s="1144">
        <f>IF(CC22=0,0,'Quality ROM'!AN22)</f>
        <v>0</v>
      </c>
      <c r="CE22" s="1144">
        <f>IF(CD22=0,0,'Quality ROM'!AO22)</f>
        <v>0</v>
      </c>
      <c r="CF22" s="1144">
        <f>IF(CE22=0,0,'Quality ROM'!AP22)</f>
        <v>0</v>
      </c>
      <c r="CG22" s="1144">
        <f>IF(CF22=0,0,'Quality ROM'!AQ22)</f>
        <v>0</v>
      </c>
      <c r="CH22" s="644">
        <f>'Quality ROM'!T57</f>
        <v>0</v>
      </c>
      <c r="CI22" s="644">
        <f>IF(CH22=0,0,'Quality ROM'!DJ22)</f>
        <v>0</v>
      </c>
      <c r="CJ22" s="644">
        <f>IF(CI22=0,0,'Quality ROM'!DK22)</f>
        <v>0</v>
      </c>
      <c r="CK22" s="644">
        <f>IF(CJ22=0,0,'Quality ROM'!DL22)</f>
        <v>0</v>
      </c>
      <c r="CL22" s="644">
        <f>IF(CK22=0,0,'Quality ROM'!DM22)</f>
        <v>0</v>
      </c>
      <c r="CM22" s="644">
        <f>IF(CL22=0,0,'Quality ROM'!DN22)</f>
        <v>0</v>
      </c>
      <c r="CN22" s="644">
        <f>IF(CM22=0,0,'Quality ROM'!DO22)</f>
        <v>0</v>
      </c>
      <c r="CO22" s="644">
        <f>'Quality ROM'!N57</f>
        <v>0</v>
      </c>
      <c r="CP22" s="644">
        <f>IF(CO22=0,0,'Quality ROM'!CQ22)</f>
        <v>0</v>
      </c>
      <c r="CQ22" s="644">
        <f>IF(CP22=0,0,'Quality ROM'!DL22)</f>
        <v>0</v>
      </c>
      <c r="CR22" s="644">
        <f>IF(CQ22=0,0,'Quality ROM'!DM22)</f>
        <v>0</v>
      </c>
      <c r="CS22" s="644">
        <f>IF(CR22=0,0,'Quality ROM'!DN22)</f>
        <v>0</v>
      </c>
      <c r="CT22" s="644">
        <f>IF(CS22=0,0,'Quality ROM'!DO22)</f>
        <v>0</v>
      </c>
      <c r="CU22" s="644">
        <f>IF(CT22=0,0,'Quality ROM'!DP22)</f>
        <v>0</v>
      </c>
    </row>
    <row r="23" spans="1:99" ht="15">
      <c r="A23" s="1046" t="str">
        <f>'Equipment '!A26</f>
        <v>21-Sep-26</v>
      </c>
      <c r="B23" s="644">
        <f t="shared" si="3"/>
        <v>4653.6216640000002</v>
      </c>
      <c r="C23" s="644">
        <f t="shared" si="4"/>
        <v>39.897629611647439</v>
      </c>
      <c r="D23" s="644">
        <f t="shared" si="5"/>
        <v>21.790821961800834</v>
      </c>
      <c r="E23" s="644">
        <f t="shared" si="6"/>
        <v>4.7548413836596568</v>
      </c>
      <c r="F23" s="644">
        <f t="shared" si="7"/>
        <v>0.14469177749836432</v>
      </c>
      <c r="G23" s="644">
        <f t="shared" si="8"/>
        <v>4982.1526427032813</v>
      </c>
      <c r="H23" s="644">
        <f t="shared" si="9"/>
        <v>3828.830062842359</v>
      </c>
      <c r="I23" s="644">
        <f t="shared" si="35"/>
        <v>4653.6216640000002</v>
      </c>
      <c r="J23" s="644">
        <f t="shared" si="36"/>
        <v>39.897629611647439</v>
      </c>
      <c r="K23" s="644">
        <f t="shared" si="37"/>
        <v>21.790821961800834</v>
      </c>
      <c r="L23" s="644">
        <f t="shared" si="38"/>
        <v>4.7548413836596568</v>
      </c>
      <c r="M23" s="644">
        <f t="shared" si="39"/>
        <v>0.14469177749836432</v>
      </c>
      <c r="N23" s="644">
        <f t="shared" si="40"/>
        <v>4982.1526427032813</v>
      </c>
      <c r="O23" s="644">
        <f t="shared" si="41"/>
        <v>3828.830062842359</v>
      </c>
      <c r="P23" s="644">
        <f>'Quality ROM'!M58</f>
        <v>0</v>
      </c>
      <c r="Q23" s="644">
        <f>IF($P23=0,0,'Quality ROM'!J23)</f>
        <v>0</v>
      </c>
      <c r="R23" s="644">
        <f>IF($P23=0,0,'Quality ROM'!K23)</f>
        <v>0</v>
      </c>
      <c r="S23" s="644">
        <f>IF($P23=0,0,'Quality ROM'!L23)</f>
        <v>0</v>
      </c>
      <c r="T23" s="644">
        <f>IF($P23=0,0,'Quality ROM'!M23)</f>
        <v>0</v>
      </c>
      <c r="U23" s="644">
        <f>IF($P23=0,0,'Quality ROM'!N23)</f>
        <v>0</v>
      </c>
      <c r="V23" s="644">
        <f>IF($P23=0,0,'Quality ROM'!O23)</f>
        <v>0</v>
      </c>
      <c r="W23" s="1132">
        <f>Actual!Z$112</f>
        <v>0</v>
      </c>
      <c r="X23" s="1144">
        <f>IF($W23=0,0,'Quality ROM'!Q23)</f>
        <v>0</v>
      </c>
      <c r="Y23" s="1144">
        <f>IF($W23=0,0,'Quality ROM'!R23)</f>
        <v>0</v>
      </c>
      <c r="Z23" s="1144">
        <f>IF($W23=0,0,'Quality ROM'!S23)</f>
        <v>0</v>
      </c>
      <c r="AA23" s="1144">
        <f>IF($W23=0,0,'Quality ROM'!T23)</f>
        <v>0</v>
      </c>
      <c r="AB23" s="1144">
        <f>IF($W23=0,0,'Quality ROM'!U23)</f>
        <v>0</v>
      </c>
      <c r="AC23" s="1144">
        <f>IF($W23=0,0,'Quality ROM'!V23)</f>
        <v>0</v>
      </c>
      <c r="AD23" s="644">
        <f t="shared" si="11"/>
        <v>48838.493441999999</v>
      </c>
      <c r="AE23" s="644">
        <f t="shared" si="12"/>
        <v>39.897904220516921</v>
      </c>
      <c r="AF23" s="644">
        <f t="shared" si="13"/>
        <v>22.279372681202894</v>
      </c>
      <c r="AG23" s="644">
        <f t="shared" si="14"/>
        <v>6.8193908890769395</v>
      </c>
      <c r="AH23" s="644">
        <f t="shared" si="15"/>
        <v>0.1792773148906143</v>
      </c>
      <c r="AI23" s="644">
        <f t="shared" si="16"/>
        <v>4777.7131932103202</v>
      </c>
      <c r="AJ23" s="644">
        <f t="shared" si="17"/>
        <v>3745.5710401698334</v>
      </c>
      <c r="AK23" s="644">
        <f t="shared" si="42"/>
        <v>48838.493441999999</v>
      </c>
      <c r="AL23" s="644">
        <f t="shared" si="43"/>
        <v>39.897904220516921</v>
      </c>
      <c r="AM23" s="644">
        <f t="shared" si="44"/>
        <v>22.279372681202894</v>
      </c>
      <c r="AN23" s="644">
        <f t="shared" si="45"/>
        <v>6.8193908890769395</v>
      </c>
      <c r="AO23" s="644">
        <f t="shared" si="46"/>
        <v>0.1792773148906143</v>
      </c>
      <c r="AP23" s="644">
        <f t="shared" si="47"/>
        <v>4777.7131932103202</v>
      </c>
      <c r="AQ23" s="644">
        <f t="shared" si="48"/>
        <v>3745.5710401698334</v>
      </c>
      <c r="AR23" s="644">
        <f>'Quality ROM'!O58+'Quality ROM'!P58</f>
        <v>0</v>
      </c>
      <c r="AS23" s="644">
        <f>IF($AR23=0,0,'Quality ROM'!AZ23)</f>
        <v>0</v>
      </c>
      <c r="AT23" s="644">
        <f>IF($AR23=0,0,'Quality ROM'!BA23)</f>
        <v>0</v>
      </c>
      <c r="AU23" s="644">
        <f>IF($AR23=0,0,'Quality ROM'!BB23)</f>
        <v>0</v>
      </c>
      <c r="AV23" s="644">
        <f>IF($AR23=0,0,'Quality ROM'!BC23)</f>
        <v>0</v>
      </c>
      <c r="AW23" s="644">
        <f>IF($AR23=0,0,'Quality ROM'!BD23)</f>
        <v>0</v>
      </c>
      <c r="AX23" s="644">
        <f>IF($AR23=0,0,'Quality ROM'!BE23)</f>
        <v>0</v>
      </c>
      <c r="AY23" s="1132">
        <f>Actual!Z$113</f>
        <v>0</v>
      </c>
      <c r="AZ23" s="1144">
        <f>IF($AY23=0,0,'Quality ROM'!BG23)</f>
        <v>0</v>
      </c>
      <c r="BA23" s="1144">
        <f>IF($AY23=0,0,'Quality ROM'!BH23)</f>
        <v>0</v>
      </c>
      <c r="BB23" s="1144">
        <f>IF($AY23=0,0,'Quality ROM'!BI23)</f>
        <v>0</v>
      </c>
      <c r="BC23" s="1144">
        <f>IF($AY23=0,0,'Quality ROM'!BJ23)</f>
        <v>0</v>
      </c>
      <c r="BD23" s="1144">
        <f>IF($AY23=0,0,'Quality ROM'!BK23)</f>
        <v>0</v>
      </c>
      <c r="BE23" s="1144">
        <f>IF($AY23=0,0,'Quality ROM'!BL23)</f>
        <v>0</v>
      </c>
      <c r="BF23" s="644">
        <f t="shared" si="51"/>
        <v>0</v>
      </c>
      <c r="BG23" s="644">
        <f t="shared" si="49"/>
        <v>0</v>
      </c>
      <c r="BH23" s="644">
        <f t="shared" si="24"/>
        <v>0</v>
      </c>
      <c r="BI23" s="644">
        <f t="shared" si="25"/>
        <v>0</v>
      </c>
      <c r="BJ23" s="644">
        <f t="shared" si="26"/>
        <v>0</v>
      </c>
      <c r="BK23" s="644">
        <f t="shared" si="27"/>
        <v>0</v>
      </c>
      <c r="BL23" s="644">
        <f t="shared" si="28"/>
        <v>0</v>
      </c>
      <c r="BM23" s="644">
        <f t="shared" si="50"/>
        <v>0</v>
      </c>
      <c r="BN23" s="644">
        <f t="shared" si="29"/>
        <v>0</v>
      </c>
      <c r="BO23" s="644">
        <f t="shared" si="30"/>
        <v>0</v>
      </c>
      <c r="BP23" s="644">
        <f t="shared" si="31"/>
        <v>0</v>
      </c>
      <c r="BQ23" s="644">
        <f t="shared" si="32"/>
        <v>0</v>
      </c>
      <c r="BR23" s="644">
        <f t="shared" si="33"/>
        <v>0</v>
      </c>
      <c r="BS23" s="644">
        <f t="shared" si="34"/>
        <v>0</v>
      </c>
      <c r="BT23" s="644">
        <f>'Quality ROM'!S58</f>
        <v>0</v>
      </c>
      <c r="BU23" s="644">
        <f>IF(BT23=0,0,'Quality ROM'!CP23)</f>
        <v>0</v>
      </c>
      <c r="BV23" s="644">
        <f>IF(BU23=0,0,'Quality ROM'!CQ23)</f>
        <v>0</v>
      </c>
      <c r="BW23" s="644">
        <f>IF(BV23=0,0,'Quality ROM'!CR23)</f>
        <v>0</v>
      </c>
      <c r="BX23" s="644">
        <f>IF(BW23=0,0,'Quality ROM'!CS23)</f>
        <v>0</v>
      </c>
      <c r="BY23" s="644">
        <f>IF(BX23=0,0,'Quality ROM'!CT23)</f>
        <v>0</v>
      </c>
      <c r="BZ23" s="644">
        <f>IF(BY23=0,0,'Quality ROM'!CU23)</f>
        <v>0</v>
      </c>
      <c r="CA23" s="1132">
        <f>Actual!Z$111</f>
        <v>0</v>
      </c>
      <c r="CB23" s="1144">
        <f>IF(CA23=0,0,'Quality ROM'!AL23)</f>
        <v>0</v>
      </c>
      <c r="CC23" s="1144">
        <f>IF(CB23=0,0,'Quality ROM'!AM23)</f>
        <v>0</v>
      </c>
      <c r="CD23" s="1144">
        <f>IF(CC23=0,0,'Quality ROM'!AN23)</f>
        <v>0</v>
      </c>
      <c r="CE23" s="1144">
        <f>IF(CD23=0,0,'Quality ROM'!AO23)</f>
        <v>0</v>
      </c>
      <c r="CF23" s="1144">
        <f>IF(CE23=0,0,'Quality ROM'!AP23)</f>
        <v>0</v>
      </c>
      <c r="CG23" s="1144">
        <f>IF(CF23=0,0,'Quality ROM'!AQ23)</f>
        <v>0</v>
      </c>
      <c r="CH23" s="644">
        <f>'Quality ROM'!T58</f>
        <v>0</v>
      </c>
      <c r="CI23" s="644">
        <f>IF(CH23=0,0,'Quality ROM'!DJ23)</f>
        <v>0</v>
      </c>
      <c r="CJ23" s="644">
        <f>IF(CI23=0,0,'Quality ROM'!DK23)</f>
        <v>0</v>
      </c>
      <c r="CK23" s="644">
        <f>IF(CJ23=0,0,'Quality ROM'!DL23)</f>
        <v>0</v>
      </c>
      <c r="CL23" s="644">
        <f>IF(CK23=0,0,'Quality ROM'!DM23)</f>
        <v>0</v>
      </c>
      <c r="CM23" s="644">
        <f>IF(CL23=0,0,'Quality ROM'!DN23)</f>
        <v>0</v>
      </c>
      <c r="CN23" s="644">
        <f>IF(CM23=0,0,'Quality ROM'!DO23)</f>
        <v>0</v>
      </c>
      <c r="CO23" s="644">
        <f>'Quality ROM'!N58</f>
        <v>0</v>
      </c>
      <c r="CP23" s="644">
        <f>IF(CO23=0,0,'Quality ROM'!CQ23)</f>
        <v>0</v>
      </c>
      <c r="CQ23" s="644">
        <f>IF(CP23=0,0,'Quality ROM'!DL23)</f>
        <v>0</v>
      </c>
      <c r="CR23" s="644">
        <f>IF(CQ23=0,0,'Quality ROM'!DM23)</f>
        <v>0</v>
      </c>
      <c r="CS23" s="644">
        <f>IF(CR23=0,0,'Quality ROM'!DN23)</f>
        <v>0</v>
      </c>
      <c r="CT23" s="644">
        <f>IF(CS23=0,0,'Quality ROM'!DO23)</f>
        <v>0</v>
      </c>
      <c r="CU23" s="644">
        <f>IF(CT23=0,0,'Quality ROM'!DP23)</f>
        <v>0</v>
      </c>
    </row>
    <row r="24" spans="1:99" ht="15">
      <c r="A24" s="1046" t="str">
        <f>'Equipment '!A27</f>
        <v>22-Sep-26</v>
      </c>
      <c r="B24" s="644">
        <f t="shared" si="3"/>
        <v>4653.6216640000002</v>
      </c>
      <c r="C24" s="644">
        <f t="shared" si="4"/>
        <v>39.897629611647439</v>
      </c>
      <c r="D24" s="644">
        <f t="shared" si="5"/>
        <v>21.790821961800834</v>
      </c>
      <c r="E24" s="644">
        <f t="shared" si="6"/>
        <v>4.7548413836596568</v>
      </c>
      <c r="F24" s="644">
        <f t="shared" si="7"/>
        <v>0.14469177749836432</v>
      </c>
      <c r="G24" s="644">
        <f t="shared" si="8"/>
        <v>4982.1526427032813</v>
      </c>
      <c r="H24" s="644">
        <f t="shared" si="9"/>
        <v>3828.830062842359</v>
      </c>
      <c r="I24" s="644">
        <f t="shared" si="35"/>
        <v>4653.6216640000002</v>
      </c>
      <c r="J24" s="644">
        <f t="shared" si="36"/>
        <v>39.897629611647439</v>
      </c>
      <c r="K24" s="644">
        <f t="shared" si="37"/>
        <v>21.790821961800834</v>
      </c>
      <c r="L24" s="644">
        <f t="shared" si="38"/>
        <v>4.7548413836596568</v>
      </c>
      <c r="M24" s="644">
        <f t="shared" si="39"/>
        <v>0.14469177749836432</v>
      </c>
      <c r="N24" s="644">
        <f t="shared" si="40"/>
        <v>4982.1526427032813</v>
      </c>
      <c r="O24" s="644">
        <f t="shared" si="41"/>
        <v>3828.830062842359</v>
      </c>
      <c r="P24" s="644">
        <f>'Quality ROM'!M59</f>
        <v>0</v>
      </c>
      <c r="Q24" s="644">
        <f>IF($P24=0,0,'Quality ROM'!J24)</f>
        <v>0</v>
      </c>
      <c r="R24" s="644">
        <f>IF($P24=0,0,'Quality ROM'!K24)</f>
        <v>0</v>
      </c>
      <c r="S24" s="644">
        <f>IF($P24=0,0,'Quality ROM'!L24)</f>
        <v>0</v>
      </c>
      <c r="T24" s="644">
        <f>IF($P24=0,0,'Quality ROM'!M24)</f>
        <v>0</v>
      </c>
      <c r="U24" s="644">
        <f>IF($P24=0,0,'Quality ROM'!N24)</f>
        <v>0</v>
      </c>
      <c r="V24" s="644">
        <f>IF($P24=0,0,'Quality ROM'!O24)</f>
        <v>0</v>
      </c>
      <c r="W24" s="1132">
        <f>Actual!AA$112</f>
        <v>0</v>
      </c>
      <c r="X24" s="1144">
        <f>IF($W24=0,0,'Quality ROM'!Q24)</f>
        <v>0</v>
      </c>
      <c r="Y24" s="1144">
        <f>IF($W24=0,0,'Quality ROM'!R24)</f>
        <v>0</v>
      </c>
      <c r="Z24" s="1144">
        <f>IF($W24=0,0,'Quality ROM'!S24)</f>
        <v>0</v>
      </c>
      <c r="AA24" s="1144">
        <f>IF($W24=0,0,'Quality ROM'!T24)</f>
        <v>0</v>
      </c>
      <c r="AB24" s="1144">
        <f>IF($W24=0,0,'Quality ROM'!U24)</f>
        <v>0</v>
      </c>
      <c r="AC24" s="1144">
        <f>IF($W24=0,0,'Quality ROM'!V24)</f>
        <v>0</v>
      </c>
      <c r="AD24" s="644">
        <f t="shared" si="11"/>
        <v>48838.493441999999</v>
      </c>
      <c r="AE24" s="644">
        <f t="shared" si="12"/>
        <v>39.897904220516921</v>
      </c>
      <c r="AF24" s="644">
        <f t="shared" si="13"/>
        <v>22.279372681202894</v>
      </c>
      <c r="AG24" s="644">
        <f t="shared" si="14"/>
        <v>6.8193908890769395</v>
      </c>
      <c r="AH24" s="644">
        <f t="shared" si="15"/>
        <v>0.1792773148906143</v>
      </c>
      <c r="AI24" s="644">
        <f t="shared" si="16"/>
        <v>4777.7131932103202</v>
      </c>
      <c r="AJ24" s="644">
        <f t="shared" si="17"/>
        <v>3745.5710401698334</v>
      </c>
      <c r="AK24" s="644">
        <f t="shared" si="42"/>
        <v>48838.493441999999</v>
      </c>
      <c r="AL24" s="644">
        <f t="shared" si="43"/>
        <v>39.897904220516921</v>
      </c>
      <c r="AM24" s="644">
        <f t="shared" si="44"/>
        <v>22.279372681202894</v>
      </c>
      <c r="AN24" s="644">
        <f t="shared" si="45"/>
        <v>6.8193908890769395</v>
      </c>
      <c r="AO24" s="644">
        <f t="shared" si="46"/>
        <v>0.1792773148906143</v>
      </c>
      <c r="AP24" s="644">
        <f t="shared" si="47"/>
        <v>4777.7131932103202</v>
      </c>
      <c r="AQ24" s="644">
        <f t="shared" si="48"/>
        <v>3745.5710401698334</v>
      </c>
      <c r="AR24" s="644">
        <f>'Quality ROM'!O59+'Quality ROM'!P59</f>
        <v>0</v>
      </c>
      <c r="AS24" s="644">
        <f>IF($AR24=0,0,'Quality ROM'!AZ24)</f>
        <v>0</v>
      </c>
      <c r="AT24" s="644">
        <f>IF($AR24=0,0,'Quality ROM'!BA24)</f>
        <v>0</v>
      </c>
      <c r="AU24" s="644">
        <f>IF($AR24=0,0,'Quality ROM'!BB24)</f>
        <v>0</v>
      </c>
      <c r="AV24" s="644">
        <f>IF($AR24=0,0,'Quality ROM'!BC24)</f>
        <v>0</v>
      </c>
      <c r="AW24" s="644">
        <f>IF($AR24=0,0,'Quality ROM'!BD24)</f>
        <v>0</v>
      </c>
      <c r="AX24" s="644">
        <f>IF($AR24=0,0,'Quality ROM'!BE24)</f>
        <v>0</v>
      </c>
      <c r="AY24" s="1132">
        <f>Actual!AA$113</f>
        <v>0</v>
      </c>
      <c r="AZ24" s="1144">
        <f>IF($AY24=0,0,'Quality ROM'!BG24)</f>
        <v>0</v>
      </c>
      <c r="BA24" s="1144">
        <f>IF($AY24=0,0,'Quality ROM'!BH24)</f>
        <v>0</v>
      </c>
      <c r="BB24" s="1144">
        <f>IF($AY24=0,0,'Quality ROM'!BI24)</f>
        <v>0</v>
      </c>
      <c r="BC24" s="1144">
        <f>IF($AY24=0,0,'Quality ROM'!BJ24)</f>
        <v>0</v>
      </c>
      <c r="BD24" s="1144">
        <f>IF($AY24=0,0,'Quality ROM'!BK24)</f>
        <v>0</v>
      </c>
      <c r="BE24" s="1144">
        <f>IF($AY24=0,0,'Quality ROM'!BL24)</f>
        <v>0</v>
      </c>
      <c r="BF24" s="644">
        <f>BT24+CA24+BM24+CH24-AF59+CO24</f>
        <v>0</v>
      </c>
      <c r="BG24" s="644">
        <f t="shared" si="49"/>
        <v>0</v>
      </c>
      <c r="BH24" s="644">
        <f t="shared" si="24"/>
        <v>0</v>
      </c>
      <c r="BI24" s="644">
        <f t="shared" si="25"/>
        <v>0</v>
      </c>
      <c r="BJ24" s="644">
        <f t="shared" si="26"/>
        <v>0</v>
      </c>
      <c r="BK24" s="644">
        <f t="shared" si="27"/>
        <v>0</v>
      </c>
      <c r="BL24" s="644">
        <f t="shared" si="28"/>
        <v>0</v>
      </c>
      <c r="BM24" s="644">
        <f t="shared" si="50"/>
        <v>0</v>
      </c>
      <c r="BN24" s="644">
        <f t="shared" si="29"/>
        <v>0</v>
      </c>
      <c r="BO24" s="644">
        <f t="shared" si="30"/>
        <v>0</v>
      </c>
      <c r="BP24" s="644">
        <f t="shared" si="31"/>
        <v>0</v>
      </c>
      <c r="BQ24" s="644">
        <f t="shared" si="32"/>
        <v>0</v>
      </c>
      <c r="BR24" s="644">
        <f t="shared" si="33"/>
        <v>0</v>
      </c>
      <c r="BS24" s="644">
        <f t="shared" si="34"/>
        <v>0</v>
      </c>
      <c r="BT24" s="644">
        <f>'Quality ROM'!S59</f>
        <v>0</v>
      </c>
      <c r="BU24" s="644">
        <f>IF(BT24=0,0,'Quality ROM'!CP24)</f>
        <v>0</v>
      </c>
      <c r="BV24" s="644">
        <f>IF(BU24=0,0,'Quality ROM'!CQ24)</f>
        <v>0</v>
      </c>
      <c r="BW24" s="644">
        <f>IF(BV24=0,0,'Quality ROM'!CR24)</f>
        <v>0</v>
      </c>
      <c r="BX24" s="644">
        <f>IF(BW24=0,0,'Quality ROM'!CS24)</f>
        <v>0</v>
      </c>
      <c r="BY24" s="644">
        <f>IF(BX24=0,0,'Quality ROM'!CT24)</f>
        <v>0</v>
      </c>
      <c r="BZ24" s="644">
        <f>IF(BY24=0,0,'Quality ROM'!CU24)</f>
        <v>0</v>
      </c>
      <c r="CA24" s="1132">
        <f>Actual!AA$111</f>
        <v>0</v>
      </c>
      <c r="CB24" s="1144">
        <f>IF(CA24=0,0,'Quality ROM'!AL24)</f>
        <v>0</v>
      </c>
      <c r="CC24" s="1144">
        <f>IF(CB24=0,0,'Quality ROM'!AM24)</f>
        <v>0</v>
      </c>
      <c r="CD24" s="1144">
        <f>IF(CC24=0,0,'Quality ROM'!AN24)</f>
        <v>0</v>
      </c>
      <c r="CE24" s="1144">
        <f>IF(CD24=0,0,'Quality ROM'!AO24)</f>
        <v>0</v>
      </c>
      <c r="CF24" s="1144">
        <f>IF(CE24=0,0,'Quality ROM'!AP24)</f>
        <v>0</v>
      </c>
      <c r="CG24" s="1144">
        <f>IF(CF24=0,0,'Quality ROM'!AQ24)</f>
        <v>0</v>
      </c>
      <c r="CH24" s="644">
        <f>'Quality ROM'!T59</f>
        <v>0</v>
      </c>
      <c r="CI24" s="644">
        <f>IF(CH24=0,0,'Quality ROM'!DJ24)</f>
        <v>0</v>
      </c>
      <c r="CJ24" s="644">
        <f>IF(CI24=0,0,'Quality ROM'!DK24)</f>
        <v>0</v>
      </c>
      <c r="CK24" s="644">
        <f>IF(CJ24=0,0,'Quality ROM'!DL24)</f>
        <v>0</v>
      </c>
      <c r="CL24" s="644">
        <f>IF(CK24=0,0,'Quality ROM'!DM24)</f>
        <v>0</v>
      </c>
      <c r="CM24" s="644">
        <f>IF(CL24=0,0,'Quality ROM'!DN24)</f>
        <v>0</v>
      </c>
      <c r="CN24" s="644">
        <f>IF(CM24=0,0,'Quality ROM'!DO24)</f>
        <v>0</v>
      </c>
      <c r="CO24" s="644">
        <f>'Quality ROM'!N59</f>
        <v>0</v>
      </c>
      <c r="CP24" s="644">
        <f>IF(CO24=0,0,'Quality ROM'!CQ24)</f>
        <v>0</v>
      </c>
      <c r="CQ24" s="644">
        <f>IF(CP24=0,0,'Quality ROM'!DL24)</f>
        <v>0</v>
      </c>
      <c r="CR24" s="644">
        <f>IF(CQ24=0,0,'Quality ROM'!DM24)</f>
        <v>0</v>
      </c>
      <c r="CS24" s="644">
        <f>IF(CR24=0,0,'Quality ROM'!DN24)</f>
        <v>0</v>
      </c>
      <c r="CT24" s="644">
        <f>IF(CS24=0,0,'Quality ROM'!DO24)</f>
        <v>0</v>
      </c>
      <c r="CU24" s="644">
        <f>IF(CT24=0,0,'Quality ROM'!DP24)</f>
        <v>0</v>
      </c>
    </row>
    <row r="25" spans="1:99" ht="15">
      <c r="A25" s="1046" t="str">
        <f>'Equipment '!A28</f>
        <v>23-Sep-26</v>
      </c>
      <c r="B25" s="644">
        <f t="shared" si="3"/>
        <v>4653.6216640000002</v>
      </c>
      <c r="C25" s="644">
        <f t="shared" si="4"/>
        <v>39.897629611647439</v>
      </c>
      <c r="D25" s="644">
        <f t="shared" si="5"/>
        <v>21.790821961800834</v>
      </c>
      <c r="E25" s="644">
        <f t="shared" si="6"/>
        <v>4.7548413836596568</v>
      </c>
      <c r="F25" s="644">
        <f t="shared" si="7"/>
        <v>0.14469177749836432</v>
      </c>
      <c r="G25" s="644">
        <f t="shared" si="8"/>
        <v>4982.1526427032813</v>
      </c>
      <c r="H25" s="644">
        <f t="shared" si="9"/>
        <v>3828.830062842359</v>
      </c>
      <c r="I25" s="644">
        <f t="shared" si="35"/>
        <v>4653.6216640000002</v>
      </c>
      <c r="J25" s="644">
        <f t="shared" si="36"/>
        <v>39.897629611647439</v>
      </c>
      <c r="K25" s="644">
        <f t="shared" si="37"/>
        <v>21.790821961800834</v>
      </c>
      <c r="L25" s="644">
        <f t="shared" si="38"/>
        <v>4.7548413836596568</v>
      </c>
      <c r="M25" s="644">
        <f t="shared" si="39"/>
        <v>0.14469177749836432</v>
      </c>
      <c r="N25" s="644">
        <f t="shared" si="40"/>
        <v>4982.1526427032813</v>
      </c>
      <c r="O25" s="644">
        <f t="shared" si="41"/>
        <v>3828.830062842359</v>
      </c>
      <c r="P25" s="644">
        <f>'Quality ROM'!M60</f>
        <v>0</v>
      </c>
      <c r="Q25" s="644">
        <f>IF($P25=0,0,'Quality ROM'!J25)</f>
        <v>0</v>
      </c>
      <c r="R25" s="644">
        <f>IF($P25=0,0,'Quality ROM'!K25)</f>
        <v>0</v>
      </c>
      <c r="S25" s="644">
        <f>IF($P25=0,0,'Quality ROM'!L25)</f>
        <v>0</v>
      </c>
      <c r="T25" s="644">
        <f>IF($P25=0,0,'Quality ROM'!M25)</f>
        <v>0</v>
      </c>
      <c r="U25" s="644">
        <f>IF($P25=0,0,'Quality ROM'!N25)</f>
        <v>0</v>
      </c>
      <c r="V25" s="644">
        <f>IF($P25=0,0,'Quality ROM'!O25)</f>
        <v>0</v>
      </c>
      <c r="W25" s="1132">
        <f>Actual!AB$112</f>
        <v>0</v>
      </c>
      <c r="X25" s="1144">
        <f>IF($W25=0,0,'Quality ROM'!Q25)</f>
        <v>0</v>
      </c>
      <c r="Y25" s="1144">
        <f>IF($W25=0,0,'Quality ROM'!R25)</f>
        <v>0</v>
      </c>
      <c r="Z25" s="1144">
        <f>IF($W25=0,0,'Quality ROM'!S25)</f>
        <v>0</v>
      </c>
      <c r="AA25" s="1144">
        <f>IF($W25=0,0,'Quality ROM'!T25)</f>
        <v>0</v>
      </c>
      <c r="AB25" s="1144">
        <f>IF($W25=0,0,'Quality ROM'!U25)</f>
        <v>0</v>
      </c>
      <c r="AC25" s="1144">
        <f>IF($W25=0,0,'Quality ROM'!V25)</f>
        <v>0</v>
      </c>
      <c r="AD25" s="644">
        <f t="shared" si="11"/>
        <v>48838.493441999999</v>
      </c>
      <c r="AE25" s="644">
        <f t="shared" si="12"/>
        <v>39.897904220516921</v>
      </c>
      <c r="AF25" s="644">
        <f t="shared" si="13"/>
        <v>22.279372681202894</v>
      </c>
      <c r="AG25" s="644">
        <f t="shared" si="14"/>
        <v>6.8193908890769395</v>
      </c>
      <c r="AH25" s="644">
        <f t="shared" si="15"/>
        <v>0.1792773148906143</v>
      </c>
      <c r="AI25" s="644">
        <f t="shared" si="16"/>
        <v>4777.7131932103202</v>
      </c>
      <c r="AJ25" s="644">
        <f t="shared" si="17"/>
        <v>3745.5710401698334</v>
      </c>
      <c r="AK25" s="644">
        <f t="shared" si="42"/>
        <v>48838.493441999999</v>
      </c>
      <c r="AL25" s="644">
        <f t="shared" si="43"/>
        <v>39.897904220516921</v>
      </c>
      <c r="AM25" s="644">
        <f t="shared" si="44"/>
        <v>22.279372681202894</v>
      </c>
      <c r="AN25" s="644">
        <f t="shared" si="45"/>
        <v>6.8193908890769395</v>
      </c>
      <c r="AO25" s="644">
        <f t="shared" si="46"/>
        <v>0.1792773148906143</v>
      </c>
      <c r="AP25" s="644">
        <f t="shared" si="47"/>
        <v>4777.7131932103202</v>
      </c>
      <c r="AQ25" s="644">
        <f t="shared" si="48"/>
        <v>3745.5710401698334</v>
      </c>
      <c r="AR25" s="644">
        <f>'Quality ROM'!O60+'Quality ROM'!P60</f>
        <v>0</v>
      </c>
      <c r="AS25" s="644">
        <f>IF($AR25=0,0,'Quality ROM'!AZ25)</f>
        <v>0</v>
      </c>
      <c r="AT25" s="644">
        <f>IF($AR25=0,0,'Quality ROM'!BA25)</f>
        <v>0</v>
      </c>
      <c r="AU25" s="644">
        <f>IF($AR25=0,0,'Quality ROM'!BB25)</f>
        <v>0</v>
      </c>
      <c r="AV25" s="644">
        <f>IF($AR25=0,0,'Quality ROM'!BC25)</f>
        <v>0</v>
      </c>
      <c r="AW25" s="644">
        <f>IF($AR25=0,0,'Quality ROM'!BD25)</f>
        <v>0</v>
      </c>
      <c r="AX25" s="644">
        <f>IF($AR25=0,0,'Quality ROM'!BE25)</f>
        <v>0</v>
      </c>
      <c r="AY25" s="1132">
        <f>Actual!AB$113</f>
        <v>0</v>
      </c>
      <c r="AZ25" s="1144">
        <f>IF($AY25=0,0,'Quality ROM'!BG25)</f>
        <v>0</v>
      </c>
      <c r="BA25" s="1144">
        <f>IF($AY25=0,0,'Quality ROM'!BH25)</f>
        <v>0</v>
      </c>
      <c r="BB25" s="1144">
        <f>IF($AY25=0,0,'Quality ROM'!BI25)</f>
        <v>0</v>
      </c>
      <c r="BC25" s="1144">
        <f>IF($AY25=0,0,'Quality ROM'!BJ25)</f>
        <v>0</v>
      </c>
      <c r="BD25" s="1144">
        <f>IF($AY25=0,0,'Quality ROM'!BK25)</f>
        <v>0</v>
      </c>
      <c r="BE25" s="1144">
        <f>IF($AY25=0,0,'Quality ROM'!BL25)</f>
        <v>0</v>
      </c>
      <c r="BF25" s="644">
        <f t="shared" si="51"/>
        <v>0</v>
      </c>
      <c r="BG25" s="644">
        <f t="shared" si="49"/>
        <v>0</v>
      </c>
      <c r="BH25" s="644">
        <f t="shared" si="24"/>
        <v>0</v>
      </c>
      <c r="BI25" s="644">
        <f t="shared" si="25"/>
        <v>0</v>
      </c>
      <c r="BJ25" s="644">
        <f t="shared" si="26"/>
        <v>0</v>
      </c>
      <c r="BK25" s="644">
        <f t="shared" si="27"/>
        <v>0</v>
      </c>
      <c r="BL25" s="644">
        <f t="shared" si="28"/>
        <v>0</v>
      </c>
      <c r="BM25" s="644">
        <f t="shared" si="50"/>
        <v>0</v>
      </c>
      <c r="BN25" s="644">
        <f t="shared" si="29"/>
        <v>0</v>
      </c>
      <c r="BO25" s="644">
        <f t="shared" si="30"/>
        <v>0</v>
      </c>
      <c r="BP25" s="644">
        <f t="shared" si="31"/>
        <v>0</v>
      </c>
      <c r="BQ25" s="644">
        <f t="shared" si="32"/>
        <v>0</v>
      </c>
      <c r="BR25" s="644">
        <f t="shared" si="33"/>
        <v>0</v>
      </c>
      <c r="BS25" s="644">
        <f t="shared" si="34"/>
        <v>0</v>
      </c>
      <c r="BT25" s="644">
        <f>'Quality ROM'!S60</f>
        <v>0</v>
      </c>
      <c r="BU25" s="644">
        <f>IF(BT25=0,0,'Quality ROM'!CP25)</f>
        <v>0</v>
      </c>
      <c r="BV25" s="644">
        <f>IF(BU25=0,0,'Quality ROM'!CQ25)</f>
        <v>0</v>
      </c>
      <c r="BW25" s="644">
        <f>IF(BV25=0,0,'Quality ROM'!CR25)</f>
        <v>0</v>
      </c>
      <c r="BX25" s="644">
        <f>IF(BW25=0,0,'Quality ROM'!CS25)</f>
        <v>0</v>
      </c>
      <c r="BY25" s="644">
        <f>IF(BX25=0,0,'Quality ROM'!CT25)</f>
        <v>0</v>
      </c>
      <c r="BZ25" s="644">
        <f>IF(BY25=0,0,'Quality ROM'!CU25)</f>
        <v>0</v>
      </c>
      <c r="CA25" s="1132">
        <f>Actual!AB$111</f>
        <v>0</v>
      </c>
      <c r="CB25" s="1144">
        <f>IF(CA25=0,0,'Quality ROM'!AL25)</f>
        <v>0</v>
      </c>
      <c r="CC25" s="1144">
        <f>IF(CB25=0,0,'Quality ROM'!AM25)</f>
        <v>0</v>
      </c>
      <c r="CD25" s="1144">
        <f>IF(CC25=0,0,'Quality ROM'!AN25)</f>
        <v>0</v>
      </c>
      <c r="CE25" s="1144">
        <f>IF(CD25=0,0,'Quality ROM'!AO25)</f>
        <v>0</v>
      </c>
      <c r="CF25" s="1144">
        <f>IF(CE25=0,0,'Quality ROM'!AP25)</f>
        <v>0</v>
      </c>
      <c r="CG25" s="1144">
        <f>IF(CF25=0,0,'Quality ROM'!AQ25)</f>
        <v>0</v>
      </c>
      <c r="CH25" s="644">
        <f>'Quality ROM'!T60</f>
        <v>0</v>
      </c>
      <c r="CI25" s="644">
        <f>IF(CH25=0,0,'Quality ROM'!DJ25)</f>
        <v>0</v>
      </c>
      <c r="CJ25" s="644">
        <f>IF(CI25=0,0,'Quality ROM'!DK25)</f>
        <v>0</v>
      </c>
      <c r="CK25" s="644">
        <f>IF(CJ25=0,0,'Quality ROM'!DL25)</f>
        <v>0</v>
      </c>
      <c r="CL25" s="644">
        <f>IF(CK25=0,0,'Quality ROM'!DM25)</f>
        <v>0</v>
      </c>
      <c r="CM25" s="644">
        <f>IF(CL25=0,0,'Quality ROM'!DN25)</f>
        <v>0</v>
      </c>
      <c r="CN25" s="644">
        <f>IF(CM25=0,0,'Quality ROM'!DO25)</f>
        <v>0</v>
      </c>
      <c r="CO25" s="644">
        <f>'Quality ROM'!N60</f>
        <v>0</v>
      </c>
      <c r="CP25" s="644">
        <f>IF(CO25=0,0,'Quality ROM'!CQ25)</f>
        <v>0</v>
      </c>
      <c r="CQ25" s="644">
        <f>IF(CP25=0,0,'Quality ROM'!DL25)</f>
        <v>0</v>
      </c>
      <c r="CR25" s="644">
        <f>IF(CQ25=0,0,'Quality ROM'!DM25)</f>
        <v>0</v>
      </c>
      <c r="CS25" s="644">
        <f>IF(CR25=0,0,'Quality ROM'!DN25)</f>
        <v>0</v>
      </c>
      <c r="CT25" s="644">
        <f>IF(CS25=0,0,'Quality ROM'!DO25)</f>
        <v>0</v>
      </c>
      <c r="CU25" s="644">
        <f>IF(CT25=0,0,'Quality ROM'!DP25)</f>
        <v>0</v>
      </c>
    </row>
    <row r="26" spans="1:99" ht="15">
      <c r="A26" s="1046" t="str">
        <f>'Equipment '!A29</f>
        <v>24-Sep-26</v>
      </c>
      <c r="B26" s="644">
        <f t="shared" si="3"/>
        <v>4653.6216640000002</v>
      </c>
      <c r="C26" s="644">
        <f t="shared" si="4"/>
        <v>39.897629611647439</v>
      </c>
      <c r="D26" s="644">
        <f t="shared" si="5"/>
        <v>21.790821961800834</v>
      </c>
      <c r="E26" s="644">
        <f t="shared" si="6"/>
        <v>4.7548413836596568</v>
      </c>
      <c r="F26" s="644">
        <f t="shared" si="7"/>
        <v>0.14469177749836432</v>
      </c>
      <c r="G26" s="644">
        <f t="shared" si="8"/>
        <v>4982.1526427032813</v>
      </c>
      <c r="H26" s="644">
        <f t="shared" si="9"/>
        <v>3828.830062842359</v>
      </c>
      <c r="I26" s="644">
        <f t="shared" si="35"/>
        <v>4653.6216640000002</v>
      </c>
      <c r="J26" s="644">
        <f t="shared" si="36"/>
        <v>39.897629611647439</v>
      </c>
      <c r="K26" s="644">
        <f t="shared" si="37"/>
        <v>21.790821961800834</v>
      </c>
      <c r="L26" s="644">
        <f t="shared" si="38"/>
        <v>4.7548413836596568</v>
      </c>
      <c r="M26" s="644">
        <f t="shared" si="39"/>
        <v>0.14469177749836432</v>
      </c>
      <c r="N26" s="644">
        <f t="shared" si="40"/>
        <v>4982.1526427032813</v>
      </c>
      <c r="O26" s="644">
        <f t="shared" si="41"/>
        <v>3828.830062842359</v>
      </c>
      <c r="P26" s="644">
        <f>'Quality ROM'!M61</f>
        <v>0</v>
      </c>
      <c r="Q26" s="644">
        <f>IF($P26=0,0,'Quality ROM'!J26)</f>
        <v>0</v>
      </c>
      <c r="R26" s="644">
        <f>IF($P26=0,0,'Quality ROM'!K26)</f>
        <v>0</v>
      </c>
      <c r="S26" s="644">
        <f>IF($P26=0,0,'Quality ROM'!L26)</f>
        <v>0</v>
      </c>
      <c r="T26" s="644">
        <f>IF($P26=0,0,'Quality ROM'!M26)</f>
        <v>0</v>
      </c>
      <c r="U26" s="644">
        <f>IF($P26=0,0,'Quality ROM'!N26)</f>
        <v>0</v>
      </c>
      <c r="V26" s="644">
        <f>IF($P26=0,0,'Quality ROM'!O26)</f>
        <v>0</v>
      </c>
      <c r="W26" s="1132">
        <f>Actual!AC$112</f>
        <v>0</v>
      </c>
      <c r="X26" s="1144">
        <f>IF($W26=0,0,'Quality ROM'!Q26)</f>
        <v>0</v>
      </c>
      <c r="Y26" s="1144">
        <f>IF($W26=0,0,'Quality ROM'!R26)</f>
        <v>0</v>
      </c>
      <c r="Z26" s="1144">
        <f>IF($W26=0,0,'Quality ROM'!S26)</f>
        <v>0</v>
      </c>
      <c r="AA26" s="1144">
        <f>IF($W26=0,0,'Quality ROM'!T26)</f>
        <v>0</v>
      </c>
      <c r="AB26" s="1144">
        <f>IF($W26=0,0,'Quality ROM'!U26)</f>
        <v>0</v>
      </c>
      <c r="AC26" s="1144">
        <f>IF($W26=0,0,'Quality ROM'!V26)</f>
        <v>0</v>
      </c>
      <c r="AD26" s="644">
        <f t="shared" si="11"/>
        <v>48838.493441999999</v>
      </c>
      <c r="AE26" s="644">
        <f t="shared" si="12"/>
        <v>39.897904220516921</v>
      </c>
      <c r="AF26" s="644">
        <f t="shared" si="13"/>
        <v>22.279372681202894</v>
      </c>
      <c r="AG26" s="644">
        <f t="shared" si="14"/>
        <v>6.8193908890769395</v>
      </c>
      <c r="AH26" s="644">
        <f t="shared" si="15"/>
        <v>0.1792773148906143</v>
      </c>
      <c r="AI26" s="644">
        <f t="shared" si="16"/>
        <v>4777.7131932103202</v>
      </c>
      <c r="AJ26" s="644">
        <f t="shared" si="17"/>
        <v>3745.5710401698334</v>
      </c>
      <c r="AK26" s="644">
        <f t="shared" si="42"/>
        <v>48838.493441999999</v>
      </c>
      <c r="AL26" s="644">
        <f t="shared" si="43"/>
        <v>39.897904220516921</v>
      </c>
      <c r="AM26" s="644">
        <f t="shared" si="44"/>
        <v>22.279372681202894</v>
      </c>
      <c r="AN26" s="644">
        <f t="shared" si="45"/>
        <v>6.8193908890769395</v>
      </c>
      <c r="AO26" s="644">
        <f t="shared" si="46"/>
        <v>0.1792773148906143</v>
      </c>
      <c r="AP26" s="644">
        <f t="shared" si="47"/>
        <v>4777.7131932103202</v>
      </c>
      <c r="AQ26" s="644">
        <f t="shared" si="48"/>
        <v>3745.5710401698334</v>
      </c>
      <c r="AR26" s="644">
        <f>'Quality ROM'!O61+'Quality ROM'!P61</f>
        <v>0</v>
      </c>
      <c r="AS26" s="644">
        <f>IF($AR26=0,0,'Quality ROM'!AZ26)</f>
        <v>0</v>
      </c>
      <c r="AT26" s="644">
        <f>IF($AR26=0,0,'Quality ROM'!BA26)</f>
        <v>0</v>
      </c>
      <c r="AU26" s="644">
        <f>IF($AR26=0,0,'Quality ROM'!BB26)</f>
        <v>0</v>
      </c>
      <c r="AV26" s="644">
        <f>IF($AR26=0,0,'Quality ROM'!BC26)</f>
        <v>0</v>
      </c>
      <c r="AW26" s="644">
        <f>IF($AR26=0,0,'Quality ROM'!BD26)</f>
        <v>0</v>
      </c>
      <c r="AX26" s="644">
        <f>IF($AR26=0,0,'Quality ROM'!BE26)</f>
        <v>0</v>
      </c>
      <c r="AY26" s="1132">
        <f>Actual!AC$113</f>
        <v>0</v>
      </c>
      <c r="AZ26" s="1144">
        <f>IF($AY26=0,0,'Quality ROM'!BG26)</f>
        <v>0</v>
      </c>
      <c r="BA26" s="1144">
        <f>IF($AY26=0,0,'Quality ROM'!BH26)</f>
        <v>0</v>
      </c>
      <c r="BB26" s="1144">
        <f>IF($AY26=0,0,'Quality ROM'!BI26)</f>
        <v>0</v>
      </c>
      <c r="BC26" s="1144">
        <f>IF($AY26=0,0,'Quality ROM'!BJ26)</f>
        <v>0</v>
      </c>
      <c r="BD26" s="1144">
        <f>IF($AY26=0,0,'Quality ROM'!BK26)</f>
        <v>0</v>
      </c>
      <c r="BE26" s="1144">
        <f>IF($AY26=0,0,'Quality ROM'!BL26)</f>
        <v>0</v>
      </c>
      <c r="BF26" s="644">
        <f t="shared" si="51"/>
        <v>0</v>
      </c>
      <c r="BG26" s="644">
        <f t="shared" si="49"/>
        <v>0</v>
      </c>
      <c r="BH26" s="644">
        <f t="shared" si="24"/>
        <v>0</v>
      </c>
      <c r="BI26" s="644">
        <f t="shared" si="25"/>
        <v>0</v>
      </c>
      <c r="BJ26" s="644">
        <f t="shared" si="26"/>
        <v>0</v>
      </c>
      <c r="BK26" s="644">
        <f t="shared" si="27"/>
        <v>0</v>
      </c>
      <c r="BL26" s="644">
        <f t="shared" si="28"/>
        <v>0</v>
      </c>
      <c r="BM26" s="644">
        <f t="shared" si="50"/>
        <v>0</v>
      </c>
      <c r="BN26" s="644">
        <f t="shared" si="29"/>
        <v>0</v>
      </c>
      <c r="BO26" s="644">
        <f t="shared" si="30"/>
        <v>0</v>
      </c>
      <c r="BP26" s="644">
        <f t="shared" si="31"/>
        <v>0</v>
      </c>
      <c r="BQ26" s="644">
        <f t="shared" si="32"/>
        <v>0</v>
      </c>
      <c r="BR26" s="644">
        <f t="shared" si="33"/>
        <v>0</v>
      </c>
      <c r="BS26" s="644">
        <f t="shared" si="34"/>
        <v>0</v>
      </c>
      <c r="BT26" s="644">
        <f>'Quality ROM'!S61</f>
        <v>0</v>
      </c>
      <c r="BU26" s="644">
        <f>IF(BT26=0,0,'Quality ROM'!CP26)</f>
        <v>0</v>
      </c>
      <c r="BV26" s="644">
        <f>IF(BU26=0,0,'Quality ROM'!CQ26)</f>
        <v>0</v>
      </c>
      <c r="BW26" s="644">
        <f>IF(BV26=0,0,'Quality ROM'!CR26)</f>
        <v>0</v>
      </c>
      <c r="BX26" s="644">
        <f>IF(BW26=0,0,'Quality ROM'!CS26)</f>
        <v>0</v>
      </c>
      <c r="BY26" s="644">
        <f>IF(BX26=0,0,'Quality ROM'!CT26)</f>
        <v>0</v>
      </c>
      <c r="BZ26" s="644">
        <f>IF(BY26=0,0,'Quality ROM'!CU26)</f>
        <v>0</v>
      </c>
      <c r="CA26" s="1132">
        <f>Actual!AC$111</f>
        <v>0</v>
      </c>
      <c r="CB26" s="1144">
        <f>IF(CA26=0,0,'Quality ROM'!AL26)</f>
        <v>0</v>
      </c>
      <c r="CC26" s="1144">
        <f>IF(CB26=0,0,'Quality ROM'!AM26)</f>
        <v>0</v>
      </c>
      <c r="CD26" s="1144">
        <f>IF(CC26=0,0,'Quality ROM'!AN26)</f>
        <v>0</v>
      </c>
      <c r="CE26" s="1144">
        <f>IF(CD26=0,0,'Quality ROM'!AO26)</f>
        <v>0</v>
      </c>
      <c r="CF26" s="1144">
        <f>IF(CE26=0,0,'Quality ROM'!AP26)</f>
        <v>0</v>
      </c>
      <c r="CG26" s="1144">
        <f>IF(CF26=0,0,'Quality ROM'!AQ26)</f>
        <v>0</v>
      </c>
      <c r="CH26" s="644">
        <f>'Quality ROM'!T61</f>
        <v>0</v>
      </c>
      <c r="CI26" s="644">
        <f>IF(CH26=0,0,'Quality ROM'!DJ26)</f>
        <v>0</v>
      </c>
      <c r="CJ26" s="644">
        <f>IF(CI26=0,0,'Quality ROM'!DK26)</f>
        <v>0</v>
      </c>
      <c r="CK26" s="644">
        <f>IF(CJ26=0,0,'Quality ROM'!DL26)</f>
        <v>0</v>
      </c>
      <c r="CL26" s="644">
        <f>IF(CK26=0,0,'Quality ROM'!DM26)</f>
        <v>0</v>
      </c>
      <c r="CM26" s="644">
        <f>IF(CL26=0,0,'Quality ROM'!DN26)</f>
        <v>0</v>
      </c>
      <c r="CN26" s="644">
        <f>IF(CM26=0,0,'Quality ROM'!DO26)</f>
        <v>0</v>
      </c>
      <c r="CO26" s="644">
        <f>'Quality ROM'!N61</f>
        <v>0</v>
      </c>
      <c r="CP26" s="644">
        <f>IF(CO26=0,0,'Quality ROM'!CQ26)</f>
        <v>0</v>
      </c>
      <c r="CQ26" s="644">
        <f>IF(CP26=0,0,'Quality ROM'!DL26)</f>
        <v>0</v>
      </c>
      <c r="CR26" s="644">
        <f>IF(CQ26=0,0,'Quality ROM'!DM26)</f>
        <v>0</v>
      </c>
      <c r="CS26" s="644">
        <f>IF(CR26=0,0,'Quality ROM'!DN26)</f>
        <v>0</v>
      </c>
      <c r="CT26" s="644">
        <f>IF(CS26=0,0,'Quality ROM'!DO26)</f>
        <v>0</v>
      </c>
      <c r="CU26" s="644">
        <f>IF(CT26=0,0,'Quality ROM'!DP26)</f>
        <v>0</v>
      </c>
    </row>
    <row r="27" spans="1:99" ht="15">
      <c r="A27" s="1046" t="str">
        <f>'Equipment '!A30</f>
        <v>25-Sep-26</v>
      </c>
      <c r="B27" s="644">
        <f t="shared" si="3"/>
        <v>4653.6216640000002</v>
      </c>
      <c r="C27" s="644">
        <f t="shared" si="4"/>
        <v>39.897629611647439</v>
      </c>
      <c r="D27" s="644">
        <f t="shared" si="5"/>
        <v>21.790821961800834</v>
      </c>
      <c r="E27" s="644">
        <f t="shared" si="6"/>
        <v>4.7548413836596568</v>
      </c>
      <c r="F27" s="644">
        <f t="shared" si="7"/>
        <v>0.14469177749836432</v>
      </c>
      <c r="G27" s="644">
        <f t="shared" si="8"/>
        <v>4982.1526427032813</v>
      </c>
      <c r="H27" s="644">
        <f t="shared" si="9"/>
        <v>3828.830062842359</v>
      </c>
      <c r="I27" s="644">
        <f t="shared" si="35"/>
        <v>4653.6216640000002</v>
      </c>
      <c r="J27" s="644">
        <f t="shared" si="36"/>
        <v>39.897629611647439</v>
      </c>
      <c r="K27" s="644">
        <f t="shared" si="37"/>
        <v>21.790821961800834</v>
      </c>
      <c r="L27" s="644">
        <f t="shared" si="38"/>
        <v>4.7548413836596568</v>
      </c>
      <c r="M27" s="644">
        <f t="shared" si="39"/>
        <v>0.14469177749836432</v>
      </c>
      <c r="N27" s="644">
        <f t="shared" si="40"/>
        <v>4982.1526427032813</v>
      </c>
      <c r="O27" s="644">
        <f t="shared" si="41"/>
        <v>3828.830062842359</v>
      </c>
      <c r="P27" s="644">
        <f>'Quality ROM'!M62</f>
        <v>0</v>
      </c>
      <c r="Q27" s="644">
        <f>IF($P27=0,0,'Quality ROM'!J27)</f>
        <v>0</v>
      </c>
      <c r="R27" s="644">
        <f>IF($P27=0,0,'Quality ROM'!K27)</f>
        <v>0</v>
      </c>
      <c r="S27" s="644">
        <f>IF($P27=0,0,'Quality ROM'!L27)</f>
        <v>0</v>
      </c>
      <c r="T27" s="644">
        <f>IF($P27=0,0,'Quality ROM'!M27)</f>
        <v>0</v>
      </c>
      <c r="U27" s="644">
        <f>IF($P27=0,0,'Quality ROM'!N27)</f>
        <v>0</v>
      </c>
      <c r="V27" s="644">
        <f>IF($P27=0,0,'Quality ROM'!O27)</f>
        <v>0</v>
      </c>
      <c r="W27" s="1132">
        <f>Actual!AD$112</f>
        <v>0</v>
      </c>
      <c r="X27" s="1144">
        <f>IF($W27=0,0,'Quality ROM'!Q27)</f>
        <v>0</v>
      </c>
      <c r="Y27" s="1144">
        <f>IF($W27=0,0,'Quality ROM'!R27)</f>
        <v>0</v>
      </c>
      <c r="Z27" s="1144">
        <f>IF($W27=0,0,'Quality ROM'!S27)</f>
        <v>0</v>
      </c>
      <c r="AA27" s="1144">
        <f>IF($W27=0,0,'Quality ROM'!T27)</f>
        <v>0</v>
      </c>
      <c r="AB27" s="1144">
        <f>IF($W27=0,0,'Quality ROM'!U27)</f>
        <v>0</v>
      </c>
      <c r="AC27" s="1144">
        <f>IF($W27=0,0,'Quality ROM'!V27)</f>
        <v>0</v>
      </c>
      <c r="AD27" s="644">
        <f t="shared" si="11"/>
        <v>48838.493441999999</v>
      </c>
      <c r="AE27" s="644">
        <f t="shared" si="12"/>
        <v>39.897904220516921</v>
      </c>
      <c r="AF27" s="644">
        <f t="shared" si="13"/>
        <v>22.279372681202894</v>
      </c>
      <c r="AG27" s="644">
        <f t="shared" si="14"/>
        <v>6.8193908890769395</v>
      </c>
      <c r="AH27" s="644">
        <f t="shared" si="15"/>
        <v>0.1792773148906143</v>
      </c>
      <c r="AI27" s="644">
        <f t="shared" si="16"/>
        <v>4777.7131932103202</v>
      </c>
      <c r="AJ27" s="644">
        <f t="shared" si="17"/>
        <v>3745.5710401698334</v>
      </c>
      <c r="AK27" s="644">
        <f t="shared" si="42"/>
        <v>48838.493441999999</v>
      </c>
      <c r="AL27" s="644">
        <f t="shared" si="43"/>
        <v>39.897904220516921</v>
      </c>
      <c r="AM27" s="644">
        <f t="shared" si="44"/>
        <v>22.279372681202894</v>
      </c>
      <c r="AN27" s="644">
        <f t="shared" si="45"/>
        <v>6.8193908890769395</v>
      </c>
      <c r="AO27" s="644">
        <f t="shared" si="46"/>
        <v>0.1792773148906143</v>
      </c>
      <c r="AP27" s="644">
        <f t="shared" si="47"/>
        <v>4777.7131932103202</v>
      </c>
      <c r="AQ27" s="644">
        <f t="shared" si="48"/>
        <v>3745.5710401698334</v>
      </c>
      <c r="AR27" s="644">
        <f>'Quality ROM'!O62+'Quality ROM'!P62</f>
        <v>0</v>
      </c>
      <c r="AS27" s="644">
        <f>IF($AR27=0,0,'Quality ROM'!AZ27)</f>
        <v>0</v>
      </c>
      <c r="AT27" s="644">
        <f>IF($AR27=0,0,'Quality ROM'!BA27)</f>
        <v>0</v>
      </c>
      <c r="AU27" s="644">
        <f>IF($AR27=0,0,'Quality ROM'!BB27)</f>
        <v>0</v>
      </c>
      <c r="AV27" s="644">
        <f>IF($AR27=0,0,'Quality ROM'!BC27)</f>
        <v>0</v>
      </c>
      <c r="AW27" s="644">
        <f>IF($AR27=0,0,'Quality ROM'!BD27)</f>
        <v>0</v>
      </c>
      <c r="AX27" s="644">
        <f>IF($AR27=0,0,'Quality ROM'!BE27)</f>
        <v>0</v>
      </c>
      <c r="AY27" s="1132">
        <f>Actual!AD$113</f>
        <v>0</v>
      </c>
      <c r="AZ27" s="1144">
        <f>IF($AY27=0,0,'Quality ROM'!BG27)</f>
        <v>0</v>
      </c>
      <c r="BA27" s="1144">
        <f>IF($AY27=0,0,'Quality ROM'!BH27)</f>
        <v>0</v>
      </c>
      <c r="BB27" s="1144">
        <f>IF($AY27=0,0,'Quality ROM'!BI27)</f>
        <v>0</v>
      </c>
      <c r="BC27" s="1144">
        <f>IF($AY27=0,0,'Quality ROM'!BJ27)</f>
        <v>0</v>
      </c>
      <c r="BD27" s="1144">
        <f>IF($AY27=0,0,'Quality ROM'!BK27)</f>
        <v>0</v>
      </c>
      <c r="BE27" s="1144">
        <f>IF($AY27=0,0,'Quality ROM'!BL27)</f>
        <v>0</v>
      </c>
      <c r="BF27" s="644">
        <f t="shared" si="51"/>
        <v>0</v>
      </c>
      <c r="BG27" s="644">
        <f t="shared" si="49"/>
        <v>0</v>
      </c>
      <c r="BH27" s="644">
        <f t="shared" si="24"/>
        <v>0</v>
      </c>
      <c r="BI27" s="644">
        <f t="shared" si="25"/>
        <v>0</v>
      </c>
      <c r="BJ27" s="644">
        <f t="shared" si="26"/>
        <v>0</v>
      </c>
      <c r="BK27" s="644">
        <f t="shared" si="27"/>
        <v>0</v>
      </c>
      <c r="BL27" s="644">
        <f t="shared" si="28"/>
        <v>0</v>
      </c>
      <c r="BM27" s="644">
        <f t="shared" si="50"/>
        <v>0</v>
      </c>
      <c r="BN27" s="644">
        <f t="shared" si="29"/>
        <v>0</v>
      </c>
      <c r="BO27" s="644">
        <f t="shared" si="30"/>
        <v>0</v>
      </c>
      <c r="BP27" s="644">
        <f t="shared" si="31"/>
        <v>0</v>
      </c>
      <c r="BQ27" s="644">
        <f t="shared" si="32"/>
        <v>0</v>
      </c>
      <c r="BR27" s="644">
        <f t="shared" si="33"/>
        <v>0</v>
      </c>
      <c r="BS27" s="644">
        <f t="shared" si="34"/>
        <v>0</v>
      </c>
      <c r="BT27" s="644">
        <f>'Quality ROM'!S62</f>
        <v>0</v>
      </c>
      <c r="BU27" s="644">
        <f>IF(BT27=0,0,'Quality ROM'!CP27)</f>
        <v>0</v>
      </c>
      <c r="BV27" s="644">
        <f>IF(BU27=0,0,'Quality ROM'!CQ27)</f>
        <v>0</v>
      </c>
      <c r="BW27" s="644">
        <f>IF(BV27=0,0,'Quality ROM'!CR27)</f>
        <v>0</v>
      </c>
      <c r="BX27" s="644">
        <f>IF(BW27=0,0,'Quality ROM'!CS27)</f>
        <v>0</v>
      </c>
      <c r="BY27" s="644">
        <f>IF(BX27=0,0,'Quality ROM'!CT27)</f>
        <v>0</v>
      </c>
      <c r="BZ27" s="644">
        <f>IF(BY27=0,0,'Quality ROM'!CU27)</f>
        <v>0</v>
      </c>
      <c r="CA27" s="1132">
        <f>Actual!AD$111</f>
        <v>0</v>
      </c>
      <c r="CB27" s="1144">
        <f>IF(CA27=0,0,'Quality ROM'!AL27)</f>
        <v>0</v>
      </c>
      <c r="CC27" s="1144">
        <f>IF(CB27=0,0,'Quality ROM'!AM27)</f>
        <v>0</v>
      </c>
      <c r="CD27" s="1144">
        <f>IF(CC27=0,0,'Quality ROM'!AN27)</f>
        <v>0</v>
      </c>
      <c r="CE27" s="1144">
        <f>IF(CD27=0,0,'Quality ROM'!AO27)</f>
        <v>0</v>
      </c>
      <c r="CF27" s="1144">
        <f>IF(CE27=0,0,'Quality ROM'!AP27)</f>
        <v>0</v>
      </c>
      <c r="CG27" s="1144">
        <f>IF(CF27=0,0,'Quality ROM'!AQ27)</f>
        <v>0</v>
      </c>
      <c r="CH27" s="644">
        <f>'Quality ROM'!T62</f>
        <v>0</v>
      </c>
      <c r="CI27" s="644">
        <f>IF(CH27=0,0,'Quality ROM'!DJ27)</f>
        <v>0</v>
      </c>
      <c r="CJ27" s="644">
        <f>IF(CI27=0,0,'Quality ROM'!DK27)</f>
        <v>0</v>
      </c>
      <c r="CK27" s="644">
        <f>IF(CJ27=0,0,'Quality ROM'!DL27)</f>
        <v>0</v>
      </c>
      <c r="CL27" s="644">
        <f>IF(CK27=0,0,'Quality ROM'!DM27)</f>
        <v>0</v>
      </c>
      <c r="CM27" s="644">
        <f>IF(CL27=0,0,'Quality ROM'!DN27)</f>
        <v>0</v>
      </c>
      <c r="CN27" s="644">
        <f>IF(CM27=0,0,'Quality ROM'!DO27)</f>
        <v>0</v>
      </c>
      <c r="CO27" s="644">
        <f>'Quality ROM'!N62</f>
        <v>0</v>
      </c>
      <c r="CP27" s="644">
        <f>IF(CO27=0,0,'Quality ROM'!CQ27)</f>
        <v>0</v>
      </c>
      <c r="CQ27" s="644">
        <f>IF(CP27=0,0,'Quality ROM'!DL27)</f>
        <v>0</v>
      </c>
      <c r="CR27" s="644">
        <f>IF(CQ27=0,0,'Quality ROM'!DM27)</f>
        <v>0</v>
      </c>
      <c r="CS27" s="644">
        <f>IF(CR27=0,0,'Quality ROM'!DN27)</f>
        <v>0</v>
      </c>
      <c r="CT27" s="644">
        <f>IF(CS27=0,0,'Quality ROM'!DO27)</f>
        <v>0</v>
      </c>
      <c r="CU27" s="644">
        <f>IF(CT27=0,0,'Quality ROM'!DP27)</f>
        <v>0</v>
      </c>
    </row>
    <row r="28" spans="1:99" ht="15">
      <c r="A28" s="1046" t="str">
        <f>'Equipment '!A31</f>
        <v>26-Sep-26</v>
      </c>
      <c r="B28" s="644">
        <f t="shared" si="3"/>
        <v>4653.6216640000002</v>
      </c>
      <c r="C28" s="644">
        <f t="shared" si="4"/>
        <v>39.897629611647439</v>
      </c>
      <c r="D28" s="644">
        <f t="shared" si="5"/>
        <v>21.790821961800834</v>
      </c>
      <c r="E28" s="644">
        <f t="shared" si="6"/>
        <v>4.7548413836596568</v>
      </c>
      <c r="F28" s="644">
        <f t="shared" si="7"/>
        <v>0.14469177749836432</v>
      </c>
      <c r="G28" s="644">
        <f t="shared" si="8"/>
        <v>4982.1526427032813</v>
      </c>
      <c r="H28" s="644">
        <f t="shared" si="9"/>
        <v>3828.830062842359</v>
      </c>
      <c r="I28" s="644">
        <f t="shared" si="35"/>
        <v>4653.6216640000002</v>
      </c>
      <c r="J28" s="644">
        <f t="shared" si="36"/>
        <v>39.897629611647439</v>
      </c>
      <c r="K28" s="644">
        <f t="shared" si="37"/>
        <v>21.790821961800834</v>
      </c>
      <c r="L28" s="644">
        <f t="shared" si="38"/>
        <v>4.7548413836596568</v>
      </c>
      <c r="M28" s="644">
        <f t="shared" si="39"/>
        <v>0.14469177749836432</v>
      </c>
      <c r="N28" s="644">
        <f t="shared" si="40"/>
        <v>4982.1526427032813</v>
      </c>
      <c r="O28" s="644">
        <f t="shared" si="41"/>
        <v>3828.830062842359</v>
      </c>
      <c r="P28" s="644">
        <f>'Quality ROM'!M63</f>
        <v>0</v>
      </c>
      <c r="Q28" s="644">
        <f>IF($P28=0,0,'Quality ROM'!J28)</f>
        <v>0</v>
      </c>
      <c r="R28" s="644">
        <f>IF($P28=0,0,'Quality ROM'!K28)</f>
        <v>0</v>
      </c>
      <c r="S28" s="644">
        <f>IF($P28=0,0,'Quality ROM'!L28)</f>
        <v>0</v>
      </c>
      <c r="T28" s="644">
        <f>IF($P28=0,0,'Quality ROM'!M28)</f>
        <v>0</v>
      </c>
      <c r="U28" s="644">
        <f>IF($P28=0,0,'Quality ROM'!N28)</f>
        <v>0</v>
      </c>
      <c r="V28" s="644">
        <f>IF($P28=0,0,'Quality ROM'!O28)</f>
        <v>0</v>
      </c>
      <c r="W28" s="1132">
        <f>Actual!AE$112</f>
        <v>0</v>
      </c>
      <c r="X28" s="1144">
        <f>IF($W28=0,0,'Quality ROM'!Q28)</f>
        <v>0</v>
      </c>
      <c r="Y28" s="1144">
        <f>IF($W28=0,0,'Quality ROM'!R28)</f>
        <v>0</v>
      </c>
      <c r="Z28" s="1144">
        <f>IF($W28=0,0,'Quality ROM'!S28)</f>
        <v>0</v>
      </c>
      <c r="AA28" s="1144">
        <f>IF($W28=0,0,'Quality ROM'!T28)</f>
        <v>0</v>
      </c>
      <c r="AB28" s="1144">
        <f>IF($W28=0,0,'Quality ROM'!U28)</f>
        <v>0</v>
      </c>
      <c r="AC28" s="1144">
        <f>IF($W28=0,0,'Quality ROM'!V28)</f>
        <v>0</v>
      </c>
      <c r="AD28" s="644">
        <f t="shared" si="11"/>
        <v>48838.493441999999</v>
      </c>
      <c r="AE28" s="644">
        <f t="shared" si="12"/>
        <v>39.897904220516921</v>
      </c>
      <c r="AF28" s="644">
        <f t="shared" si="13"/>
        <v>22.279372681202894</v>
      </c>
      <c r="AG28" s="644">
        <f t="shared" si="14"/>
        <v>6.8193908890769395</v>
      </c>
      <c r="AH28" s="644">
        <f t="shared" si="15"/>
        <v>0.1792773148906143</v>
      </c>
      <c r="AI28" s="644">
        <f t="shared" si="16"/>
        <v>4777.7131932103202</v>
      </c>
      <c r="AJ28" s="644">
        <f t="shared" si="17"/>
        <v>3745.5710401698334</v>
      </c>
      <c r="AK28" s="644">
        <f t="shared" si="42"/>
        <v>48838.493441999999</v>
      </c>
      <c r="AL28" s="644">
        <f t="shared" si="43"/>
        <v>39.897904220516921</v>
      </c>
      <c r="AM28" s="644">
        <f t="shared" si="44"/>
        <v>22.279372681202894</v>
      </c>
      <c r="AN28" s="644">
        <f t="shared" si="45"/>
        <v>6.8193908890769395</v>
      </c>
      <c r="AO28" s="644">
        <f t="shared" si="46"/>
        <v>0.1792773148906143</v>
      </c>
      <c r="AP28" s="644">
        <f t="shared" si="47"/>
        <v>4777.7131932103202</v>
      </c>
      <c r="AQ28" s="644">
        <f t="shared" si="48"/>
        <v>3745.5710401698334</v>
      </c>
      <c r="AR28" s="644">
        <f>'Quality ROM'!O63+'Quality ROM'!P63</f>
        <v>0</v>
      </c>
      <c r="AS28" s="644">
        <f>IF($AR28=0,0,'Quality ROM'!AZ28)</f>
        <v>0</v>
      </c>
      <c r="AT28" s="644">
        <f>IF($AR28=0,0,'Quality ROM'!BA28)</f>
        <v>0</v>
      </c>
      <c r="AU28" s="644">
        <f>IF($AR28=0,0,'Quality ROM'!BB28)</f>
        <v>0</v>
      </c>
      <c r="AV28" s="644">
        <f>IF($AR28=0,0,'Quality ROM'!BC28)</f>
        <v>0</v>
      </c>
      <c r="AW28" s="644">
        <f>IF($AR28=0,0,'Quality ROM'!BD28)</f>
        <v>0</v>
      </c>
      <c r="AX28" s="644">
        <f>IF($AR28=0,0,'Quality ROM'!BE28)</f>
        <v>0</v>
      </c>
      <c r="AY28" s="1132">
        <f>Actual!AE$113</f>
        <v>0</v>
      </c>
      <c r="AZ28" s="1144">
        <f>IF($AY28=0,0,'Quality ROM'!BG28)</f>
        <v>0</v>
      </c>
      <c r="BA28" s="1144">
        <f>IF($AY28=0,0,'Quality ROM'!BH28)</f>
        <v>0</v>
      </c>
      <c r="BB28" s="1144">
        <f>IF($AY28=0,0,'Quality ROM'!BI28)</f>
        <v>0</v>
      </c>
      <c r="BC28" s="1144">
        <f>IF($AY28=0,0,'Quality ROM'!BJ28)</f>
        <v>0</v>
      </c>
      <c r="BD28" s="1144">
        <f>IF($AY28=0,0,'Quality ROM'!BK28)</f>
        <v>0</v>
      </c>
      <c r="BE28" s="1144">
        <f>IF($AY28=0,0,'Quality ROM'!BL28)</f>
        <v>0</v>
      </c>
      <c r="BF28" s="644">
        <f t="shared" si="51"/>
        <v>0</v>
      </c>
      <c r="BG28" s="644">
        <f t="shared" si="49"/>
        <v>0</v>
      </c>
      <c r="BH28" s="644">
        <f t="shared" si="24"/>
        <v>0</v>
      </c>
      <c r="BI28" s="644">
        <f t="shared" si="25"/>
        <v>0</v>
      </c>
      <c r="BJ28" s="644">
        <f t="shared" si="26"/>
        <v>0</v>
      </c>
      <c r="BK28" s="644">
        <f t="shared" si="27"/>
        <v>0</v>
      </c>
      <c r="BL28" s="644">
        <f t="shared" si="28"/>
        <v>0</v>
      </c>
      <c r="BM28" s="644">
        <f t="shared" si="50"/>
        <v>0</v>
      </c>
      <c r="BN28" s="644">
        <f t="shared" si="29"/>
        <v>0</v>
      </c>
      <c r="BO28" s="644">
        <f t="shared" si="30"/>
        <v>0</v>
      </c>
      <c r="BP28" s="644">
        <f t="shared" si="31"/>
        <v>0</v>
      </c>
      <c r="BQ28" s="644">
        <f t="shared" si="32"/>
        <v>0</v>
      </c>
      <c r="BR28" s="644">
        <f t="shared" si="33"/>
        <v>0</v>
      </c>
      <c r="BS28" s="644">
        <f t="shared" si="34"/>
        <v>0</v>
      </c>
      <c r="BT28" s="644">
        <f>'Quality ROM'!S63</f>
        <v>0</v>
      </c>
      <c r="BU28" s="644">
        <f>IF(BT28=0,0,'Quality ROM'!CP28)</f>
        <v>0</v>
      </c>
      <c r="BV28" s="644">
        <f>IF(BU28=0,0,'Quality ROM'!CQ28)</f>
        <v>0</v>
      </c>
      <c r="BW28" s="644">
        <f>IF(BV28=0,0,'Quality ROM'!CR28)</f>
        <v>0</v>
      </c>
      <c r="BX28" s="644">
        <f>IF(BW28=0,0,'Quality ROM'!CS28)</f>
        <v>0</v>
      </c>
      <c r="BY28" s="644">
        <f>IF(BX28=0,0,'Quality ROM'!CT28)</f>
        <v>0</v>
      </c>
      <c r="BZ28" s="644">
        <f>IF(BY28=0,0,'Quality ROM'!CU28)</f>
        <v>0</v>
      </c>
      <c r="CA28" s="1132">
        <f>Actual!AE$111</f>
        <v>0</v>
      </c>
      <c r="CB28" s="1144">
        <f>IF(CA28=0,0,'Quality ROM'!AL28)</f>
        <v>0</v>
      </c>
      <c r="CC28" s="1144">
        <f>IF(CB28=0,0,'Quality ROM'!AM28)</f>
        <v>0</v>
      </c>
      <c r="CD28" s="1144">
        <f>IF(CC28=0,0,'Quality ROM'!AN28)</f>
        <v>0</v>
      </c>
      <c r="CE28" s="1144">
        <f>IF(CD28=0,0,'Quality ROM'!AO28)</f>
        <v>0</v>
      </c>
      <c r="CF28" s="1144">
        <f>IF(CE28=0,0,'Quality ROM'!AP28)</f>
        <v>0</v>
      </c>
      <c r="CG28" s="1144">
        <f>IF(CF28=0,0,'Quality ROM'!AQ28)</f>
        <v>0</v>
      </c>
      <c r="CH28" s="644">
        <f>'Quality ROM'!T63</f>
        <v>0</v>
      </c>
      <c r="CI28" s="644">
        <f>IF(CH28=0,0,'Quality ROM'!DJ28)</f>
        <v>0</v>
      </c>
      <c r="CJ28" s="644">
        <f>IF(CI28=0,0,'Quality ROM'!DK28)</f>
        <v>0</v>
      </c>
      <c r="CK28" s="644">
        <f>IF(CJ28=0,0,'Quality ROM'!DL28)</f>
        <v>0</v>
      </c>
      <c r="CL28" s="644">
        <f>IF(CK28=0,0,'Quality ROM'!DM28)</f>
        <v>0</v>
      </c>
      <c r="CM28" s="644">
        <f>IF(CL28=0,0,'Quality ROM'!DN28)</f>
        <v>0</v>
      </c>
      <c r="CN28" s="644">
        <f>IF(CM28=0,0,'Quality ROM'!DO28)</f>
        <v>0</v>
      </c>
      <c r="CO28" s="644">
        <f>'Quality ROM'!N63</f>
        <v>0</v>
      </c>
      <c r="CP28" s="644">
        <f>IF(CO28=0,0,'Quality ROM'!CQ28)</f>
        <v>0</v>
      </c>
      <c r="CQ28" s="644">
        <f>IF(CP28=0,0,'Quality ROM'!DL28)</f>
        <v>0</v>
      </c>
      <c r="CR28" s="644">
        <f>IF(CQ28=0,0,'Quality ROM'!DM28)</f>
        <v>0</v>
      </c>
      <c r="CS28" s="644">
        <f>IF(CR28=0,0,'Quality ROM'!DN28)</f>
        <v>0</v>
      </c>
      <c r="CT28" s="644">
        <f>IF(CS28=0,0,'Quality ROM'!DO28)</f>
        <v>0</v>
      </c>
      <c r="CU28" s="644">
        <f>IF(CT28=0,0,'Quality ROM'!DP28)</f>
        <v>0</v>
      </c>
    </row>
    <row r="29" spans="1:99" ht="15">
      <c r="A29" s="1046" t="str">
        <f>'Equipment '!A32</f>
        <v>27-Sep-26</v>
      </c>
      <c r="B29" s="644">
        <f t="shared" si="3"/>
        <v>4653.6216640000002</v>
      </c>
      <c r="C29" s="644">
        <f t="shared" si="4"/>
        <v>39.897629611647439</v>
      </c>
      <c r="D29" s="644">
        <f t="shared" si="5"/>
        <v>21.790821961800834</v>
      </c>
      <c r="E29" s="644">
        <f t="shared" si="6"/>
        <v>4.7548413836596568</v>
      </c>
      <c r="F29" s="644">
        <f t="shared" si="7"/>
        <v>0.14469177749836432</v>
      </c>
      <c r="G29" s="644">
        <f t="shared" si="8"/>
        <v>4982.1526427032813</v>
      </c>
      <c r="H29" s="644">
        <f t="shared" si="9"/>
        <v>3828.830062842359</v>
      </c>
      <c r="I29" s="644">
        <f t="shared" si="35"/>
        <v>4653.6216640000002</v>
      </c>
      <c r="J29" s="644">
        <f t="shared" si="36"/>
        <v>39.897629611647439</v>
      </c>
      <c r="K29" s="644">
        <f t="shared" si="37"/>
        <v>21.790821961800834</v>
      </c>
      <c r="L29" s="644">
        <f t="shared" si="38"/>
        <v>4.7548413836596568</v>
      </c>
      <c r="M29" s="644">
        <f t="shared" si="39"/>
        <v>0.14469177749836432</v>
      </c>
      <c r="N29" s="644">
        <f t="shared" si="40"/>
        <v>4982.1526427032813</v>
      </c>
      <c r="O29" s="644">
        <f t="shared" si="41"/>
        <v>3828.830062842359</v>
      </c>
      <c r="P29" s="644">
        <f>'Quality ROM'!M64</f>
        <v>0</v>
      </c>
      <c r="Q29" s="644">
        <f>IF($P29=0,0,'Quality ROM'!J29)</f>
        <v>0</v>
      </c>
      <c r="R29" s="644">
        <f>IF($P29=0,0,'Quality ROM'!K29)</f>
        <v>0</v>
      </c>
      <c r="S29" s="644">
        <f>IF($P29=0,0,'Quality ROM'!L29)</f>
        <v>0</v>
      </c>
      <c r="T29" s="644">
        <f>IF($P29=0,0,'Quality ROM'!M29)</f>
        <v>0</v>
      </c>
      <c r="U29" s="644">
        <f>IF($P29=0,0,'Quality ROM'!N29)</f>
        <v>0</v>
      </c>
      <c r="V29" s="644">
        <f>IF($P29=0,0,'Quality ROM'!O29)</f>
        <v>0</v>
      </c>
      <c r="W29" s="1132">
        <f>Actual!AF$112</f>
        <v>0</v>
      </c>
      <c r="X29" s="1144">
        <f>IF($W29=0,0,'Quality ROM'!Q29)</f>
        <v>0</v>
      </c>
      <c r="Y29" s="1144">
        <f>IF($W29=0,0,'Quality ROM'!R29)</f>
        <v>0</v>
      </c>
      <c r="Z29" s="1144">
        <f>IF($W29=0,0,'Quality ROM'!S29)</f>
        <v>0</v>
      </c>
      <c r="AA29" s="1144">
        <f>IF($W29=0,0,'Quality ROM'!T29)</f>
        <v>0</v>
      </c>
      <c r="AB29" s="1144">
        <f>IF($W29=0,0,'Quality ROM'!U29)</f>
        <v>0</v>
      </c>
      <c r="AC29" s="1144">
        <f>IF($W29=0,0,'Quality ROM'!V29)</f>
        <v>0</v>
      </c>
      <c r="AD29" s="644">
        <f t="shared" si="11"/>
        <v>48838.493441999999</v>
      </c>
      <c r="AE29" s="644">
        <f t="shared" si="12"/>
        <v>39.897904220516921</v>
      </c>
      <c r="AF29" s="644">
        <f t="shared" si="13"/>
        <v>22.279372681202894</v>
      </c>
      <c r="AG29" s="644">
        <f t="shared" si="14"/>
        <v>6.8193908890769395</v>
      </c>
      <c r="AH29" s="644">
        <f t="shared" si="15"/>
        <v>0.1792773148906143</v>
      </c>
      <c r="AI29" s="644">
        <f t="shared" si="16"/>
        <v>4777.7131932103202</v>
      </c>
      <c r="AJ29" s="644">
        <f t="shared" si="17"/>
        <v>3745.5710401698334</v>
      </c>
      <c r="AK29" s="644">
        <f t="shared" si="42"/>
        <v>48838.493441999999</v>
      </c>
      <c r="AL29" s="644">
        <f t="shared" si="43"/>
        <v>39.897904220516921</v>
      </c>
      <c r="AM29" s="644">
        <f t="shared" si="44"/>
        <v>22.279372681202894</v>
      </c>
      <c r="AN29" s="644">
        <f t="shared" si="45"/>
        <v>6.8193908890769395</v>
      </c>
      <c r="AO29" s="644">
        <f t="shared" si="46"/>
        <v>0.1792773148906143</v>
      </c>
      <c r="AP29" s="644">
        <f t="shared" si="47"/>
        <v>4777.7131932103202</v>
      </c>
      <c r="AQ29" s="644">
        <f t="shared" si="48"/>
        <v>3745.5710401698334</v>
      </c>
      <c r="AR29" s="644">
        <f>'Quality ROM'!O64+'Quality ROM'!P64</f>
        <v>0</v>
      </c>
      <c r="AS29" s="644">
        <f>IF($AR29=0,0,'Quality ROM'!AZ29)</f>
        <v>0</v>
      </c>
      <c r="AT29" s="644">
        <f>IF($AR29=0,0,'Quality ROM'!BA29)</f>
        <v>0</v>
      </c>
      <c r="AU29" s="644">
        <f>IF($AR29=0,0,'Quality ROM'!BB29)</f>
        <v>0</v>
      </c>
      <c r="AV29" s="644">
        <f>IF($AR29=0,0,'Quality ROM'!BC29)</f>
        <v>0</v>
      </c>
      <c r="AW29" s="644">
        <f>IF($AR29=0,0,'Quality ROM'!BD29)</f>
        <v>0</v>
      </c>
      <c r="AX29" s="644">
        <f>IF($AR29=0,0,'Quality ROM'!BE29)</f>
        <v>0</v>
      </c>
      <c r="AY29" s="1132">
        <f>Actual!AF$113</f>
        <v>0</v>
      </c>
      <c r="AZ29" s="1144">
        <f>IF($AY29=0,0,'Quality ROM'!BG29)</f>
        <v>0</v>
      </c>
      <c r="BA29" s="1144">
        <f>IF($AY29=0,0,'Quality ROM'!BH29)</f>
        <v>0</v>
      </c>
      <c r="BB29" s="1144">
        <f>IF($AY29=0,0,'Quality ROM'!BI29)</f>
        <v>0</v>
      </c>
      <c r="BC29" s="1144">
        <f>IF($AY29=0,0,'Quality ROM'!BJ29)</f>
        <v>0</v>
      </c>
      <c r="BD29" s="1144">
        <f>IF($AY29=0,0,'Quality ROM'!BK29)</f>
        <v>0</v>
      </c>
      <c r="BE29" s="1144">
        <f>IF($AY29=0,0,'Quality ROM'!BL29)</f>
        <v>0</v>
      </c>
      <c r="BF29" s="644">
        <f t="shared" si="51"/>
        <v>0</v>
      </c>
      <c r="BG29" s="644">
        <f t="shared" si="49"/>
        <v>0</v>
      </c>
      <c r="BH29" s="644">
        <f t="shared" si="24"/>
        <v>0</v>
      </c>
      <c r="BI29" s="644">
        <f t="shared" si="25"/>
        <v>0</v>
      </c>
      <c r="BJ29" s="644">
        <f t="shared" si="26"/>
        <v>0</v>
      </c>
      <c r="BK29" s="644">
        <f t="shared" si="27"/>
        <v>0</v>
      </c>
      <c r="BL29" s="644">
        <f t="shared" si="28"/>
        <v>0</v>
      </c>
      <c r="BM29" s="644">
        <f t="shared" si="50"/>
        <v>0</v>
      </c>
      <c r="BN29" s="644">
        <f t="shared" si="29"/>
        <v>0</v>
      </c>
      <c r="BO29" s="644">
        <f t="shared" si="30"/>
        <v>0</v>
      </c>
      <c r="BP29" s="644">
        <f t="shared" si="31"/>
        <v>0</v>
      </c>
      <c r="BQ29" s="644">
        <f t="shared" si="32"/>
        <v>0</v>
      </c>
      <c r="BR29" s="644">
        <f t="shared" si="33"/>
        <v>0</v>
      </c>
      <c r="BS29" s="644">
        <f t="shared" si="34"/>
        <v>0</v>
      </c>
      <c r="BT29" s="644">
        <f>'Quality ROM'!S64</f>
        <v>0</v>
      </c>
      <c r="BU29" s="644">
        <f>IF(BT29=0,0,'Quality ROM'!CP29)</f>
        <v>0</v>
      </c>
      <c r="BV29" s="644">
        <f>IF(BU29=0,0,'Quality ROM'!CQ29)</f>
        <v>0</v>
      </c>
      <c r="BW29" s="644">
        <f>IF(BV29=0,0,'Quality ROM'!CR29)</f>
        <v>0</v>
      </c>
      <c r="BX29" s="644">
        <f>IF(BW29=0,0,'Quality ROM'!CS29)</f>
        <v>0</v>
      </c>
      <c r="BY29" s="644">
        <f>IF(BX29=0,0,'Quality ROM'!CT29)</f>
        <v>0</v>
      </c>
      <c r="BZ29" s="644">
        <f>IF(BY29=0,0,'Quality ROM'!CU29)</f>
        <v>0</v>
      </c>
      <c r="CA29" s="1132">
        <f>Actual!AF$111</f>
        <v>0</v>
      </c>
      <c r="CB29" s="1144">
        <f>IF(CA29=0,0,'Quality ROM'!AL29)</f>
        <v>0</v>
      </c>
      <c r="CC29" s="1144">
        <f>IF(CB29=0,0,'Quality ROM'!AM29)</f>
        <v>0</v>
      </c>
      <c r="CD29" s="1144">
        <f>IF(CC29=0,0,'Quality ROM'!AN29)</f>
        <v>0</v>
      </c>
      <c r="CE29" s="1144">
        <f>IF(CD29=0,0,'Quality ROM'!AO29)</f>
        <v>0</v>
      </c>
      <c r="CF29" s="1144">
        <f>IF(CE29=0,0,'Quality ROM'!AP29)</f>
        <v>0</v>
      </c>
      <c r="CG29" s="1144">
        <f>IF(CF29=0,0,'Quality ROM'!AQ29)</f>
        <v>0</v>
      </c>
      <c r="CH29" s="644">
        <f>'Quality ROM'!T64</f>
        <v>0</v>
      </c>
      <c r="CI29" s="644">
        <f>IF(CH29=0,0,'Quality ROM'!DJ29)</f>
        <v>0</v>
      </c>
      <c r="CJ29" s="644">
        <f>IF(CI29=0,0,'Quality ROM'!DK29)</f>
        <v>0</v>
      </c>
      <c r="CK29" s="644">
        <f>IF(CJ29=0,0,'Quality ROM'!DL29)</f>
        <v>0</v>
      </c>
      <c r="CL29" s="644">
        <f>IF(CK29=0,0,'Quality ROM'!DM29)</f>
        <v>0</v>
      </c>
      <c r="CM29" s="644">
        <f>IF(CL29=0,0,'Quality ROM'!DN29)</f>
        <v>0</v>
      </c>
      <c r="CN29" s="644">
        <f>IF(CM29=0,0,'Quality ROM'!DO29)</f>
        <v>0</v>
      </c>
      <c r="CO29" s="644">
        <f>'Quality ROM'!N64</f>
        <v>0</v>
      </c>
      <c r="CP29" s="644">
        <f>IF(CO29=0,0,'Quality ROM'!CQ29)</f>
        <v>0</v>
      </c>
      <c r="CQ29" s="644">
        <f>IF(CP29=0,0,'Quality ROM'!DL29)</f>
        <v>0</v>
      </c>
      <c r="CR29" s="644">
        <f>IF(CQ29=0,0,'Quality ROM'!DM29)</f>
        <v>0</v>
      </c>
      <c r="CS29" s="644">
        <f>IF(CR29=0,0,'Quality ROM'!DN29)</f>
        <v>0</v>
      </c>
      <c r="CT29" s="644">
        <f>IF(CS29=0,0,'Quality ROM'!DO29)</f>
        <v>0</v>
      </c>
      <c r="CU29" s="644">
        <f>IF(CT29=0,0,'Quality ROM'!DP29)</f>
        <v>0</v>
      </c>
    </row>
    <row r="30" spans="1:99" ht="15">
      <c r="A30" s="1046" t="str">
        <f>'Equipment '!A33</f>
        <v>28-Sep-26</v>
      </c>
      <c r="B30" s="644">
        <f t="shared" si="3"/>
        <v>4653.6216640000002</v>
      </c>
      <c r="C30" s="644">
        <f t="shared" si="4"/>
        <v>39.897629611647439</v>
      </c>
      <c r="D30" s="644">
        <f t="shared" si="5"/>
        <v>21.790821961800834</v>
      </c>
      <c r="E30" s="644">
        <f t="shared" si="6"/>
        <v>4.7548413836596568</v>
      </c>
      <c r="F30" s="644">
        <f t="shared" si="7"/>
        <v>0.14469177749836432</v>
      </c>
      <c r="G30" s="644">
        <f t="shared" si="8"/>
        <v>4982.1526427032813</v>
      </c>
      <c r="H30" s="644">
        <f t="shared" si="9"/>
        <v>3828.830062842359</v>
      </c>
      <c r="I30" s="644">
        <f t="shared" si="35"/>
        <v>4653.6216640000002</v>
      </c>
      <c r="J30" s="644">
        <f t="shared" si="36"/>
        <v>39.897629611647439</v>
      </c>
      <c r="K30" s="644">
        <f t="shared" si="37"/>
        <v>21.790821961800834</v>
      </c>
      <c r="L30" s="644">
        <f t="shared" si="38"/>
        <v>4.7548413836596568</v>
      </c>
      <c r="M30" s="644">
        <f t="shared" si="39"/>
        <v>0.14469177749836432</v>
      </c>
      <c r="N30" s="644">
        <f t="shared" si="40"/>
        <v>4982.1526427032813</v>
      </c>
      <c r="O30" s="644">
        <f t="shared" si="41"/>
        <v>3828.830062842359</v>
      </c>
      <c r="P30" s="644">
        <f>'Quality ROM'!M65</f>
        <v>0</v>
      </c>
      <c r="Q30" s="644">
        <f>IF($P30=0,0,'Quality ROM'!J30)</f>
        <v>0</v>
      </c>
      <c r="R30" s="644">
        <f>IF($P30=0,0,'Quality ROM'!K30)</f>
        <v>0</v>
      </c>
      <c r="S30" s="644">
        <f>IF($P30=0,0,'Quality ROM'!L30)</f>
        <v>0</v>
      </c>
      <c r="T30" s="644">
        <f>IF($P30=0,0,'Quality ROM'!M30)</f>
        <v>0</v>
      </c>
      <c r="U30" s="644">
        <f>IF($P30=0,0,'Quality ROM'!N30)</f>
        <v>0</v>
      </c>
      <c r="V30" s="644">
        <f>IF($P30=0,0,'Quality ROM'!O30)</f>
        <v>0</v>
      </c>
      <c r="W30" s="1132">
        <f>Actual!AG$112</f>
        <v>0</v>
      </c>
      <c r="X30" s="1144">
        <f>IF($W30=0,0,'Quality ROM'!Q30)</f>
        <v>0</v>
      </c>
      <c r="Y30" s="1144">
        <f>IF($W30=0,0,'Quality ROM'!R30)</f>
        <v>0</v>
      </c>
      <c r="Z30" s="1144">
        <f>IF($W30=0,0,'Quality ROM'!S30)</f>
        <v>0</v>
      </c>
      <c r="AA30" s="1144">
        <f>IF($W30=0,0,'Quality ROM'!T30)</f>
        <v>0</v>
      </c>
      <c r="AB30" s="1144">
        <f>IF($W30=0,0,'Quality ROM'!U30)</f>
        <v>0</v>
      </c>
      <c r="AC30" s="1144">
        <f>IF($W30=0,0,'Quality ROM'!V30)</f>
        <v>0</v>
      </c>
      <c r="AD30" s="644">
        <f t="shared" si="11"/>
        <v>48838.493441999999</v>
      </c>
      <c r="AE30" s="644">
        <f t="shared" si="12"/>
        <v>39.897904220516921</v>
      </c>
      <c r="AF30" s="644">
        <f t="shared" si="13"/>
        <v>22.279372681202894</v>
      </c>
      <c r="AG30" s="644">
        <f t="shared" si="14"/>
        <v>6.8193908890769395</v>
      </c>
      <c r="AH30" s="644">
        <f t="shared" si="15"/>
        <v>0.1792773148906143</v>
      </c>
      <c r="AI30" s="644">
        <f t="shared" si="16"/>
        <v>4777.7131932103202</v>
      </c>
      <c r="AJ30" s="644">
        <f t="shared" si="17"/>
        <v>3745.5710401698334</v>
      </c>
      <c r="AK30" s="644">
        <f t="shared" si="42"/>
        <v>48838.493441999999</v>
      </c>
      <c r="AL30" s="644">
        <f t="shared" si="43"/>
        <v>39.897904220516921</v>
      </c>
      <c r="AM30" s="644">
        <f t="shared" si="44"/>
        <v>22.279372681202894</v>
      </c>
      <c r="AN30" s="644">
        <f t="shared" si="45"/>
        <v>6.8193908890769395</v>
      </c>
      <c r="AO30" s="644">
        <f t="shared" si="46"/>
        <v>0.1792773148906143</v>
      </c>
      <c r="AP30" s="644">
        <f t="shared" si="47"/>
        <v>4777.7131932103202</v>
      </c>
      <c r="AQ30" s="644">
        <f t="shared" si="48"/>
        <v>3745.5710401698334</v>
      </c>
      <c r="AR30" s="644">
        <f>'Quality ROM'!O65+'Quality ROM'!P65</f>
        <v>0</v>
      </c>
      <c r="AS30" s="644">
        <f>IF($AR30=0,0,'Quality ROM'!AZ30)</f>
        <v>0</v>
      </c>
      <c r="AT30" s="644">
        <f>IF($AR30=0,0,'Quality ROM'!BA30)</f>
        <v>0</v>
      </c>
      <c r="AU30" s="644">
        <f>IF($AR30=0,0,'Quality ROM'!BB30)</f>
        <v>0</v>
      </c>
      <c r="AV30" s="644">
        <f>IF($AR30=0,0,'Quality ROM'!BC30)</f>
        <v>0</v>
      </c>
      <c r="AW30" s="644">
        <f>IF($AR30=0,0,'Quality ROM'!BD30)</f>
        <v>0</v>
      </c>
      <c r="AX30" s="644">
        <f>IF($AR30=0,0,'Quality ROM'!BE30)</f>
        <v>0</v>
      </c>
      <c r="AY30" s="1132">
        <f>Actual!AG$113</f>
        <v>0</v>
      </c>
      <c r="AZ30" s="1144">
        <f>IF($AY30=0,0,'Quality ROM'!BG30)</f>
        <v>0</v>
      </c>
      <c r="BA30" s="1144">
        <f>IF($AY30=0,0,'Quality ROM'!BH30)</f>
        <v>0</v>
      </c>
      <c r="BB30" s="1144">
        <f>IF($AY30=0,0,'Quality ROM'!BI30)</f>
        <v>0</v>
      </c>
      <c r="BC30" s="1144">
        <f>IF($AY30=0,0,'Quality ROM'!BJ30)</f>
        <v>0</v>
      </c>
      <c r="BD30" s="1144">
        <f>IF($AY30=0,0,'Quality ROM'!BK30)</f>
        <v>0</v>
      </c>
      <c r="BE30" s="1144">
        <f>IF($AY30=0,0,'Quality ROM'!BL30)</f>
        <v>0</v>
      </c>
      <c r="BF30" s="644">
        <f t="shared" si="51"/>
        <v>0</v>
      </c>
      <c r="BG30" s="644">
        <f t="shared" si="49"/>
        <v>0</v>
      </c>
      <c r="BH30" s="644">
        <f t="shared" si="24"/>
        <v>0</v>
      </c>
      <c r="BI30" s="644">
        <f t="shared" si="25"/>
        <v>0</v>
      </c>
      <c r="BJ30" s="644">
        <f t="shared" si="26"/>
        <v>0</v>
      </c>
      <c r="BK30" s="644">
        <f t="shared" si="27"/>
        <v>0</v>
      </c>
      <c r="BL30" s="644">
        <f t="shared" si="28"/>
        <v>0</v>
      </c>
      <c r="BM30" s="644">
        <f t="shared" si="50"/>
        <v>0</v>
      </c>
      <c r="BN30" s="644">
        <f t="shared" si="29"/>
        <v>0</v>
      </c>
      <c r="BO30" s="644">
        <f t="shared" si="30"/>
        <v>0</v>
      </c>
      <c r="BP30" s="644">
        <f t="shared" si="31"/>
        <v>0</v>
      </c>
      <c r="BQ30" s="644">
        <f t="shared" si="32"/>
        <v>0</v>
      </c>
      <c r="BR30" s="644">
        <f t="shared" si="33"/>
        <v>0</v>
      </c>
      <c r="BS30" s="644">
        <f t="shared" si="34"/>
        <v>0</v>
      </c>
      <c r="BT30" s="644">
        <f>'Quality ROM'!S65</f>
        <v>0</v>
      </c>
      <c r="BU30" s="644">
        <f>IF(BT30=0,0,'Quality ROM'!CP30)</f>
        <v>0</v>
      </c>
      <c r="BV30" s="644">
        <f>IF(BU30=0,0,'Quality ROM'!CQ30)</f>
        <v>0</v>
      </c>
      <c r="BW30" s="644">
        <f>IF(BV30=0,0,'Quality ROM'!CR30)</f>
        <v>0</v>
      </c>
      <c r="BX30" s="644">
        <f>IF(BW30=0,0,'Quality ROM'!CS30)</f>
        <v>0</v>
      </c>
      <c r="BY30" s="644">
        <f>IF(BX30=0,0,'Quality ROM'!CT30)</f>
        <v>0</v>
      </c>
      <c r="BZ30" s="644">
        <f>IF(BY30=0,0,'Quality ROM'!CU30)</f>
        <v>0</v>
      </c>
      <c r="CA30" s="1132">
        <f>Actual!AG$111</f>
        <v>0</v>
      </c>
      <c r="CB30" s="1144">
        <f>IF(CA30=0,0,'Quality ROM'!AL30)</f>
        <v>0</v>
      </c>
      <c r="CC30" s="1144">
        <f>IF(CB30=0,0,'Quality ROM'!AM30)</f>
        <v>0</v>
      </c>
      <c r="CD30" s="1144">
        <f>IF(CC30=0,0,'Quality ROM'!AN30)</f>
        <v>0</v>
      </c>
      <c r="CE30" s="1144">
        <f>IF(CD30=0,0,'Quality ROM'!AO30)</f>
        <v>0</v>
      </c>
      <c r="CF30" s="1144">
        <f>IF(CE30=0,0,'Quality ROM'!AP30)</f>
        <v>0</v>
      </c>
      <c r="CG30" s="1144">
        <f>IF(CF30=0,0,'Quality ROM'!AQ30)</f>
        <v>0</v>
      </c>
      <c r="CH30" s="644">
        <f>'Quality ROM'!T65</f>
        <v>0</v>
      </c>
      <c r="CI30" s="644">
        <f>IF(CH30=0,0,'Quality ROM'!DJ30)</f>
        <v>0</v>
      </c>
      <c r="CJ30" s="644">
        <f>IF(CI30=0,0,'Quality ROM'!DK30)</f>
        <v>0</v>
      </c>
      <c r="CK30" s="644">
        <f>IF(CJ30=0,0,'Quality ROM'!DL30)</f>
        <v>0</v>
      </c>
      <c r="CL30" s="644">
        <f>IF(CK30=0,0,'Quality ROM'!DM30)</f>
        <v>0</v>
      </c>
      <c r="CM30" s="644">
        <f>IF(CL30=0,0,'Quality ROM'!DN30)</f>
        <v>0</v>
      </c>
      <c r="CN30" s="644">
        <f>IF(CM30=0,0,'Quality ROM'!DO30)</f>
        <v>0</v>
      </c>
      <c r="CO30" s="644">
        <f>'Quality ROM'!N65</f>
        <v>0</v>
      </c>
      <c r="CP30" s="644">
        <f>IF(CO30=0,0,'Quality ROM'!CQ30)</f>
        <v>0</v>
      </c>
      <c r="CQ30" s="644">
        <f>IF(CP30=0,0,'Quality ROM'!DL30)</f>
        <v>0</v>
      </c>
      <c r="CR30" s="644">
        <f>IF(CQ30=0,0,'Quality ROM'!DM30)</f>
        <v>0</v>
      </c>
      <c r="CS30" s="644">
        <f>IF(CR30=0,0,'Quality ROM'!DN30)</f>
        <v>0</v>
      </c>
      <c r="CT30" s="644">
        <f>IF(CS30=0,0,'Quality ROM'!DO30)</f>
        <v>0</v>
      </c>
      <c r="CU30" s="644">
        <f>IF(CT30=0,0,'Quality ROM'!DP30)</f>
        <v>0</v>
      </c>
    </row>
    <row r="31" spans="1:99" ht="15">
      <c r="A31" s="1046" t="str">
        <f>'Equipment '!A34</f>
        <v>29-Sep-26</v>
      </c>
      <c r="B31" s="644">
        <f t="shared" si="3"/>
        <v>4653.6216640000002</v>
      </c>
      <c r="C31" s="644">
        <f t="shared" si="4"/>
        <v>39.897629611647439</v>
      </c>
      <c r="D31" s="644">
        <f t="shared" si="5"/>
        <v>21.790821961800834</v>
      </c>
      <c r="E31" s="644">
        <f t="shared" si="6"/>
        <v>4.7548413836596568</v>
      </c>
      <c r="F31" s="644">
        <f t="shared" si="7"/>
        <v>0.14469177749836432</v>
      </c>
      <c r="G31" s="644">
        <f t="shared" si="8"/>
        <v>4982.1526427032813</v>
      </c>
      <c r="H31" s="644">
        <f t="shared" si="9"/>
        <v>3828.830062842359</v>
      </c>
      <c r="I31" s="644">
        <f t="shared" si="35"/>
        <v>4653.6216640000002</v>
      </c>
      <c r="J31" s="644">
        <f t="shared" si="36"/>
        <v>39.897629611647439</v>
      </c>
      <c r="K31" s="644">
        <f t="shared" si="37"/>
        <v>21.790821961800834</v>
      </c>
      <c r="L31" s="644">
        <f t="shared" si="38"/>
        <v>4.7548413836596568</v>
      </c>
      <c r="M31" s="644">
        <f t="shared" si="39"/>
        <v>0.14469177749836432</v>
      </c>
      <c r="N31" s="644">
        <f t="shared" si="40"/>
        <v>4982.1526427032813</v>
      </c>
      <c r="O31" s="644">
        <f t="shared" si="41"/>
        <v>3828.830062842359</v>
      </c>
      <c r="P31" s="644">
        <f>'Quality ROM'!M66</f>
        <v>0</v>
      </c>
      <c r="Q31" s="644">
        <f>IF($P31=0,0,'Quality ROM'!J31)</f>
        <v>0</v>
      </c>
      <c r="R31" s="644">
        <f>IF($P31=0,0,'Quality ROM'!K31)</f>
        <v>0</v>
      </c>
      <c r="S31" s="644">
        <f>IF($P31=0,0,'Quality ROM'!L31)</f>
        <v>0</v>
      </c>
      <c r="T31" s="644">
        <f>IF($P31=0,0,'Quality ROM'!M31)</f>
        <v>0</v>
      </c>
      <c r="U31" s="644">
        <f>IF($P31=0,0,'Quality ROM'!N31)</f>
        <v>0</v>
      </c>
      <c r="V31" s="644">
        <f>IF($P31=0,0,'Quality ROM'!O31)</f>
        <v>0</v>
      </c>
      <c r="W31" s="1132">
        <f>Actual!AH$112</f>
        <v>0</v>
      </c>
      <c r="X31" s="1144">
        <f>IF($W31=0,0,'Quality ROM'!Q31)</f>
        <v>0</v>
      </c>
      <c r="Y31" s="1144">
        <f>IF($W31=0,0,'Quality ROM'!R31)</f>
        <v>0</v>
      </c>
      <c r="Z31" s="1144">
        <f>IF($W31=0,0,'Quality ROM'!S31)</f>
        <v>0</v>
      </c>
      <c r="AA31" s="1144">
        <f>IF($W31=0,0,'Quality ROM'!T31)</f>
        <v>0</v>
      </c>
      <c r="AB31" s="1144">
        <f>IF($W31=0,0,'Quality ROM'!U31)</f>
        <v>0</v>
      </c>
      <c r="AC31" s="1144">
        <f>IF($W31=0,0,'Quality ROM'!V31)</f>
        <v>0</v>
      </c>
      <c r="AD31" s="644">
        <f t="shared" si="11"/>
        <v>48838.493441999999</v>
      </c>
      <c r="AE31" s="644">
        <f t="shared" si="12"/>
        <v>39.897904220516921</v>
      </c>
      <c r="AF31" s="644">
        <f t="shared" si="13"/>
        <v>22.279372681202894</v>
      </c>
      <c r="AG31" s="644">
        <f t="shared" si="14"/>
        <v>6.8193908890769395</v>
      </c>
      <c r="AH31" s="644">
        <f t="shared" si="15"/>
        <v>0.1792773148906143</v>
      </c>
      <c r="AI31" s="644">
        <f t="shared" si="16"/>
        <v>4777.7131932103202</v>
      </c>
      <c r="AJ31" s="644">
        <f t="shared" si="17"/>
        <v>3745.5710401698334</v>
      </c>
      <c r="AK31" s="644">
        <f t="shared" si="42"/>
        <v>48838.493441999999</v>
      </c>
      <c r="AL31" s="644">
        <f t="shared" si="43"/>
        <v>39.897904220516921</v>
      </c>
      <c r="AM31" s="644">
        <f t="shared" si="44"/>
        <v>22.279372681202894</v>
      </c>
      <c r="AN31" s="644">
        <f t="shared" si="45"/>
        <v>6.8193908890769395</v>
      </c>
      <c r="AO31" s="644">
        <f t="shared" si="46"/>
        <v>0.1792773148906143</v>
      </c>
      <c r="AP31" s="644">
        <f t="shared" si="47"/>
        <v>4777.7131932103202</v>
      </c>
      <c r="AQ31" s="644">
        <f t="shared" si="48"/>
        <v>3745.5710401698334</v>
      </c>
      <c r="AR31" s="644">
        <f>'Quality ROM'!O66+'Quality ROM'!P66</f>
        <v>0</v>
      </c>
      <c r="AS31" s="644">
        <f>IF($AR31=0,0,'Quality ROM'!AZ31)</f>
        <v>0</v>
      </c>
      <c r="AT31" s="644">
        <f>IF($AR31=0,0,'Quality ROM'!BA31)</f>
        <v>0</v>
      </c>
      <c r="AU31" s="644">
        <f>IF($AR31=0,0,'Quality ROM'!BB31)</f>
        <v>0</v>
      </c>
      <c r="AV31" s="644">
        <f>IF($AR31=0,0,'Quality ROM'!BC31)</f>
        <v>0</v>
      </c>
      <c r="AW31" s="644">
        <f>IF($AR31=0,0,'Quality ROM'!BD31)</f>
        <v>0</v>
      </c>
      <c r="AX31" s="644">
        <f>IF($AR31=0,0,'Quality ROM'!BE31)</f>
        <v>0</v>
      </c>
      <c r="AY31" s="1132">
        <f>Actual!AH$113</f>
        <v>0</v>
      </c>
      <c r="AZ31" s="1144">
        <f>IF($AY31=0,0,'Quality ROM'!BG31)</f>
        <v>0</v>
      </c>
      <c r="BA31" s="1144">
        <f>IF($AY31=0,0,'Quality ROM'!BH31)</f>
        <v>0</v>
      </c>
      <c r="BB31" s="1144">
        <f>IF($AY31=0,0,'Quality ROM'!BI31)</f>
        <v>0</v>
      </c>
      <c r="BC31" s="1144">
        <f>IF($AY31=0,0,'Quality ROM'!BJ31)</f>
        <v>0</v>
      </c>
      <c r="BD31" s="1144">
        <f>IF($AY31=0,0,'Quality ROM'!BK31)</f>
        <v>0</v>
      </c>
      <c r="BE31" s="1144">
        <f>IF($AY31=0,0,'Quality ROM'!BL31)</f>
        <v>0</v>
      </c>
      <c r="BF31" s="644">
        <f t="shared" si="51"/>
        <v>0</v>
      </c>
      <c r="BG31" s="644">
        <f t="shared" si="49"/>
        <v>0</v>
      </c>
      <c r="BH31" s="644">
        <f t="shared" si="24"/>
        <v>0</v>
      </c>
      <c r="BI31" s="644">
        <f t="shared" si="25"/>
        <v>0</v>
      </c>
      <c r="BJ31" s="644">
        <f t="shared" si="26"/>
        <v>0</v>
      </c>
      <c r="BK31" s="644">
        <f t="shared" si="27"/>
        <v>0</v>
      </c>
      <c r="BL31" s="644">
        <f t="shared" si="28"/>
        <v>0</v>
      </c>
      <c r="BM31" s="644">
        <f t="shared" si="50"/>
        <v>0</v>
      </c>
      <c r="BN31" s="644">
        <f t="shared" si="29"/>
        <v>0</v>
      </c>
      <c r="BO31" s="644">
        <f t="shared" si="30"/>
        <v>0</v>
      </c>
      <c r="BP31" s="644">
        <f t="shared" si="31"/>
        <v>0</v>
      </c>
      <c r="BQ31" s="644">
        <f t="shared" si="32"/>
        <v>0</v>
      </c>
      <c r="BR31" s="644">
        <f t="shared" si="33"/>
        <v>0</v>
      </c>
      <c r="BS31" s="644">
        <f t="shared" si="34"/>
        <v>0</v>
      </c>
      <c r="BT31" s="644">
        <f>'Quality ROM'!S66</f>
        <v>0</v>
      </c>
      <c r="BU31" s="644">
        <f>IF(BT31=0,0,'Quality ROM'!CP31)</f>
        <v>0</v>
      </c>
      <c r="BV31" s="644">
        <f>IF(BU31=0,0,'Quality ROM'!CQ31)</f>
        <v>0</v>
      </c>
      <c r="BW31" s="644">
        <f>IF(BV31=0,0,'Quality ROM'!CR31)</f>
        <v>0</v>
      </c>
      <c r="BX31" s="644">
        <f>IF(BW31=0,0,'Quality ROM'!CS31)</f>
        <v>0</v>
      </c>
      <c r="BY31" s="644">
        <f>IF(BX31=0,0,'Quality ROM'!CT31)</f>
        <v>0</v>
      </c>
      <c r="BZ31" s="644">
        <f>IF(BY31=0,0,'Quality ROM'!CU31)</f>
        <v>0</v>
      </c>
      <c r="CA31" s="1132">
        <f>Actual!AH$111</f>
        <v>0</v>
      </c>
      <c r="CB31" s="1144">
        <f>IF(CA31=0,0,'Quality ROM'!AL31)</f>
        <v>0</v>
      </c>
      <c r="CC31" s="1144">
        <f>IF(CB31=0,0,'Quality ROM'!AM31)</f>
        <v>0</v>
      </c>
      <c r="CD31" s="1144">
        <f>IF(CC31=0,0,'Quality ROM'!AN31)</f>
        <v>0</v>
      </c>
      <c r="CE31" s="1144">
        <f>IF(CD31=0,0,'Quality ROM'!AO31)</f>
        <v>0</v>
      </c>
      <c r="CF31" s="1144">
        <f>IF(CE31=0,0,'Quality ROM'!AP31)</f>
        <v>0</v>
      </c>
      <c r="CG31" s="1144">
        <f>IF(CF31=0,0,'Quality ROM'!AQ31)</f>
        <v>0</v>
      </c>
      <c r="CH31" s="644">
        <f>'Quality ROM'!T66</f>
        <v>0</v>
      </c>
      <c r="CI31" s="644">
        <f>IF(CH31=0,0,'Quality ROM'!DJ31)</f>
        <v>0</v>
      </c>
      <c r="CJ31" s="644">
        <f>IF(CI31=0,0,'Quality ROM'!DK31)</f>
        <v>0</v>
      </c>
      <c r="CK31" s="644">
        <f>IF(CJ31=0,0,'Quality ROM'!DL31)</f>
        <v>0</v>
      </c>
      <c r="CL31" s="644">
        <f>IF(CK31=0,0,'Quality ROM'!DM31)</f>
        <v>0</v>
      </c>
      <c r="CM31" s="644">
        <f>IF(CL31=0,0,'Quality ROM'!DN31)</f>
        <v>0</v>
      </c>
      <c r="CN31" s="644">
        <f>IF(CM31=0,0,'Quality ROM'!DO31)</f>
        <v>0</v>
      </c>
      <c r="CO31" s="644">
        <f>'Quality ROM'!N66</f>
        <v>0</v>
      </c>
      <c r="CP31" s="644">
        <f>IF(CO31=0,0,'Quality ROM'!CQ31)</f>
        <v>0</v>
      </c>
      <c r="CQ31" s="644">
        <f>IF(CP31=0,0,'Quality ROM'!DL31)</f>
        <v>0</v>
      </c>
      <c r="CR31" s="644">
        <f>IF(CQ31=0,0,'Quality ROM'!DM31)</f>
        <v>0</v>
      </c>
      <c r="CS31" s="644">
        <f>IF(CR31=0,0,'Quality ROM'!DN31)</f>
        <v>0</v>
      </c>
      <c r="CT31" s="644">
        <f>IF(CS31=0,0,'Quality ROM'!DO31)</f>
        <v>0</v>
      </c>
      <c r="CU31" s="644">
        <f>IF(CT31=0,0,'Quality ROM'!DP31)</f>
        <v>0</v>
      </c>
    </row>
    <row r="32" spans="1:99" ht="15">
      <c r="A32" s="1046" t="str">
        <f>'Equipment '!A35</f>
        <v>30-Sep-26</v>
      </c>
      <c r="B32" s="644">
        <f t="shared" si="3"/>
        <v>4653.6216640000002</v>
      </c>
      <c r="C32" s="644">
        <f t="shared" si="4"/>
        <v>39.897629611647439</v>
      </c>
      <c r="D32" s="644">
        <f t="shared" si="5"/>
        <v>21.790821961800834</v>
      </c>
      <c r="E32" s="644">
        <f t="shared" si="6"/>
        <v>4.7548413836596568</v>
      </c>
      <c r="F32" s="644">
        <f t="shared" si="7"/>
        <v>0.14469177749836432</v>
      </c>
      <c r="G32" s="644">
        <f t="shared" si="8"/>
        <v>4982.1526427032813</v>
      </c>
      <c r="H32" s="644">
        <f t="shared" si="9"/>
        <v>3828.830062842359</v>
      </c>
      <c r="I32" s="644">
        <f t="shared" si="35"/>
        <v>4653.6216640000002</v>
      </c>
      <c r="J32" s="644">
        <f t="shared" si="36"/>
        <v>39.897629611647439</v>
      </c>
      <c r="K32" s="644">
        <f t="shared" si="37"/>
        <v>21.790821961800834</v>
      </c>
      <c r="L32" s="644">
        <f t="shared" si="38"/>
        <v>4.7548413836596568</v>
      </c>
      <c r="M32" s="644">
        <f t="shared" si="39"/>
        <v>0.14469177749836432</v>
      </c>
      <c r="N32" s="644">
        <f t="shared" si="40"/>
        <v>4982.1526427032813</v>
      </c>
      <c r="O32" s="644">
        <f t="shared" si="41"/>
        <v>3828.830062842359</v>
      </c>
      <c r="P32" s="644">
        <f>'Quality ROM'!M67</f>
        <v>0</v>
      </c>
      <c r="Q32" s="644">
        <f>IF($P32=0,0,'Quality ROM'!J32)</f>
        <v>0</v>
      </c>
      <c r="R32" s="644">
        <f>IF($P32=0,0,'Quality ROM'!K32)</f>
        <v>0</v>
      </c>
      <c r="S32" s="644">
        <f>IF($P32=0,0,'Quality ROM'!L32)</f>
        <v>0</v>
      </c>
      <c r="T32" s="644">
        <f>IF($P32=0,0,'Quality ROM'!M32)</f>
        <v>0</v>
      </c>
      <c r="U32" s="644">
        <f>IF($P32=0,0,'Quality ROM'!N32)</f>
        <v>0</v>
      </c>
      <c r="V32" s="644">
        <f>IF($P32=0,0,'Quality ROM'!O32)</f>
        <v>0</v>
      </c>
      <c r="W32" s="1132">
        <f>Actual!AI$112</f>
        <v>0</v>
      </c>
      <c r="X32" s="1144">
        <f>IF($W32=0,0,'Quality ROM'!Q32)</f>
        <v>0</v>
      </c>
      <c r="Y32" s="1144">
        <f>IF($W32=0,0,'Quality ROM'!R32)</f>
        <v>0</v>
      </c>
      <c r="Z32" s="1144">
        <f>IF($W32=0,0,'Quality ROM'!S32)</f>
        <v>0</v>
      </c>
      <c r="AA32" s="1144">
        <f>IF($W32=0,0,'Quality ROM'!T32)</f>
        <v>0</v>
      </c>
      <c r="AB32" s="1144">
        <f>IF($W32=0,0,'Quality ROM'!U32)</f>
        <v>0</v>
      </c>
      <c r="AC32" s="1144">
        <f>IF($W32=0,0,'Quality ROM'!V32)</f>
        <v>0</v>
      </c>
      <c r="AD32" s="644">
        <f t="shared" si="11"/>
        <v>48838.493441999999</v>
      </c>
      <c r="AE32" s="644">
        <f t="shared" si="12"/>
        <v>39.897904220516921</v>
      </c>
      <c r="AF32" s="644">
        <f t="shared" si="13"/>
        <v>22.279372681202894</v>
      </c>
      <c r="AG32" s="644">
        <f t="shared" si="14"/>
        <v>6.8193908890769395</v>
      </c>
      <c r="AH32" s="644">
        <f t="shared" si="15"/>
        <v>0.1792773148906143</v>
      </c>
      <c r="AI32" s="644">
        <f t="shared" si="16"/>
        <v>4777.7131932103202</v>
      </c>
      <c r="AJ32" s="644">
        <f t="shared" si="17"/>
        <v>3745.5710401698334</v>
      </c>
      <c r="AK32" s="644">
        <f t="shared" si="42"/>
        <v>48838.493441999999</v>
      </c>
      <c r="AL32" s="644">
        <f t="shared" si="43"/>
        <v>39.897904220516921</v>
      </c>
      <c r="AM32" s="644">
        <f t="shared" si="44"/>
        <v>22.279372681202894</v>
      </c>
      <c r="AN32" s="644">
        <f t="shared" si="45"/>
        <v>6.8193908890769395</v>
      </c>
      <c r="AO32" s="644">
        <f t="shared" si="46"/>
        <v>0.1792773148906143</v>
      </c>
      <c r="AP32" s="644">
        <f t="shared" si="47"/>
        <v>4777.7131932103202</v>
      </c>
      <c r="AQ32" s="644">
        <f t="shared" si="48"/>
        <v>3745.5710401698334</v>
      </c>
      <c r="AR32" s="644">
        <f>'Quality ROM'!O67+'Quality ROM'!P67</f>
        <v>0</v>
      </c>
      <c r="AS32" s="644">
        <f>IF($AR32=0,0,'Quality ROM'!AZ32)</f>
        <v>0</v>
      </c>
      <c r="AT32" s="644">
        <f>IF($AR32=0,0,'Quality ROM'!BA32)</f>
        <v>0</v>
      </c>
      <c r="AU32" s="644">
        <f>IF($AR32=0,0,'Quality ROM'!BB32)</f>
        <v>0</v>
      </c>
      <c r="AV32" s="644">
        <f>IF($AR32=0,0,'Quality ROM'!BC32)</f>
        <v>0</v>
      </c>
      <c r="AW32" s="644">
        <f>IF($AR32=0,0,'Quality ROM'!BD32)</f>
        <v>0</v>
      </c>
      <c r="AX32" s="644">
        <f>IF($AR32=0,0,'Quality ROM'!BE32)</f>
        <v>0</v>
      </c>
      <c r="AY32" s="1132">
        <f>Actual!AI$113</f>
        <v>0</v>
      </c>
      <c r="AZ32" s="1144">
        <f>IF($AY32=0,0,'Quality ROM'!BG32)</f>
        <v>0</v>
      </c>
      <c r="BA32" s="1144">
        <f>IF($AY32=0,0,'Quality ROM'!BH32)</f>
        <v>0</v>
      </c>
      <c r="BB32" s="1144">
        <f>IF($AY32=0,0,'Quality ROM'!BI32)</f>
        <v>0</v>
      </c>
      <c r="BC32" s="1144">
        <f>IF($AY32=0,0,'Quality ROM'!BJ32)</f>
        <v>0</v>
      </c>
      <c r="BD32" s="1144">
        <f>IF($AY32=0,0,'Quality ROM'!BK32)</f>
        <v>0</v>
      </c>
      <c r="BE32" s="1144">
        <f>IF($AY32=0,0,'Quality ROM'!BL32)</f>
        <v>0</v>
      </c>
      <c r="BF32" s="644">
        <f t="shared" si="51"/>
        <v>0</v>
      </c>
      <c r="BG32" s="644">
        <f t="shared" si="49"/>
        <v>0</v>
      </c>
      <c r="BH32" s="644">
        <f t="shared" si="24"/>
        <v>0</v>
      </c>
      <c r="BI32" s="644">
        <f t="shared" si="25"/>
        <v>0</v>
      </c>
      <c r="BJ32" s="644">
        <f t="shared" si="26"/>
        <v>0</v>
      </c>
      <c r="BK32" s="644">
        <f t="shared" si="27"/>
        <v>0</v>
      </c>
      <c r="BL32" s="644">
        <f t="shared" si="28"/>
        <v>0</v>
      </c>
      <c r="BM32" s="644">
        <f t="shared" si="50"/>
        <v>0</v>
      </c>
      <c r="BN32" s="644">
        <f t="shared" si="29"/>
        <v>0</v>
      </c>
      <c r="BO32" s="644">
        <f t="shared" si="30"/>
        <v>0</v>
      </c>
      <c r="BP32" s="644">
        <f t="shared" si="31"/>
        <v>0</v>
      </c>
      <c r="BQ32" s="644">
        <f t="shared" si="32"/>
        <v>0</v>
      </c>
      <c r="BR32" s="644">
        <f t="shared" si="33"/>
        <v>0</v>
      </c>
      <c r="BS32" s="644">
        <f t="shared" si="34"/>
        <v>0</v>
      </c>
      <c r="BT32" s="644">
        <f>'Quality ROM'!S67</f>
        <v>0</v>
      </c>
      <c r="BU32" s="644">
        <f>IF(BT32=0,0,'Quality ROM'!CP32)</f>
        <v>0</v>
      </c>
      <c r="BV32" s="644">
        <f>IF(BU32=0,0,'Quality ROM'!CQ32)</f>
        <v>0</v>
      </c>
      <c r="BW32" s="644">
        <f>IF(BV32=0,0,'Quality ROM'!CR32)</f>
        <v>0</v>
      </c>
      <c r="BX32" s="644">
        <f>IF(BW32=0,0,'Quality ROM'!CS32)</f>
        <v>0</v>
      </c>
      <c r="BY32" s="644">
        <f>IF(BX32=0,0,'Quality ROM'!CT32)</f>
        <v>0</v>
      </c>
      <c r="BZ32" s="644">
        <f>IF(BY32=0,0,'Quality ROM'!CU32)</f>
        <v>0</v>
      </c>
      <c r="CA32" s="1132">
        <f>Actual!AI$111</f>
        <v>0</v>
      </c>
      <c r="CB32" s="1144">
        <f>IF(CA32=0,0,'Quality ROM'!AL32)</f>
        <v>0</v>
      </c>
      <c r="CC32" s="1144">
        <f>IF(CB32=0,0,'Quality ROM'!AM32)</f>
        <v>0</v>
      </c>
      <c r="CD32" s="1144">
        <f>IF(CC32=0,0,'Quality ROM'!AN32)</f>
        <v>0</v>
      </c>
      <c r="CE32" s="1144">
        <f>IF(CD32=0,0,'Quality ROM'!AO32)</f>
        <v>0</v>
      </c>
      <c r="CF32" s="1144">
        <f>IF(CE32=0,0,'Quality ROM'!AP32)</f>
        <v>0</v>
      </c>
      <c r="CG32" s="1144">
        <f>IF(CF32=0,0,'Quality ROM'!AQ32)</f>
        <v>0</v>
      </c>
      <c r="CH32" s="644">
        <f>'Quality ROM'!T67</f>
        <v>0</v>
      </c>
      <c r="CI32" s="644">
        <f>IF(CH32=0,0,'Quality ROM'!DJ32)</f>
        <v>0</v>
      </c>
      <c r="CJ32" s="644">
        <f>IF(CI32=0,0,'Quality ROM'!DK32)</f>
        <v>0</v>
      </c>
      <c r="CK32" s="644">
        <f>IF(CJ32=0,0,'Quality ROM'!DL32)</f>
        <v>0</v>
      </c>
      <c r="CL32" s="644">
        <f>IF(CK32=0,0,'Quality ROM'!DM32)</f>
        <v>0</v>
      </c>
      <c r="CM32" s="644">
        <f>IF(CL32=0,0,'Quality ROM'!DN32)</f>
        <v>0</v>
      </c>
      <c r="CN32" s="644">
        <f>IF(CM32=0,0,'Quality ROM'!DO32)</f>
        <v>0</v>
      </c>
      <c r="CO32" s="644">
        <f>'Quality ROM'!N67</f>
        <v>0</v>
      </c>
      <c r="CP32" s="644">
        <f>IF(CO32=0,0,'Quality ROM'!CQ32)</f>
        <v>0</v>
      </c>
      <c r="CQ32" s="644">
        <f>IF(CP32=0,0,'Quality ROM'!DL32)</f>
        <v>0</v>
      </c>
      <c r="CR32" s="644">
        <f>IF(CQ32=0,0,'Quality ROM'!DM32)</f>
        <v>0</v>
      </c>
      <c r="CS32" s="644">
        <f>IF(CR32=0,0,'Quality ROM'!DN32)</f>
        <v>0</v>
      </c>
      <c r="CT32" s="644">
        <f>IF(CS32=0,0,'Quality ROM'!DO32)</f>
        <v>0</v>
      </c>
      <c r="CU32" s="644">
        <f>IF(CT32=0,0,'Quality ROM'!DP32)</f>
        <v>0</v>
      </c>
    </row>
    <row r="33" spans="1:99" ht="15">
      <c r="A33" s="1046" t="str">
        <f>'Equipment '!A36</f>
        <v>31-Sep-26</v>
      </c>
      <c r="B33" s="644">
        <f t="shared" si="3"/>
        <v>4653.6216640000002</v>
      </c>
      <c r="C33" s="644">
        <f t="shared" si="4"/>
        <v>39.897629611647439</v>
      </c>
      <c r="D33" s="644">
        <f t="shared" si="5"/>
        <v>21.790821961800834</v>
      </c>
      <c r="E33" s="644">
        <f t="shared" si="6"/>
        <v>4.7548413836596568</v>
      </c>
      <c r="F33" s="644">
        <f t="shared" si="7"/>
        <v>0.14469177749836432</v>
      </c>
      <c r="G33" s="644">
        <f t="shared" si="8"/>
        <v>4982.1526427032813</v>
      </c>
      <c r="H33" s="644">
        <f t="shared" si="9"/>
        <v>3828.830062842359</v>
      </c>
      <c r="I33" s="644">
        <f t="shared" si="35"/>
        <v>4653.6216640000002</v>
      </c>
      <c r="J33" s="644">
        <f t="shared" si="36"/>
        <v>39.897629611647439</v>
      </c>
      <c r="K33" s="644">
        <f t="shared" si="37"/>
        <v>21.790821961800834</v>
      </c>
      <c r="L33" s="644">
        <f t="shared" si="38"/>
        <v>4.7548413836596568</v>
      </c>
      <c r="M33" s="644">
        <f t="shared" si="39"/>
        <v>0.14469177749836432</v>
      </c>
      <c r="N33" s="644">
        <f t="shared" si="40"/>
        <v>4982.1526427032813</v>
      </c>
      <c r="O33" s="644">
        <f t="shared" si="41"/>
        <v>3828.830062842359</v>
      </c>
      <c r="P33" s="644">
        <f>'Quality ROM'!M68</f>
        <v>0</v>
      </c>
      <c r="Q33" s="644">
        <f>IF($P33=0,0,'Quality ROM'!J33)</f>
        <v>0</v>
      </c>
      <c r="R33" s="644">
        <f>IF($P33=0,0,'Quality ROM'!K33)</f>
        <v>0</v>
      </c>
      <c r="S33" s="644">
        <f>IF($P33=0,0,'Quality ROM'!L33)</f>
        <v>0</v>
      </c>
      <c r="T33" s="644">
        <f>IF($P33=0,0,'Quality ROM'!M33)</f>
        <v>0</v>
      </c>
      <c r="U33" s="644">
        <f>IF($P33=0,0,'Quality ROM'!N33)</f>
        <v>0</v>
      </c>
      <c r="V33" s="644">
        <f>IF($P33=0,0,'Quality ROM'!O33)</f>
        <v>0</v>
      </c>
      <c r="W33" s="1132">
        <f>Actual!AJ$112</f>
        <v>0</v>
      </c>
      <c r="X33" s="1144">
        <f>IF($W33=0,0,'Quality ROM'!Q33)</f>
        <v>0</v>
      </c>
      <c r="Y33" s="1144">
        <f>IF($W33=0,0,'Quality ROM'!R33)</f>
        <v>0</v>
      </c>
      <c r="Z33" s="1144">
        <f>IF($W33=0,0,'Quality ROM'!S33)</f>
        <v>0</v>
      </c>
      <c r="AA33" s="1144">
        <f>IF($W33=0,0,'Quality ROM'!T33)</f>
        <v>0</v>
      </c>
      <c r="AB33" s="1144">
        <f>IF($W33=0,0,'Quality ROM'!U33)</f>
        <v>0</v>
      </c>
      <c r="AC33" s="1144">
        <f>IF($W33=0,0,'Quality ROM'!V33)</f>
        <v>0</v>
      </c>
      <c r="AD33" s="644">
        <f t="shared" si="11"/>
        <v>48838.493441999999</v>
      </c>
      <c r="AE33" s="644">
        <f t="shared" si="12"/>
        <v>39.897904220516921</v>
      </c>
      <c r="AF33" s="644">
        <f t="shared" si="13"/>
        <v>22.279372681202894</v>
      </c>
      <c r="AG33" s="644">
        <f t="shared" si="14"/>
        <v>6.8193908890769395</v>
      </c>
      <c r="AH33" s="644">
        <f t="shared" si="15"/>
        <v>0.1792773148906143</v>
      </c>
      <c r="AI33" s="644">
        <f t="shared" si="16"/>
        <v>4777.7131932103202</v>
      </c>
      <c r="AJ33" s="644">
        <f t="shared" si="17"/>
        <v>3745.5710401698334</v>
      </c>
      <c r="AK33" s="644">
        <f t="shared" si="42"/>
        <v>48838.493441999999</v>
      </c>
      <c r="AL33" s="644">
        <f t="shared" si="43"/>
        <v>39.897904220516921</v>
      </c>
      <c r="AM33" s="644">
        <f t="shared" si="44"/>
        <v>22.279372681202894</v>
      </c>
      <c r="AN33" s="644">
        <f t="shared" si="45"/>
        <v>6.8193908890769395</v>
      </c>
      <c r="AO33" s="644">
        <f t="shared" si="46"/>
        <v>0.1792773148906143</v>
      </c>
      <c r="AP33" s="644">
        <f t="shared" si="47"/>
        <v>4777.7131932103202</v>
      </c>
      <c r="AQ33" s="644">
        <f t="shared" si="48"/>
        <v>3745.5710401698334</v>
      </c>
      <c r="AR33" s="644">
        <f>'Quality ROM'!O68+'Quality ROM'!P68</f>
        <v>0</v>
      </c>
      <c r="AS33" s="644">
        <f>IF($AR33=0,0,'Quality ROM'!AZ33)</f>
        <v>0</v>
      </c>
      <c r="AT33" s="644">
        <f>IF($AR33=0,0,'Quality ROM'!BA33)</f>
        <v>0</v>
      </c>
      <c r="AU33" s="644">
        <f>IF($AR33=0,0,'Quality ROM'!BB33)</f>
        <v>0</v>
      </c>
      <c r="AV33" s="644">
        <f>IF($AR33=0,0,'Quality ROM'!BC33)</f>
        <v>0</v>
      </c>
      <c r="AW33" s="644">
        <f>IF($AR33=0,0,'Quality ROM'!BD33)</f>
        <v>0</v>
      </c>
      <c r="AX33" s="644">
        <f>IF($AR33=0,0,'Quality ROM'!BE33)</f>
        <v>0</v>
      </c>
      <c r="AY33" s="1132">
        <f>Actual!AJ$113</f>
        <v>0</v>
      </c>
      <c r="AZ33" s="1144">
        <f>IF($AY33=0,0,'Quality ROM'!BG33)</f>
        <v>0</v>
      </c>
      <c r="BA33" s="1144">
        <f>IF($AY33=0,0,'Quality ROM'!BH33)</f>
        <v>0</v>
      </c>
      <c r="BB33" s="1144">
        <f>IF($AY33=0,0,'Quality ROM'!BI33)</f>
        <v>0</v>
      </c>
      <c r="BC33" s="1144">
        <f>IF($AY33=0,0,'Quality ROM'!BJ33)</f>
        <v>0</v>
      </c>
      <c r="BD33" s="1144">
        <f>IF($AY33=0,0,'Quality ROM'!BK33)</f>
        <v>0</v>
      </c>
      <c r="BE33" s="1144">
        <f>IF($AY33=0,0,'Quality ROM'!BL33)</f>
        <v>0</v>
      </c>
      <c r="BF33" s="644">
        <f>BT33+CA33+BM33+CH33-AF68+CO33</f>
        <v>0</v>
      </c>
      <c r="BG33" s="644">
        <f t="shared" si="49"/>
        <v>0</v>
      </c>
      <c r="BH33" s="644">
        <f t="shared" si="24"/>
        <v>0</v>
      </c>
      <c r="BI33" s="644">
        <f t="shared" si="25"/>
        <v>0</v>
      </c>
      <c r="BJ33" s="644">
        <f t="shared" si="26"/>
        <v>0</v>
      </c>
      <c r="BK33" s="644">
        <f t="shared" si="27"/>
        <v>0</v>
      </c>
      <c r="BL33" s="644">
        <f t="shared" si="28"/>
        <v>0</v>
      </c>
      <c r="BM33" s="644">
        <f t="shared" si="50"/>
        <v>0</v>
      </c>
      <c r="BN33" s="644">
        <f t="shared" si="29"/>
        <v>0</v>
      </c>
      <c r="BO33" s="644">
        <f t="shared" si="30"/>
        <v>0</v>
      </c>
      <c r="BP33" s="644">
        <f t="shared" si="31"/>
        <v>0</v>
      </c>
      <c r="BQ33" s="644">
        <f t="shared" si="32"/>
        <v>0</v>
      </c>
      <c r="BR33" s="644">
        <f t="shared" si="33"/>
        <v>0</v>
      </c>
      <c r="BS33" s="644">
        <f t="shared" si="34"/>
        <v>0</v>
      </c>
      <c r="BT33" s="644">
        <f>'Quality ROM'!S68</f>
        <v>0</v>
      </c>
      <c r="BU33" s="644">
        <f>IF(BT33=0,0,'Quality ROM'!CP33)</f>
        <v>0</v>
      </c>
      <c r="BV33" s="644">
        <f>IF(BU33=0,0,'Quality ROM'!CQ33)</f>
        <v>0</v>
      </c>
      <c r="BW33" s="644">
        <f>IF(BV33=0,0,'Quality ROM'!CR33)</f>
        <v>0</v>
      </c>
      <c r="BX33" s="644">
        <f>IF(BW33=0,0,'Quality ROM'!CS33)</f>
        <v>0</v>
      </c>
      <c r="BY33" s="644">
        <f>IF(BX33=0,0,'Quality ROM'!CT33)</f>
        <v>0</v>
      </c>
      <c r="BZ33" s="644">
        <f>IF(BY33=0,0,'Quality ROM'!CU33)</f>
        <v>0</v>
      </c>
      <c r="CA33" s="1132">
        <f>Actual!AJ$111</f>
        <v>0</v>
      </c>
      <c r="CB33" s="1144">
        <f>IF(CA33=0,0,'Quality ROM'!AL33)</f>
        <v>0</v>
      </c>
      <c r="CC33" s="1144">
        <f>IF(CB33=0,0,'Quality ROM'!AM33)</f>
        <v>0</v>
      </c>
      <c r="CD33" s="1144">
        <f>IF(CC33=0,0,'Quality ROM'!AN33)</f>
        <v>0</v>
      </c>
      <c r="CE33" s="1144">
        <f>IF(CD33=0,0,'Quality ROM'!AO33)</f>
        <v>0</v>
      </c>
      <c r="CF33" s="1144">
        <f>IF(CE33=0,0,'Quality ROM'!AP33)</f>
        <v>0</v>
      </c>
      <c r="CG33" s="1144">
        <f>IF(CF33=0,0,'Quality ROM'!AQ33)</f>
        <v>0</v>
      </c>
      <c r="CH33" s="644">
        <f>'Quality ROM'!T68</f>
        <v>0</v>
      </c>
      <c r="CI33" s="644">
        <f>IF(CH33=0,0,'Quality ROM'!DJ33)</f>
        <v>0</v>
      </c>
      <c r="CJ33" s="644">
        <f>IF(CI33=0,0,'Quality ROM'!DK33)</f>
        <v>0</v>
      </c>
      <c r="CK33" s="644">
        <f>IF(CJ33=0,0,'Quality ROM'!DL33)</f>
        <v>0</v>
      </c>
      <c r="CL33" s="644">
        <f>IF(CK33=0,0,'Quality ROM'!DM33)</f>
        <v>0</v>
      </c>
      <c r="CM33" s="644">
        <f>IF(CL33=0,0,'Quality ROM'!DN33)</f>
        <v>0</v>
      </c>
      <c r="CN33" s="644">
        <f>IF(CM33=0,0,'Quality ROM'!DO33)</f>
        <v>0</v>
      </c>
      <c r="CO33" s="644">
        <f>'Quality ROM'!N68</f>
        <v>0</v>
      </c>
      <c r="CP33" s="644">
        <f>IF(CO33=0,0,'Quality ROM'!CQ33)</f>
        <v>0</v>
      </c>
      <c r="CQ33" s="644">
        <f>IF(CP33=0,0,'Quality ROM'!DL33)</f>
        <v>0</v>
      </c>
      <c r="CR33" s="644">
        <f>IF(CQ33=0,0,'Quality ROM'!DM33)</f>
        <v>0</v>
      </c>
      <c r="CS33" s="644">
        <f>IF(CR33=0,0,'Quality ROM'!DN33)</f>
        <v>0</v>
      </c>
      <c r="CT33" s="644">
        <f>IF(CS33=0,0,'Quality ROM'!DO33)</f>
        <v>0</v>
      </c>
      <c r="CU33" s="644">
        <f>IF(CT33=0,0,'Quality ROM'!DP33)</f>
        <v>0</v>
      </c>
    </row>
    <row r="34" spans="1:99">
      <c r="I34" s="987"/>
      <c r="AN34" s="362"/>
      <c r="BG34" s="362"/>
    </row>
    <row r="35" spans="1:99">
      <c r="Q35" t="s">
        <v>532</v>
      </c>
      <c r="BG35" s="362"/>
    </row>
    <row r="36" spans="1:99" ht="72">
      <c r="A36" s="988"/>
      <c r="B36" s="988" t="s">
        <v>403</v>
      </c>
      <c r="C36" s="988" t="s">
        <v>404</v>
      </c>
      <c r="D36" s="988" t="s">
        <v>405</v>
      </c>
      <c r="E36" s="988" t="s">
        <v>406</v>
      </c>
      <c r="F36" s="989" t="s">
        <v>407</v>
      </c>
      <c r="G36" s="988" t="s">
        <v>408</v>
      </c>
      <c r="H36" s="1043" t="s">
        <v>409</v>
      </c>
      <c r="I36" s="1022" t="s">
        <v>410</v>
      </c>
      <c r="J36" s="1022" t="s">
        <v>411</v>
      </c>
      <c r="K36" s="1022" t="s">
        <v>412</v>
      </c>
      <c r="L36" s="1022" t="s">
        <v>413</v>
      </c>
      <c r="M36" s="1022" t="s">
        <v>414</v>
      </c>
      <c r="N36" s="1022" t="s">
        <v>415</v>
      </c>
      <c r="O36" s="1166" t="s">
        <v>533</v>
      </c>
      <c r="Q36" s="988" t="s">
        <v>403</v>
      </c>
      <c r="R36" s="988" t="s">
        <v>404</v>
      </c>
      <c r="S36" s="988" t="s">
        <v>405</v>
      </c>
      <c r="T36" s="988" t="s">
        <v>534</v>
      </c>
      <c r="U36" s="988" t="s">
        <v>406</v>
      </c>
      <c r="V36" s="989" t="s">
        <v>407</v>
      </c>
      <c r="W36" s="988" t="s">
        <v>408</v>
      </c>
      <c r="X36" s="1043" t="s">
        <v>409</v>
      </c>
      <c r="Y36" s="1043" t="s">
        <v>533</v>
      </c>
      <c r="Z36" s="1022" t="s">
        <v>410</v>
      </c>
      <c r="AA36" s="1022" t="s">
        <v>411</v>
      </c>
      <c r="AB36" s="1022" t="s">
        <v>412</v>
      </c>
      <c r="AC36" s="1022" t="s">
        <v>413</v>
      </c>
      <c r="AD36" s="1022" t="s">
        <v>414</v>
      </c>
      <c r="AE36" s="1022" t="s">
        <v>415</v>
      </c>
      <c r="AF36" s="593" t="s">
        <v>126</v>
      </c>
      <c r="AG36" s="988"/>
      <c r="AH36" s="988"/>
      <c r="AI36" s="988"/>
      <c r="AJ36" s="988"/>
      <c r="AK36" s="989"/>
      <c r="AL36" s="988"/>
      <c r="AM36" s="1043"/>
      <c r="AN36" s="1022"/>
      <c r="AO36" s="1022"/>
      <c r="AP36" s="1022"/>
      <c r="AQ36" s="1022"/>
      <c r="AR36" s="1022"/>
      <c r="AS36" s="1022"/>
      <c r="AU36" s="988"/>
      <c r="AV36" s="988"/>
      <c r="AW36" s="1022"/>
    </row>
    <row r="37" spans="1:99">
      <c r="A37" s="991"/>
      <c r="C37" s="991"/>
      <c r="D37" s="991"/>
      <c r="E37" s="991"/>
      <c r="F37" s="991"/>
      <c r="G37" s="991"/>
      <c r="H37" s="991"/>
      <c r="I37" s="991"/>
      <c r="K37" s="991"/>
      <c r="L37" s="991"/>
      <c r="M37" s="991"/>
      <c r="N37" s="991"/>
      <c r="O37" s="1167"/>
    </row>
    <row r="38" spans="1:99" ht="16.149999999999999">
      <c r="A38" s="995">
        <v>46266</v>
      </c>
      <c r="B38" s="1145"/>
      <c r="C38" s="1146"/>
      <c r="D38" s="1145"/>
      <c r="E38" s="1145"/>
      <c r="F38" s="1145"/>
      <c r="G38" s="1145"/>
      <c r="H38" s="1147"/>
      <c r="I38" s="1147"/>
      <c r="J38" s="1146"/>
      <c r="K38" s="1147"/>
      <c r="L38" s="1223"/>
      <c r="M38" s="1223"/>
      <c r="N38" s="1223"/>
      <c r="O38" s="1168"/>
      <c r="P38" s="1049" t="s">
        <v>157</v>
      </c>
      <c r="Q38" s="1014">
        <f>SUM(B38:B39)</f>
        <v>0</v>
      </c>
      <c r="R38" s="1014">
        <f>SUM(C38:C39)</f>
        <v>0</v>
      </c>
      <c r="S38" s="1014">
        <f>SUM(D38:D39)</f>
        <v>0</v>
      </c>
      <c r="T38" s="1014">
        <f>SUM(Q38:S38)</f>
        <v>0</v>
      </c>
      <c r="U38" s="1014">
        <f>SUM(E38:E39)</f>
        <v>0</v>
      </c>
      <c r="V38" s="1014">
        <f>SUM(F38:F39)</f>
        <v>0</v>
      </c>
      <c r="W38" s="1014">
        <f>SUM(G38:G39)</f>
        <v>0</v>
      </c>
      <c r="X38" s="1014">
        <f>SUM(H38:H39)</f>
        <v>0</v>
      </c>
      <c r="Y38" s="1014">
        <f>SUM(U38:X38)</f>
        <v>0</v>
      </c>
      <c r="Z38" s="1014">
        <f t="shared" ref="Z38:AE38" si="52">SUM(I38:I39)</f>
        <v>0</v>
      </c>
      <c r="AA38" s="1014">
        <f t="shared" si="52"/>
        <v>0</v>
      </c>
      <c r="AB38" s="1014">
        <f t="shared" si="52"/>
        <v>0</v>
      </c>
      <c r="AC38" s="1014">
        <f t="shared" si="52"/>
        <v>0</v>
      </c>
      <c r="AD38" s="1014">
        <f t="shared" si="52"/>
        <v>0</v>
      </c>
      <c r="AE38" s="1014">
        <f t="shared" si="52"/>
        <v>0</v>
      </c>
      <c r="AF38" s="1014">
        <f>SUM(Z38:AE38)</f>
        <v>0</v>
      </c>
      <c r="AG38" s="1014"/>
      <c r="AH38" s="1014">
        <f>Actual!F$113</f>
        <v>0</v>
      </c>
      <c r="AI38" s="1014">
        <f>Actual!G$113</f>
        <v>0</v>
      </c>
      <c r="AJ38" s="1014">
        <f>Actual!H$113</f>
        <v>0</v>
      </c>
      <c r="AK38" s="1014">
        <f>Actual!I$113</f>
        <v>0</v>
      </c>
      <c r="AL38" s="1014">
        <f>Actual!J$113</f>
        <v>0</v>
      </c>
      <c r="AM38" s="1014">
        <f>Actual!K$113</f>
        <v>0</v>
      </c>
      <c r="AN38" s="1014">
        <f>Actual!L$113</f>
        <v>0</v>
      </c>
      <c r="AO38" s="1014">
        <f>Actual!M$113</f>
        <v>0</v>
      </c>
      <c r="AP38" s="1014">
        <f>Actual!N$113</f>
        <v>0</v>
      </c>
      <c r="AQ38" s="1014">
        <f>Actual!O$113</f>
        <v>0</v>
      </c>
      <c r="AR38" s="1014">
        <f>Actual!P$113</f>
        <v>0</v>
      </c>
      <c r="AS38" s="1014">
        <f>Actual!Q$113</f>
        <v>0</v>
      </c>
      <c r="AT38" s="1014">
        <f>Actual!R$113</f>
        <v>0</v>
      </c>
      <c r="AU38" s="1014">
        <f>Actual!S$113</f>
        <v>0</v>
      </c>
      <c r="AV38" s="1014">
        <f>Actual!T$113</f>
        <v>0</v>
      </c>
      <c r="AW38" s="1014">
        <f>Actual!U$113</f>
        <v>0</v>
      </c>
      <c r="AX38" s="1014">
        <f>Actual!V$113</f>
        <v>0</v>
      </c>
      <c r="AY38" s="1014">
        <f>Actual!W$113</f>
        <v>0</v>
      </c>
      <c r="AZ38" s="1014">
        <f>Actual!X$113</f>
        <v>0</v>
      </c>
      <c r="BA38" s="1014">
        <f>Actual!Y$113</f>
        <v>0</v>
      </c>
      <c r="BB38" s="1014">
        <f>Actual!Z$113</f>
        <v>0</v>
      </c>
      <c r="BC38" s="1014">
        <f>Actual!AA$113</f>
        <v>0</v>
      </c>
      <c r="BD38" s="1014">
        <f>Actual!AB$113</f>
        <v>0</v>
      </c>
      <c r="BE38" s="1014">
        <f>Actual!AC$113</f>
        <v>0</v>
      </c>
      <c r="BF38" s="1014">
        <f>Actual!AD$113</f>
        <v>0</v>
      </c>
      <c r="BG38" s="1014">
        <f>Actual!AE$113</f>
        <v>0</v>
      </c>
      <c r="BH38" s="1014">
        <f>Actual!AF$113</f>
        <v>0</v>
      </c>
      <c r="BI38" s="1014">
        <f>Actual!AG$113</f>
        <v>0</v>
      </c>
      <c r="BJ38" s="1014">
        <f>Actual!AH$113</f>
        <v>0</v>
      </c>
      <c r="BK38" s="1014">
        <f>Actual!AI$113</f>
        <v>0</v>
      </c>
      <c r="BL38" s="1014">
        <f>Actual!AJ$113</f>
        <v>0</v>
      </c>
    </row>
    <row r="39" spans="1:99" ht="16.149999999999999">
      <c r="A39" s="996">
        <v>46266</v>
      </c>
      <c r="B39" s="1145"/>
      <c r="C39" s="1146"/>
      <c r="D39" s="1145"/>
      <c r="E39" s="1145"/>
      <c r="F39" s="1145"/>
      <c r="G39" s="1145"/>
      <c r="H39" s="1147"/>
      <c r="I39" s="1147"/>
      <c r="J39" s="1148"/>
      <c r="K39" s="1147"/>
      <c r="L39" s="1223"/>
      <c r="M39" s="1223"/>
      <c r="N39" s="1223"/>
      <c r="O39" s="1168"/>
      <c r="P39" s="1049" t="s">
        <v>158</v>
      </c>
      <c r="Q39" s="1014">
        <f>SUM(B40:B41)</f>
        <v>0</v>
      </c>
      <c r="R39" s="1014">
        <f>SUM(C40:C41)</f>
        <v>0</v>
      </c>
      <c r="S39" s="1014">
        <f>SUM(D40:D41)</f>
        <v>0</v>
      </c>
      <c r="T39" s="1014">
        <f t="shared" ref="T39:T68" si="53">SUM(Q39:S39)</f>
        <v>0</v>
      </c>
      <c r="U39" s="1014">
        <f>SUM(E40:E41)</f>
        <v>0</v>
      </c>
      <c r="V39" s="1014">
        <f>SUM(F40:F41)</f>
        <v>0</v>
      </c>
      <c r="W39" s="1014">
        <f>SUM(G40:G41)</f>
        <v>0</v>
      </c>
      <c r="X39" s="1014">
        <f>SUM(H40:H41)</f>
        <v>0</v>
      </c>
      <c r="Y39" s="1014">
        <f t="shared" ref="Y39:Y68" si="54">SUM(U39:X39)</f>
        <v>0</v>
      </c>
      <c r="Z39" s="1014">
        <f t="shared" ref="Z39:AE39" si="55">SUM(I40:I41)</f>
        <v>0</v>
      </c>
      <c r="AA39" s="1014">
        <f t="shared" si="55"/>
        <v>0</v>
      </c>
      <c r="AB39" s="1014">
        <f t="shared" si="55"/>
        <v>0</v>
      </c>
      <c r="AC39" s="1014">
        <f t="shared" si="55"/>
        <v>0</v>
      </c>
      <c r="AD39" s="1014">
        <f t="shared" si="55"/>
        <v>0</v>
      </c>
      <c r="AE39" s="1014">
        <f t="shared" si="55"/>
        <v>0</v>
      </c>
      <c r="AF39" s="1014">
        <f t="shared" ref="AF39:AF68" si="56">SUM(Z39:AE39)</f>
        <v>0</v>
      </c>
      <c r="AG39" s="1014"/>
      <c r="AH39" s="1014"/>
      <c r="AI39" s="1014"/>
      <c r="AJ39" s="1014"/>
      <c r="AK39" s="1014"/>
      <c r="AL39" s="1014"/>
      <c r="AM39" s="1014"/>
      <c r="AN39" s="1014"/>
      <c r="AO39" s="1014"/>
      <c r="AP39" s="1014"/>
      <c r="AQ39" s="1014"/>
      <c r="AR39" s="1014"/>
      <c r="AS39" s="1014"/>
      <c r="AU39" s="362"/>
      <c r="AV39" s="362"/>
      <c r="AW39" s="362"/>
    </row>
    <row r="40" spans="1:99" ht="16.149999999999999">
      <c r="A40" s="997">
        <f t="shared" ref="A40:A99" si="57">+A38+1</f>
        <v>46267</v>
      </c>
      <c r="B40" s="1145"/>
      <c r="C40" s="1146"/>
      <c r="D40" s="1145"/>
      <c r="E40" s="1145"/>
      <c r="F40" s="1145"/>
      <c r="G40" s="1145"/>
      <c r="H40" s="1147"/>
      <c r="I40" s="1147"/>
      <c r="J40" s="1148"/>
      <c r="K40" s="1147"/>
      <c r="L40" s="1223"/>
      <c r="M40" s="1223"/>
      <c r="N40" s="1223"/>
      <c r="O40" s="1168"/>
      <c r="P40" s="1049" t="s">
        <v>159</v>
      </c>
      <c r="Q40" s="1014">
        <f>SUM(B42:B43)</f>
        <v>0</v>
      </c>
      <c r="R40" s="1014">
        <f>SUM(C42:C43)</f>
        <v>0</v>
      </c>
      <c r="S40" s="1014">
        <f>SUM(D42:D43)</f>
        <v>0</v>
      </c>
      <c r="T40" s="1014">
        <f t="shared" si="53"/>
        <v>0</v>
      </c>
      <c r="U40" s="1014">
        <f>SUM(E42:E43)</f>
        <v>0</v>
      </c>
      <c r="V40" s="1014">
        <f>SUM(F42:F43)</f>
        <v>0</v>
      </c>
      <c r="W40" s="1014">
        <f>SUM(G42:G43)</f>
        <v>0</v>
      </c>
      <c r="X40" s="1014">
        <f>SUM(H42:H43)</f>
        <v>0</v>
      </c>
      <c r="Y40" s="1014">
        <f t="shared" si="54"/>
        <v>0</v>
      </c>
      <c r="Z40" s="1014">
        <f t="shared" ref="Z40:AE40" si="58">SUM(I42:I43)</f>
        <v>0</v>
      </c>
      <c r="AA40" s="1014">
        <f t="shared" si="58"/>
        <v>0</v>
      </c>
      <c r="AB40" s="1014">
        <f t="shared" si="58"/>
        <v>0</v>
      </c>
      <c r="AC40" s="1014">
        <f t="shared" si="58"/>
        <v>0</v>
      </c>
      <c r="AD40" s="1014">
        <f t="shared" si="58"/>
        <v>0</v>
      </c>
      <c r="AE40" s="1014">
        <f t="shared" si="58"/>
        <v>0</v>
      </c>
      <c r="AF40" s="1014">
        <f t="shared" si="56"/>
        <v>0</v>
      </c>
      <c r="AG40" s="1014"/>
      <c r="AH40" s="1014"/>
      <c r="AI40" s="1014"/>
      <c r="AJ40" s="1014"/>
      <c r="AK40" s="1014"/>
      <c r="AL40" s="1014"/>
      <c r="AM40" s="1014"/>
      <c r="AN40" s="1014"/>
      <c r="AO40" s="1014"/>
      <c r="AP40" s="1014"/>
      <c r="AQ40" s="1014"/>
      <c r="AR40" s="1014"/>
      <c r="AS40" s="1014"/>
      <c r="AU40" s="362"/>
      <c r="AV40" s="362"/>
      <c r="AW40" s="362"/>
    </row>
    <row r="41" spans="1:99" ht="16.149999999999999">
      <c r="A41" s="998">
        <f t="shared" si="57"/>
        <v>46267</v>
      </c>
      <c r="B41" s="1145"/>
      <c r="C41" s="1146"/>
      <c r="D41" s="1145"/>
      <c r="E41" s="1145"/>
      <c r="F41" s="1145"/>
      <c r="G41" s="1145"/>
      <c r="H41" s="1147"/>
      <c r="I41" s="1147"/>
      <c r="J41" s="1148"/>
      <c r="K41" s="1147"/>
      <c r="L41" s="1223"/>
      <c r="M41" s="1223"/>
      <c r="N41" s="1223"/>
      <c r="O41" s="1168"/>
      <c r="P41" s="1049" t="s">
        <v>160</v>
      </c>
      <c r="Q41" s="1014">
        <f>SUM(B44:B45)</f>
        <v>0</v>
      </c>
      <c r="R41" s="1014">
        <f>SUM(C44:C45)</f>
        <v>0</v>
      </c>
      <c r="S41" s="1014">
        <f>SUM(D44:D45)</f>
        <v>0</v>
      </c>
      <c r="T41" s="1014">
        <f t="shared" si="53"/>
        <v>0</v>
      </c>
      <c r="U41" s="1014">
        <f>SUM(E44:E45)</f>
        <v>0</v>
      </c>
      <c r="V41" s="1014">
        <f>SUM(F44:F45)</f>
        <v>0</v>
      </c>
      <c r="W41" s="1014">
        <f>SUM(G44:G45)</f>
        <v>0</v>
      </c>
      <c r="X41" s="1014">
        <f>SUM(H44:H45)</f>
        <v>0</v>
      </c>
      <c r="Y41" s="1014">
        <f t="shared" si="54"/>
        <v>0</v>
      </c>
      <c r="Z41" s="1014">
        <f t="shared" ref="Z41:AE41" si="59">SUM(I44:I45)</f>
        <v>0</v>
      </c>
      <c r="AA41" s="1014">
        <f t="shared" si="59"/>
        <v>0</v>
      </c>
      <c r="AB41" s="1014">
        <f t="shared" si="59"/>
        <v>0</v>
      </c>
      <c r="AC41" s="1014">
        <f t="shared" si="59"/>
        <v>0</v>
      </c>
      <c r="AD41" s="1014">
        <f t="shared" si="59"/>
        <v>0</v>
      </c>
      <c r="AE41" s="1014">
        <f t="shared" si="59"/>
        <v>0</v>
      </c>
      <c r="AF41" s="1014">
        <f t="shared" si="56"/>
        <v>0</v>
      </c>
      <c r="AG41" s="1014"/>
      <c r="AH41" s="1014"/>
      <c r="AI41" s="1014"/>
      <c r="AJ41" s="1014"/>
      <c r="AK41" s="1014"/>
      <c r="AL41" s="1014"/>
      <c r="AM41" s="1014"/>
      <c r="AN41" s="1014"/>
      <c r="AO41" s="1014"/>
      <c r="AP41" s="1014"/>
      <c r="AQ41" s="1014"/>
      <c r="AR41" s="1014"/>
      <c r="AS41" s="1014"/>
      <c r="AU41" s="362"/>
      <c r="AV41" s="362"/>
      <c r="AW41" s="362"/>
    </row>
    <row r="42" spans="1:99" ht="16.149999999999999">
      <c r="A42" s="997">
        <f t="shared" si="57"/>
        <v>46268</v>
      </c>
      <c r="B42" s="1146"/>
      <c r="C42" s="1146"/>
      <c r="D42" s="1146"/>
      <c r="E42" s="1146"/>
      <c r="F42" s="1146"/>
      <c r="G42" s="1146"/>
      <c r="H42" s="1148"/>
      <c r="I42" s="1147"/>
      <c r="J42" s="1148"/>
      <c r="K42" s="1147"/>
      <c r="L42" s="1223"/>
      <c r="M42" s="1223"/>
      <c r="N42" s="1223"/>
      <c r="O42" s="1168"/>
      <c r="P42" s="1049" t="s">
        <v>161</v>
      </c>
      <c r="Q42" s="1014">
        <f>SUM(B46:B47)</f>
        <v>0</v>
      </c>
      <c r="R42" s="1014">
        <f>SUM(C46:C47)</f>
        <v>0</v>
      </c>
      <c r="S42" s="1014">
        <f>SUM(D46:D47)</f>
        <v>0</v>
      </c>
      <c r="T42" s="1014">
        <f t="shared" si="53"/>
        <v>0</v>
      </c>
      <c r="U42" s="1014">
        <f>SUM(E46:E47)</f>
        <v>0</v>
      </c>
      <c r="V42" s="1014">
        <f>SUM(F46:F47)</f>
        <v>0</v>
      </c>
      <c r="W42" s="1014">
        <f>SUM(G46:G47)</f>
        <v>0</v>
      </c>
      <c r="X42" s="1014">
        <f>SUM(H46:H47)</f>
        <v>0</v>
      </c>
      <c r="Y42" s="1014">
        <f t="shared" si="54"/>
        <v>0</v>
      </c>
      <c r="Z42" s="1014">
        <f t="shared" ref="Z42:AE42" si="60">SUM(I46:I47)</f>
        <v>0</v>
      </c>
      <c r="AA42" s="1014">
        <f t="shared" si="60"/>
        <v>0</v>
      </c>
      <c r="AB42" s="1014">
        <f t="shared" si="60"/>
        <v>0</v>
      </c>
      <c r="AC42" s="1014">
        <f t="shared" si="60"/>
        <v>0</v>
      </c>
      <c r="AD42" s="1014">
        <f t="shared" si="60"/>
        <v>0</v>
      </c>
      <c r="AE42" s="1014">
        <f t="shared" si="60"/>
        <v>0</v>
      </c>
      <c r="AF42" s="1014">
        <f t="shared" si="56"/>
        <v>0</v>
      </c>
      <c r="AG42" s="1014"/>
      <c r="AH42" s="1014"/>
      <c r="AI42" s="1014"/>
      <c r="AJ42" s="1014"/>
      <c r="AK42" s="1014"/>
      <c r="AL42" s="1014"/>
      <c r="AM42" s="1014"/>
      <c r="AN42" s="1014"/>
      <c r="AO42" s="1014"/>
      <c r="AP42" s="1014"/>
      <c r="AQ42" s="1014"/>
      <c r="AR42" s="1014"/>
      <c r="AS42" s="1014"/>
      <c r="AU42" s="362"/>
      <c r="AV42" s="362"/>
      <c r="AW42" s="362"/>
    </row>
    <row r="43" spans="1:99" ht="16.149999999999999">
      <c r="A43" s="998">
        <f t="shared" si="57"/>
        <v>46268</v>
      </c>
      <c r="B43" s="1146"/>
      <c r="C43" s="1146"/>
      <c r="D43" s="1146"/>
      <c r="E43" s="1146"/>
      <c r="F43" s="1146"/>
      <c r="G43" s="1146"/>
      <c r="H43" s="1146"/>
      <c r="I43" s="1145"/>
      <c r="J43" s="1146"/>
      <c r="K43" s="1145"/>
      <c r="L43" s="1223"/>
      <c r="M43" s="1223"/>
      <c r="N43" s="1223"/>
      <c r="O43" s="1168"/>
      <c r="P43" s="1049" t="s">
        <v>162</v>
      </c>
      <c r="Q43" s="1014">
        <f>SUM(B48:B49)</f>
        <v>0</v>
      </c>
      <c r="R43" s="1014">
        <f>SUM(C48:C49)</f>
        <v>0</v>
      </c>
      <c r="S43" s="1014">
        <f>SUM(D48:D49)</f>
        <v>0</v>
      </c>
      <c r="T43" s="1014">
        <f t="shared" si="53"/>
        <v>0</v>
      </c>
      <c r="U43" s="1014">
        <f>SUM(E48:E49)</f>
        <v>0</v>
      </c>
      <c r="V43" s="1014">
        <f>SUM(F48:F49)</f>
        <v>0</v>
      </c>
      <c r="W43" s="1014">
        <f>SUM(G48:G49)</f>
        <v>0</v>
      </c>
      <c r="X43" s="1014">
        <f>SUM(H48:H49)</f>
        <v>0</v>
      </c>
      <c r="Y43" s="1014">
        <f t="shared" si="54"/>
        <v>0</v>
      </c>
      <c r="Z43" s="1014">
        <f t="shared" ref="Z43:AE43" si="61">SUM(I48:I49)</f>
        <v>0</v>
      </c>
      <c r="AA43" s="1014">
        <f t="shared" si="61"/>
        <v>0</v>
      </c>
      <c r="AB43" s="1014">
        <f t="shared" si="61"/>
        <v>0</v>
      </c>
      <c r="AC43" s="1014">
        <f t="shared" si="61"/>
        <v>0</v>
      </c>
      <c r="AD43" s="1014">
        <f t="shared" si="61"/>
        <v>0</v>
      </c>
      <c r="AE43" s="1014">
        <f t="shared" si="61"/>
        <v>0</v>
      </c>
      <c r="AF43" s="1014">
        <f t="shared" si="56"/>
        <v>0</v>
      </c>
      <c r="AG43" s="1014"/>
      <c r="AH43" s="1014"/>
      <c r="AI43" s="1014"/>
      <c r="AJ43" s="1014"/>
      <c r="AK43" s="1014"/>
      <c r="AL43" s="1014"/>
      <c r="AM43" s="1014"/>
      <c r="AN43" s="1014"/>
      <c r="AO43" s="1014"/>
      <c r="AP43" s="1014"/>
      <c r="AQ43" s="1014"/>
      <c r="AR43" s="1014"/>
      <c r="AS43" s="1014"/>
      <c r="AU43" s="362"/>
      <c r="AV43" s="362"/>
      <c r="AW43" s="362"/>
    </row>
    <row r="44" spans="1:99" ht="16.149999999999999">
      <c r="A44" s="997">
        <f t="shared" si="57"/>
        <v>46269</v>
      </c>
      <c r="B44" s="1146"/>
      <c r="C44" s="1146"/>
      <c r="D44" s="1146"/>
      <c r="E44" s="1146"/>
      <c r="F44" s="1146"/>
      <c r="G44" s="1146"/>
      <c r="H44" s="1146"/>
      <c r="I44" s="1145"/>
      <c r="J44" s="1146"/>
      <c r="K44" s="1145"/>
      <c r="L44" s="1223"/>
      <c r="M44" s="1223"/>
      <c r="N44" s="1223"/>
      <c r="O44" s="1169"/>
      <c r="P44" s="1049" t="s">
        <v>163</v>
      </c>
      <c r="Q44" s="1014">
        <f>SUM(B50:B51)</f>
        <v>0</v>
      </c>
      <c r="R44" s="1014">
        <f>SUM(C50:C51)</f>
        <v>0</v>
      </c>
      <c r="S44" s="1014">
        <f>SUM(D50:D51)</f>
        <v>0</v>
      </c>
      <c r="T44" s="1014">
        <f t="shared" si="53"/>
        <v>0</v>
      </c>
      <c r="U44" s="1014">
        <f>SUM(E50:E51)</f>
        <v>0</v>
      </c>
      <c r="V44" s="1014">
        <f>SUM(F50:F51)</f>
        <v>0</v>
      </c>
      <c r="W44" s="1014">
        <f>SUM(G50:G51)</f>
        <v>0</v>
      </c>
      <c r="X44" s="1014">
        <f>SUM(H50:H51)</f>
        <v>0</v>
      </c>
      <c r="Y44" s="1014">
        <f t="shared" si="54"/>
        <v>0</v>
      </c>
      <c r="Z44" s="1014">
        <f t="shared" ref="Z44:AE44" si="62">SUM(I50:I51)</f>
        <v>0</v>
      </c>
      <c r="AA44" s="1014">
        <f t="shared" si="62"/>
        <v>0</v>
      </c>
      <c r="AB44" s="1014">
        <f t="shared" si="62"/>
        <v>0</v>
      </c>
      <c r="AC44" s="1014">
        <f t="shared" si="62"/>
        <v>0</v>
      </c>
      <c r="AD44" s="1014">
        <f t="shared" si="62"/>
        <v>0</v>
      </c>
      <c r="AE44" s="1014">
        <f t="shared" si="62"/>
        <v>0</v>
      </c>
      <c r="AF44" s="1014">
        <f>SUM(Z44:AE44)</f>
        <v>0</v>
      </c>
      <c r="AG44" s="1014"/>
      <c r="AH44" s="1014"/>
      <c r="AI44" s="1014"/>
      <c r="AJ44" s="1014"/>
      <c r="AK44" s="1014"/>
      <c r="AL44" s="1014"/>
      <c r="AM44" s="1014"/>
      <c r="AN44" s="1014"/>
      <c r="AO44" s="1014"/>
      <c r="AP44" s="1014"/>
      <c r="AQ44" s="1014"/>
      <c r="AR44" s="1014"/>
      <c r="AS44" s="1014"/>
      <c r="AU44" s="362"/>
      <c r="AV44" s="362"/>
      <c r="AW44" s="362"/>
    </row>
    <row r="45" spans="1:99" ht="16.149999999999999">
      <c r="A45" s="998">
        <f t="shared" si="57"/>
        <v>46269</v>
      </c>
      <c r="B45" s="1146"/>
      <c r="C45" s="1146"/>
      <c r="D45" s="1146"/>
      <c r="E45" s="1146"/>
      <c r="F45" s="1146"/>
      <c r="G45" s="1146"/>
      <c r="H45" s="1146"/>
      <c r="I45" s="1145"/>
      <c r="J45" s="1146"/>
      <c r="K45" s="1145"/>
      <c r="L45" s="1223"/>
      <c r="M45" s="1223"/>
      <c r="N45" s="1223"/>
      <c r="O45" s="1169"/>
      <c r="P45" s="1049" t="s">
        <v>164</v>
      </c>
      <c r="Q45" s="1014">
        <f>SUM(B52:B53)</f>
        <v>0</v>
      </c>
      <c r="R45" s="1014">
        <f>SUM(C52:C53)</f>
        <v>0</v>
      </c>
      <c r="S45" s="1014">
        <f>SUM(D52:D53)</f>
        <v>0</v>
      </c>
      <c r="T45" s="1014">
        <f t="shared" si="53"/>
        <v>0</v>
      </c>
      <c r="U45" s="1014">
        <f>SUM(E52:E53)</f>
        <v>0</v>
      </c>
      <c r="V45" s="1014">
        <f>SUM(F52:F53)</f>
        <v>0</v>
      </c>
      <c r="W45" s="1014">
        <f>SUM(G52:G53)</f>
        <v>0</v>
      </c>
      <c r="X45" s="1014">
        <f>SUM(H52:H53)</f>
        <v>0</v>
      </c>
      <c r="Y45" s="1014">
        <f t="shared" si="54"/>
        <v>0</v>
      </c>
      <c r="Z45" s="1014">
        <f t="shared" ref="Z45:AE45" si="63">SUM(I52:I53)</f>
        <v>0</v>
      </c>
      <c r="AA45" s="1014">
        <f t="shared" si="63"/>
        <v>0</v>
      </c>
      <c r="AB45" s="1014">
        <f t="shared" si="63"/>
        <v>0</v>
      </c>
      <c r="AC45" s="1014">
        <f t="shared" si="63"/>
        <v>0</v>
      </c>
      <c r="AD45" s="1014">
        <f t="shared" si="63"/>
        <v>0</v>
      </c>
      <c r="AE45" s="1014">
        <f t="shared" si="63"/>
        <v>0</v>
      </c>
      <c r="AF45" s="1014">
        <f t="shared" si="56"/>
        <v>0</v>
      </c>
      <c r="AG45" s="1014"/>
      <c r="AH45" s="1014"/>
      <c r="AI45" s="1014"/>
      <c r="AJ45" s="1014"/>
      <c r="AK45" s="1014"/>
      <c r="AL45" s="1014"/>
      <c r="AM45" s="1014"/>
      <c r="AN45" s="1014"/>
      <c r="AO45" s="1014"/>
      <c r="AP45" s="1014"/>
      <c r="AQ45" s="1014"/>
      <c r="AR45" s="1014"/>
      <c r="AS45" s="1014"/>
      <c r="AU45" s="362"/>
      <c r="AV45" s="362"/>
      <c r="AW45" s="362"/>
    </row>
    <row r="46" spans="1:99" ht="16.149999999999999">
      <c r="A46" s="997">
        <f t="shared" si="57"/>
        <v>46270</v>
      </c>
      <c r="B46" s="1146"/>
      <c r="C46" s="1146"/>
      <c r="D46" s="1146"/>
      <c r="E46" s="1146"/>
      <c r="F46" s="1146"/>
      <c r="G46" s="1146"/>
      <c r="H46" s="1146"/>
      <c r="I46" s="1145"/>
      <c r="J46" s="1146"/>
      <c r="K46" s="1145"/>
      <c r="L46" s="1223"/>
      <c r="M46" s="1223"/>
      <c r="N46" s="1223"/>
      <c r="O46" s="1169"/>
      <c r="P46" s="1049" t="s">
        <v>165</v>
      </c>
      <c r="Q46" s="1014">
        <f>SUM(B54:B55)</f>
        <v>0</v>
      </c>
      <c r="R46" s="1014">
        <f>SUM(C54:C55)</f>
        <v>0</v>
      </c>
      <c r="S46" s="1014">
        <f>SUM(D54:D55)</f>
        <v>0</v>
      </c>
      <c r="T46" s="1014">
        <f t="shared" si="53"/>
        <v>0</v>
      </c>
      <c r="U46" s="1014">
        <f>SUM(E54:E55)</f>
        <v>0</v>
      </c>
      <c r="V46" s="1014">
        <f>SUM(F54:F55)</f>
        <v>0</v>
      </c>
      <c r="W46" s="1014">
        <f>SUM(G54:G55)</f>
        <v>0</v>
      </c>
      <c r="X46" s="1014">
        <f>SUM(H54:H55)</f>
        <v>0</v>
      </c>
      <c r="Y46" s="1014">
        <f t="shared" si="54"/>
        <v>0</v>
      </c>
      <c r="Z46" s="1014">
        <f t="shared" ref="Z46:AE46" si="64">SUM(I54:I55)</f>
        <v>0</v>
      </c>
      <c r="AA46" s="1014">
        <f t="shared" si="64"/>
        <v>0</v>
      </c>
      <c r="AB46" s="1014">
        <f t="shared" si="64"/>
        <v>0</v>
      </c>
      <c r="AC46" s="1014">
        <f t="shared" si="64"/>
        <v>0</v>
      </c>
      <c r="AD46" s="1014">
        <f t="shared" si="64"/>
        <v>0</v>
      </c>
      <c r="AE46" s="1014">
        <f t="shared" si="64"/>
        <v>0</v>
      </c>
      <c r="AF46" s="1014">
        <f t="shared" si="56"/>
        <v>0</v>
      </c>
      <c r="AG46" s="1014"/>
      <c r="AH46" s="1014"/>
      <c r="AI46" s="1014"/>
      <c r="AJ46" s="1014"/>
      <c r="AK46" s="1014"/>
      <c r="AL46" s="1014"/>
      <c r="AM46" s="1014"/>
      <c r="AN46" s="1014"/>
      <c r="AO46" s="1014"/>
      <c r="AP46" s="1014"/>
      <c r="AQ46" s="1014"/>
      <c r="AR46" s="1014"/>
      <c r="AS46" s="1014"/>
      <c r="AU46" s="362"/>
      <c r="AV46" s="362"/>
      <c r="AW46" s="362"/>
    </row>
    <row r="47" spans="1:99" ht="16.149999999999999">
      <c r="A47" s="998">
        <f t="shared" si="57"/>
        <v>46270</v>
      </c>
      <c r="B47" s="1146"/>
      <c r="C47" s="1146"/>
      <c r="D47" s="1146"/>
      <c r="E47" s="1146"/>
      <c r="F47" s="1146"/>
      <c r="G47" s="1146"/>
      <c r="H47" s="1146"/>
      <c r="I47" s="1145"/>
      <c r="J47" s="1145"/>
      <c r="K47" s="1145"/>
      <c r="L47" s="1223"/>
      <c r="M47" s="1223"/>
      <c r="N47" s="1223"/>
      <c r="O47" s="1168"/>
      <c r="P47" s="1049" t="s">
        <v>166</v>
      </c>
      <c r="Q47" s="1014">
        <f>SUM(B56:B57)</f>
        <v>0</v>
      </c>
      <c r="R47" s="1014">
        <f>SUM(C56:C57)</f>
        <v>0</v>
      </c>
      <c r="S47" s="1014">
        <f>SUM(D56:D57)</f>
        <v>0</v>
      </c>
      <c r="T47" s="1014">
        <f t="shared" si="53"/>
        <v>0</v>
      </c>
      <c r="U47" s="1014">
        <f>SUM(E56:E57)</f>
        <v>0</v>
      </c>
      <c r="V47" s="1014">
        <f>SUM(F56:F57)</f>
        <v>0</v>
      </c>
      <c r="W47" s="1014">
        <f>SUM(G56:G57)</f>
        <v>0</v>
      </c>
      <c r="X47" s="1014">
        <f>SUM(H56:H57)</f>
        <v>0</v>
      </c>
      <c r="Y47" s="1014">
        <f t="shared" si="54"/>
        <v>0</v>
      </c>
      <c r="Z47" s="1014">
        <f t="shared" ref="Z47:AE47" si="65">SUM(I56:I57)</f>
        <v>0</v>
      </c>
      <c r="AA47" s="1014">
        <f t="shared" si="65"/>
        <v>0</v>
      </c>
      <c r="AB47" s="1014">
        <f t="shared" si="65"/>
        <v>0</v>
      </c>
      <c r="AC47" s="1014">
        <f t="shared" si="65"/>
        <v>0</v>
      </c>
      <c r="AD47" s="1014">
        <f t="shared" si="65"/>
        <v>0</v>
      </c>
      <c r="AE47" s="1014">
        <f t="shared" si="65"/>
        <v>0</v>
      </c>
      <c r="AF47" s="1014">
        <f t="shared" si="56"/>
        <v>0</v>
      </c>
      <c r="AG47" s="1014"/>
      <c r="AH47" s="1014"/>
      <c r="AI47" s="1014"/>
      <c r="AJ47" s="1014"/>
      <c r="AK47" s="1014"/>
      <c r="AL47" s="1014"/>
      <c r="AM47" s="1014"/>
      <c r="AN47" s="1014"/>
      <c r="AO47" s="1014"/>
      <c r="AP47" s="1014"/>
      <c r="AQ47" s="1014"/>
      <c r="AR47" s="1014"/>
      <c r="AS47" s="1014"/>
      <c r="AU47" s="362"/>
      <c r="AV47" s="362"/>
      <c r="AW47" s="362"/>
    </row>
    <row r="48" spans="1:99" ht="16.149999999999999">
      <c r="A48" s="997">
        <f t="shared" si="57"/>
        <v>46271</v>
      </c>
      <c r="B48" s="1146"/>
      <c r="C48" s="1146"/>
      <c r="D48" s="1146"/>
      <c r="E48" s="1146"/>
      <c r="F48" s="1146"/>
      <c r="G48" s="1146"/>
      <c r="H48" s="1146"/>
      <c r="I48" s="1145"/>
      <c r="J48" s="1145"/>
      <c r="K48" s="1145"/>
      <c r="L48" s="1223"/>
      <c r="M48" s="1223"/>
      <c r="N48" s="1223"/>
      <c r="O48" s="1169"/>
      <c r="P48" s="1049" t="s">
        <v>167</v>
      </c>
      <c r="Q48" s="1014">
        <f>SUM(B58:B59)</f>
        <v>0</v>
      </c>
      <c r="R48" s="1014">
        <f>SUM(C58:C59)</f>
        <v>0</v>
      </c>
      <c r="S48" s="1014">
        <f>SUM(D58:D59)</f>
        <v>0</v>
      </c>
      <c r="T48" s="1014">
        <f t="shared" si="53"/>
        <v>0</v>
      </c>
      <c r="U48" s="1014">
        <f>SUM(E58:E59)</f>
        <v>0</v>
      </c>
      <c r="V48" s="1014">
        <f>SUM(F58:F59)</f>
        <v>0</v>
      </c>
      <c r="W48" s="1014">
        <f>SUM(G58:G59)</f>
        <v>0</v>
      </c>
      <c r="X48" s="1014">
        <f>SUM(H58:H59)</f>
        <v>0</v>
      </c>
      <c r="Y48" s="1014">
        <f t="shared" si="54"/>
        <v>0</v>
      </c>
      <c r="Z48" s="1014">
        <f t="shared" ref="Z48:AE48" si="66">SUM(I58:I59)</f>
        <v>0</v>
      </c>
      <c r="AA48" s="1014">
        <f t="shared" si="66"/>
        <v>0</v>
      </c>
      <c r="AB48" s="1014">
        <f t="shared" si="66"/>
        <v>0</v>
      </c>
      <c r="AC48" s="1014">
        <f t="shared" si="66"/>
        <v>0</v>
      </c>
      <c r="AD48" s="1014">
        <f t="shared" si="66"/>
        <v>0</v>
      </c>
      <c r="AE48" s="1014">
        <f t="shared" si="66"/>
        <v>0</v>
      </c>
      <c r="AF48" s="1014">
        <f t="shared" si="56"/>
        <v>0</v>
      </c>
      <c r="AG48" s="1014"/>
      <c r="AH48" s="1014"/>
      <c r="AI48" s="1014"/>
      <c r="AJ48" s="1014"/>
      <c r="AK48" s="1014"/>
      <c r="AL48" s="1014"/>
      <c r="AM48" s="1014"/>
      <c r="AN48" s="1014"/>
      <c r="AO48" s="1014"/>
      <c r="AP48" s="1014"/>
      <c r="AQ48" s="1014"/>
      <c r="AR48" s="1014"/>
      <c r="AS48" s="1014"/>
      <c r="AU48" s="362"/>
      <c r="AV48" s="362"/>
      <c r="AW48" s="362"/>
    </row>
    <row r="49" spans="1:49" ht="16.149999999999999">
      <c r="A49" s="998">
        <f t="shared" si="57"/>
        <v>46271</v>
      </c>
      <c r="B49" s="1146"/>
      <c r="C49" s="1146"/>
      <c r="D49" s="1146"/>
      <c r="E49" s="1146"/>
      <c r="F49" s="1146"/>
      <c r="G49" s="1146"/>
      <c r="H49" s="1146"/>
      <c r="I49" s="1145"/>
      <c r="J49" s="1145"/>
      <c r="K49" s="1145"/>
      <c r="L49" s="1223"/>
      <c r="M49" s="1223"/>
      <c r="N49" s="1223"/>
      <c r="O49" s="1168"/>
      <c r="P49" s="1049" t="s">
        <v>168</v>
      </c>
      <c r="Q49" s="1014">
        <f>SUM(B60:B61)</f>
        <v>0</v>
      </c>
      <c r="R49" s="1014">
        <f>SUM(C60:C61)</f>
        <v>0</v>
      </c>
      <c r="S49" s="1014">
        <f>SUM(D60:D61)</f>
        <v>0</v>
      </c>
      <c r="T49" s="1014">
        <f t="shared" si="53"/>
        <v>0</v>
      </c>
      <c r="U49" s="1014">
        <f>SUM(E60:E61)</f>
        <v>0</v>
      </c>
      <c r="V49" s="1014">
        <f>SUM(F60:F61)</f>
        <v>0</v>
      </c>
      <c r="W49" s="1014">
        <f>SUM(G60:G61)</f>
        <v>0</v>
      </c>
      <c r="X49" s="1014">
        <f>SUM(H60:H61)</f>
        <v>0</v>
      </c>
      <c r="Y49" s="1014">
        <f t="shared" si="54"/>
        <v>0</v>
      </c>
      <c r="Z49" s="1014">
        <f t="shared" ref="Z49:AE49" si="67">SUM(I60:I61)</f>
        <v>0</v>
      </c>
      <c r="AA49" s="1014">
        <f t="shared" si="67"/>
        <v>0</v>
      </c>
      <c r="AB49" s="1014">
        <f t="shared" si="67"/>
        <v>0</v>
      </c>
      <c r="AC49" s="1014">
        <f t="shared" si="67"/>
        <v>0</v>
      </c>
      <c r="AD49" s="1014">
        <f t="shared" si="67"/>
        <v>0</v>
      </c>
      <c r="AE49" s="1014">
        <f t="shared" si="67"/>
        <v>0</v>
      </c>
      <c r="AF49" s="1014">
        <f t="shared" si="56"/>
        <v>0</v>
      </c>
      <c r="AG49" s="1014"/>
      <c r="AH49" s="1014"/>
      <c r="AI49" s="1014"/>
      <c r="AJ49" s="1014"/>
      <c r="AK49" s="1014"/>
      <c r="AL49" s="1014"/>
      <c r="AM49" s="1014"/>
      <c r="AN49" s="1014"/>
      <c r="AO49" s="1014"/>
      <c r="AP49" s="1014"/>
      <c r="AQ49" s="1014"/>
      <c r="AR49" s="1014"/>
      <c r="AS49" s="1014"/>
      <c r="AU49" s="362"/>
      <c r="AV49" s="362"/>
      <c r="AW49" s="362"/>
    </row>
    <row r="50" spans="1:49" ht="16.149999999999999">
      <c r="A50" s="997">
        <f t="shared" si="57"/>
        <v>46272</v>
      </c>
      <c r="B50" s="1146"/>
      <c r="C50" s="1146"/>
      <c r="D50" s="1146"/>
      <c r="E50" s="1146"/>
      <c r="F50" s="1146"/>
      <c r="G50" s="1146"/>
      <c r="H50" s="1146"/>
      <c r="I50" s="1145"/>
      <c r="J50" s="1145"/>
      <c r="K50" s="1149"/>
      <c r="L50" s="1223"/>
      <c r="M50" s="1223"/>
      <c r="N50" s="1223"/>
      <c r="O50" s="1169"/>
      <c r="P50" s="1049" t="s">
        <v>169</v>
      </c>
      <c r="Q50" s="1014">
        <f>SUM(B62:B63)</f>
        <v>0</v>
      </c>
      <c r="R50" s="1014">
        <f>SUM(C62:C63)</f>
        <v>0</v>
      </c>
      <c r="S50" s="1014">
        <f>SUM(D62:D63)</f>
        <v>0</v>
      </c>
      <c r="T50" s="1014">
        <f t="shared" si="53"/>
        <v>0</v>
      </c>
      <c r="U50" s="1014">
        <f>SUM(E62:E63)</f>
        <v>0</v>
      </c>
      <c r="V50" s="1014">
        <f>SUM(F62:F63)</f>
        <v>0</v>
      </c>
      <c r="W50" s="1014">
        <f>SUM(G62:G63)</f>
        <v>0</v>
      </c>
      <c r="X50" s="1014">
        <f>SUM(H62:H63)</f>
        <v>0</v>
      </c>
      <c r="Y50" s="1014">
        <f t="shared" si="54"/>
        <v>0</v>
      </c>
      <c r="Z50" s="1014">
        <f t="shared" ref="Z50:AE50" si="68">SUM(I62:I63)</f>
        <v>0</v>
      </c>
      <c r="AA50" s="1014">
        <f t="shared" si="68"/>
        <v>0</v>
      </c>
      <c r="AB50" s="1014">
        <f t="shared" si="68"/>
        <v>0</v>
      </c>
      <c r="AC50" s="1014">
        <f t="shared" si="68"/>
        <v>0</v>
      </c>
      <c r="AD50" s="1014">
        <f t="shared" si="68"/>
        <v>0</v>
      </c>
      <c r="AE50" s="1014">
        <f t="shared" si="68"/>
        <v>0</v>
      </c>
      <c r="AF50" s="1014">
        <f t="shared" si="56"/>
        <v>0</v>
      </c>
      <c r="AG50" s="1014"/>
      <c r="AH50" s="1014"/>
      <c r="AI50" s="1014"/>
      <c r="AJ50" s="1014"/>
      <c r="AK50" s="1014"/>
      <c r="AL50" s="1014"/>
      <c r="AM50" s="1014"/>
      <c r="AN50" s="1014"/>
      <c r="AO50" s="1014"/>
      <c r="AP50" s="1014"/>
      <c r="AQ50" s="1014"/>
      <c r="AR50" s="1014"/>
      <c r="AS50" s="1014"/>
      <c r="AU50" s="362"/>
      <c r="AV50" s="362"/>
      <c r="AW50" s="362"/>
    </row>
    <row r="51" spans="1:49" ht="16.149999999999999">
      <c r="A51" s="998">
        <f t="shared" si="57"/>
        <v>46272</v>
      </c>
      <c r="B51" s="1146"/>
      <c r="C51" s="1146"/>
      <c r="D51" s="1146"/>
      <c r="E51" s="1146"/>
      <c r="F51" s="1146"/>
      <c r="G51" s="1146"/>
      <c r="H51" s="1146"/>
      <c r="I51" s="1149"/>
      <c r="J51" s="1149"/>
      <c r="K51" s="1149"/>
      <c r="L51" s="1223"/>
      <c r="M51" s="1223"/>
      <c r="N51" s="1223"/>
      <c r="O51" s="1169"/>
      <c r="P51" s="1049" t="s">
        <v>170</v>
      </c>
      <c r="Q51" s="1014">
        <f>SUM(B64:B65)</f>
        <v>0</v>
      </c>
      <c r="R51" s="1014">
        <f>SUM(C64:C65)</f>
        <v>0</v>
      </c>
      <c r="S51" s="1014">
        <f>SUM(D64:D65)</f>
        <v>0</v>
      </c>
      <c r="T51" s="1014">
        <f t="shared" si="53"/>
        <v>0</v>
      </c>
      <c r="U51" s="1014">
        <f>SUM(E64:E65)</f>
        <v>0</v>
      </c>
      <c r="V51" s="1014">
        <f>SUM(F64:F65)</f>
        <v>0</v>
      </c>
      <c r="W51" s="1014">
        <f>SUM(G64:G65)</f>
        <v>0</v>
      </c>
      <c r="X51" s="1014">
        <f>SUM(H64:H65)</f>
        <v>0</v>
      </c>
      <c r="Y51" s="1014">
        <f t="shared" si="54"/>
        <v>0</v>
      </c>
      <c r="Z51" s="1014">
        <f t="shared" ref="Z51:AE51" si="69">SUM(I64:I65)</f>
        <v>0</v>
      </c>
      <c r="AA51" s="1014">
        <f t="shared" si="69"/>
        <v>0</v>
      </c>
      <c r="AB51" s="1014">
        <f t="shared" si="69"/>
        <v>0</v>
      </c>
      <c r="AC51" s="1014">
        <f t="shared" si="69"/>
        <v>0</v>
      </c>
      <c r="AD51" s="1014">
        <f t="shared" si="69"/>
        <v>0</v>
      </c>
      <c r="AE51" s="1014">
        <f t="shared" si="69"/>
        <v>0</v>
      </c>
      <c r="AF51" s="1014">
        <f t="shared" si="56"/>
        <v>0</v>
      </c>
      <c r="AG51" s="1014"/>
      <c r="AH51" s="1014"/>
      <c r="AI51" s="1014"/>
      <c r="AJ51" s="1014"/>
      <c r="AK51" s="1014"/>
      <c r="AL51" s="1014"/>
      <c r="AM51" s="1014"/>
      <c r="AN51" s="1014"/>
      <c r="AO51" s="1014"/>
      <c r="AP51" s="1014"/>
      <c r="AQ51" s="1014"/>
      <c r="AR51" s="1014"/>
      <c r="AS51" s="1014"/>
      <c r="AU51" s="362"/>
      <c r="AV51" s="362"/>
      <c r="AW51" s="362"/>
    </row>
    <row r="52" spans="1:49" ht="16.149999999999999">
      <c r="A52" s="997">
        <f t="shared" si="57"/>
        <v>46273</v>
      </c>
      <c r="B52" s="1146"/>
      <c r="C52" s="1146"/>
      <c r="D52" s="1146"/>
      <c r="E52" s="1146"/>
      <c r="F52" s="1146"/>
      <c r="G52" s="1146"/>
      <c r="H52" s="1146"/>
      <c r="I52" s="1149"/>
      <c r="J52" s="1149"/>
      <c r="K52" s="1149"/>
      <c r="L52" s="1223"/>
      <c r="M52" s="1223"/>
      <c r="N52" s="1223"/>
      <c r="O52" s="1169"/>
      <c r="P52" s="1049" t="s">
        <v>171</v>
      </c>
      <c r="Q52" s="1014">
        <f>SUM(B66:B67)</f>
        <v>0</v>
      </c>
      <c r="R52" s="1014">
        <f>SUM(C66:C67)</f>
        <v>0</v>
      </c>
      <c r="S52" s="1014">
        <f>SUM(D66:D67)</f>
        <v>0</v>
      </c>
      <c r="T52" s="1014">
        <f t="shared" si="53"/>
        <v>0</v>
      </c>
      <c r="U52" s="1014">
        <f>SUM(E66:E67)</f>
        <v>0</v>
      </c>
      <c r="V52" s="1014">
        <f>SUM(F66:F67)</f>
        <v>0</v>
      </c>
      <c r="W52" s="1014">
        <f>SUM(G66:G67)</f>
        <v>0</v>
      </c>
      <c r="X52" s="1014">
        <f>SUM(H66:H67)</f>
        <v>0</v>
      </c>
      <c r="Y52" s="1014">
        <f t="shared" si="54"/>
        <v>0</v>
      </c>
      <c r="Z52" s="1014">
        <f t="shared" ref="Z52:AE52" si="70">SUM(I66:I67)</f>
        <v>0</v>
      </c>
      <c r="AA52" s="1014">
        <f t="shared" si="70"/>
        <v>0</v>
      </c>
      <c r="AB52" s="1014">
        <f t="shared" si="70"/>
        <v>0</v>
      </c>
      <c r="AC52" s="1014">
        <f t="shared" si="70"/>
        <v>0</v>
      </c>
      <c r="AD52" s="1014">
        <f t="shared" si="70"/>
        <v>0</v>
      </c>
      <c r="AE52" s="1014">
        <f t="shared" si="70"/>
        <v>0</v>
      </c>
      <c r="AF52" s="1014">
        <f t="shared" si="56"/>
        <v>0</v>
      </c>
      <c r="AG52" s="1014"/>
      <c r="AH52" s="1014"/>
      <c r="AI52" s="1014"/>
      <c r="AJ52" s="1014"/>
      <c r="AK52" s="1014"/>
      <c r="AL52" s="1014"/>
      <c r="AM52" s="1014"/>
      <c r="AN52" s="1014"/>
      <c r="AO52" s="1014"/>
      <c r="AP52" s="1014"/>
      <c r="AQ52" s="1014"/>
      <c r="AR52" s="1014"/>
      <c r="AS52" s="1014"/>
      <c r="AU52" s="362"/>
      <c r="AV52" s="362"/>
      <c r="AW52" s="362"/>
    </row>
    <row r="53" spans="1:49" ht="16.149999999999999">
      <c r="A53" s="998">
        <f t="shared" si="57"/>
        <v>46273</v>
      </c>
      <c r="B53" s="1146"/>
      <c r="C53" s="1146"/>
      <c r="D53" s="1146"/>
      <c r="E53" s="1146"/>
      <c r="F53" s="1146"/>
      <c r="G53" s="1146"/>
      <c r="H53" s="1146"/>
      <c r="I53" s="1150"/>
      <c r="J53" s="1150"/>
      <c r="K53" s="1151"/>
      <c r="L53" s="1223"/>
      <c r="M53" s="1223"/>
      <c r="N53" s="1223"/>
      <c r="O53" s="1170"/>
      <c r="P53" s="1049" t="s">
        <v>172</v>
      </c>
      <c r="Q53" s="1014">
        <f>SUM(B68:B69)</f>
        <v>0</v>
      </c>
      <c r="R53" s="1014">
        <f>SUM(C68:C69)</f>
        <v>0</v>
      </c>
      <c r="S53" s="1014">
        <f>SUM(D68:D69)</f>
        <v>0</v>
      </c>
      <c r="T53" s="1014">
        <f t="shared" si="53"/>
        <v>0</v>
      </c>
      <c r="U53" s="1014">
        <f>SUM(E68:E69)</f>
        <v>0</v>
      </c>
      <c r="V53" s="1014">
        <f>SUM(F68:F69)</f>
        <v>0</v>
      </c>
      <c r="W53" s="1014">
        <f>SUM(G68:G69)</f>
        <v>0</v>
      </c>
      <c r="X53" s="1014">
        <f>SUM(H68:H69)</f>
        <v>0</v>
      </c>
      <c r="Y53" s="1014">
        <f t="shared" si="54"/>
        <v>0</v>
      </c>
      <c r="Z53" s="1014">
        <f t="shared" ref="Z53:AE53" si="71">SUM(I68:I69)</f>
        <v>0</v>
      </c>
      <c r="AA53" s="1014">
        <f t="shared" si="71"/>
        <v>0</v>
      </c>
      <c r="AB53" s="1014">
        <f t="shared" si="71"/>
        <v>0</v>
      </c>
      <c r="AC53" s="1014">
        <f t="shared" si="71"/>
        <v>0</v>
      </c>
      <c r="AD53" s="1014">
        <f t="shared" si="71"/>
        <v>0</v>
      </c>
      <c r="AE53" s="1014">
        <f t="shared" si="71"/>
        <v>0</v>
      </c>
      <c r="AF53" s="1014">
        <f t="shared" si="56"/>
        <v>0</v>
      </c>
      <c r="AG53" s="1014"/>
      <c r="AH53" s="1014"/>
      <c r="AI53" s="1014"/>
      <c r="AJ53" s="1014"/>
      <c r="AK53" s="1014"/>
      <c r="AL53" s="1014"/>
      <c r="AM53" s="1014"/>
      <c r="AN53" s="1014"/>
      <c r="AO53" s="1014"/>
      <c r="AP53" s="1014"/>
      <c r="AQ53" s="1014"/>
      <c r="AR53" s="1014"/>
      <c r="AS53" s="1014"/>
      <c r="AU53" s="362"/>
      <c r="AV53" s="362"/>
      <c r="AW53" s="362"/>
    </row>
    <row r="54" spans="1:49" ht="16.149999999999999">
      <c r="A54" s="997">
        <f t="shared" si="57"/>
        <v>46274</v>
      </c>
      <c r="B54" s="1146"/>
      <c r="C54" s="1146"/>
      <c r="D54" s="1146"/>
      <c r="E54" s="1146"/>
      <c r="F54" s="1152"/>
      <c r="G54" s="1146"/>
      <c r="H54" s="1146"/>
      <c r="I54" s="1150"/>
      <c r="J54" s="1150"/>
      <c r="K54" s="1153"/>
      <c r="L54" s="1223"/>
      <c r="M54" s="1223"/>
      <c r="N54" s="1223"/>
      <c r="O54" s="1171"/>
      <c r="P54" s="1049" t="s">
        <v>173</v>
      </c>
      <c r="Q54" s="1014">
        <f>SUM(B70:B71)</f>
        <v>0</v>
      </c>
      <c r="R54" s="1014">
        <f>SUM(C70:C71)</f>
        <v>0</v>
      </c>
      <c r="S54" s="1014">
        <f>SUM(D70:D71)</f>
        <v>0</v>
      </c>
      <c r="T54" s="1014">
        <f t="shared" si="53"/>
        <v>0</v>
      </c>
      <c r="U54" s="1014">
        <f>SUM(E70:E71)</f>
        <v>0</v>
      </c>
      <c r="V54" s="1014">
        <f>SUM(F70:F71)</f>
        <v>0</v>
      </c>
      <c r="W54" s="1014">
        <f>SUM(G70:G71)</f>
        <v>0</v>
      </c>
      <c r="X54" s="1014">
        <f>SUM(H70:H71)</f>
        <v>0</v>
      </c>
      <c r="Y54" s="1014">
        <f t="shared" si="54"/>
        <v>0</v>
      </c>
      <c r="Z54" s="1014">
        <f t="shared" ref="Z54:AE54" si="72">SUM(I70:I71)</f>
        <v>0</v>
      </c>
      <c r="AA54" s="1014">
        <f t="shared" si="72"/>
        <v>0</v>
      </c>
      <c r="AB54" s="1014">
        <f t="shared" si="72"/>
        <v>0</v>
      </c>
      <c r="AC54" s="1014">
        <f t="shared" si="72"/>
        <v>0</v>
      </c>
      <c r="AD54" s="1014">
        <f t="shared" si="72"/>
        <v>0</v>
      </c>
      <c r="AE54" s="1014">
        <f t="shared" si="72"/>
        <v>0</v>
      </c>
      <c r="AF54" s="1014">
        <f t="shared" si="56"/>
        <v>0</v>
      </c>
      <c r="AG54" s="1014"/>
      <c r="AH54" s="1014"/>
      <c r="AI54" s="1014"/>
      <c r="AJ54" s="1014"/>
      <c r="AK54" s="1014"/>
      <c r="AL54" s="1014"/>
      <c r="AM54" s="1014"/>
      <c r="AN54" s="1014"/>
      <c r="AO54" s="1014"/>
      <c r="AP54" s="1014"/>
      <c r="AQ54" s="1014"/>
      <c r="AR54" s="1014"/>
      <c r="AS54" s="1014"/>
      <c r="AU54" s="362"/>
      <c r="AV54" s="362"/>
      <c r="AW54" s="362"/>
    </row>
    <row r="55" spans="1:49" ht="16.149999999999999">
      <c r="A55" s="998">
        <f t="shared" si="57"/>
        <v>46274</v>
      </c>
      <c r="B55" s="1146"/>
      <c r="C55" s="1146"/>
      <c r="D55" s="1146"/>
      <c r="E55" s="1146"/>
      <c r="F55" s="1146"/>
      <c r="G55" s="1146"/>
      <c r="H55" s="1146"/>
      <c r="I55" s="1151"/>
      <c r="J55" s="1151"/>
      <c r="K55" s="1151"/>
      <c r="L55" s="1223"/>
      <c r="M55" s="1223"/>
      <c r="N55" s="1223"/>
      <c r="O55" s="1170"/>
      <c r="P55" s="1049" t="s">
        <v>174</v>
      </c>
      <c r="Q55" s="1014">
        <f>SUM(B72:B73)</f>
        <v>0</v>
      </c>
      <c r="R55" s="1014">
        <f>SUM(C72:C73)</f>
        <v>0</v>
      </c>
      <c r="S55" s="1014">
        <f>SUM(D72:D73)</f>
        <v>0</v>
      </c>
      <c r="T55" s="1014">
        <f t="shared" si="53"/>
        <v>0</v>
      </c>
      <c r="U55" s="1014">
        <f>SUM(E72:E73)</f>
        <v>0</v>
      </c>
      <c r="V55" s="1014">
        <f>SUM(F72:F73)</f>
        <v>0</v>
      </c>
      <c r="W55" s="1014">
        <f>SUM(G72:G73)</f>
        <v>0</v>
      </c>
      <c r="X55" s="1014">
        <f>SUM(H72:H73)</f>
        <v>0</v>
      </c>
      <c r="Y55" s="1014">
        <f t="shared" si="54"/>
        <v>0</v>
      </c>
      <c r="Z55" s="1014">
        <f t="shared" ref="Z55:AE55" si="73">SUM(I72:I73)</f>
        <v>0</v>
      </c>
      <c r="AA55" s="1014">
        <f t="shared" si="73"/>
        <v>0</v>
      </c>
      <c r="AB55" s="1014">
        <f t="shared" si="73"/>
        <v>0</v>
      </c>
      <c r="AC55" s="1014">
        <f t="shared" si="73"/>
        <v>0</v>
      </c>
      <c r="AD55" s="1014">
        <f t="shared" si="73"/>
        <v>0</v>
      </c>
      <c r="AE55" s="1014">
        <f t="shared" si="73"/>
        <v>0</v>
      </c>
      <c r="AF55" s="1014">
        <f t="shared" si="56"/>
        <v>0</v>
      </c>
      <c r="AG55" s="1014"/>
      <c r="AH55" s="1014"/>
      <c r="AI55" s="1014"/>
      <c r="AJ55" s="1014"/>
      <c r="AK55" s="1014"/>
      <c r="AL55" s="1014"/>
      <c r="AM55" s="1014"/>
      <c r="AN55" s="1014"/>
      <c r="AO55" s="1014"/>
      <c r="AP55" s="1014"/>
      <c r="AQ55" s="1014"/>
      <c r="AR55" s="1014"/>
      <c r="AS55" s="1014"/>
      <c r="AU55" s="362"/>
      <c r="AV55" s="362"/>
      <c r="AW55" s="362"/>
    </row>
    <row r="56" spans="1:49" ht="16.149999999999999">
      <c r="A56" s="997">
        <f t="shared" si="57"/>
        <v>46275</v>
      </c>
      <c r="B56" s="1154"/>
      <c r="C56" s="1146"/>
      <c r="D56" s="1146"/>
      <c r="E56" s="1146"/>
      <c r="F56" s="1146"/>
      <c r="G56" s="1146"/>
      <c r="H56" s="1146"/>
      <c r="I56" s="1146"/>
      <c r="J56" s="1146"/>
      <c r="K56" s="1153"/>
      <c r="L56" s="1223"/>
      <c r="M56" s="1223"/>
      <c r="N56" s="1223"/>
      <c r="O56" s="1171"/>
      <c r="P56" s="1049" t="s">
        <v>175</v>
      </c>
      <c r="Q56" s="1014">
        <f>SUM(B74:B75)</f>
        <v>0</v>
      </c>
      <c r="R56" s="1014">
        <f>SUM(C74:C75)</f>
        <v>0</v>
      </c>
      <c r="S56" s="1014">
        <f>SUM(D74:D75)</f>
        <v>0</v>
      </c>
      <c r="T56" s="1014">
        <f t="shared" si="53"/>
        <v>0</v>
      </c>
      <c r="U56" s="1014">
        <f>SUM(E74:E75)</f>
        <v>0</v>
      </c>
      <c r="V56" s="1014">
        <f>SUM(F74:F75)</f>
        <v>0</v>
      </c>
      <c r="W56" s="1014">
        <f>SUM(G74:G75)</f>
        <v>0</v>
      </c>
      <c r="X56" s="1014">
        <f>SUM(H74:H75)</f>
        <v>0</v>
      </c>
      <c r="Y56" s="1014">
        <f t="shared" si="54"/>
        <v>0</v>
      </c>
      <c r="Z56" s="1014">
        <f t="shared" ref="Z56:AE56" si="74">SUM(I74:I75)</f>
        <v>0</v>
      </c>
      <c r="AA56" s="1014">
        <f t="shared" si="74"/>
        <v>0</v>
      </c>
      <c r="AB56" s="1014">
        <f t="shared" si="74"/>
        <v>0</v>
      </c>
      <c r="AC56" s="1014">
        <f t="shared" si="74"/>
        <v>0</v>
      </c>
      <c r="AD56" s="1014">
        <f t="shared" si="74"/>
        <v>0</v>
      </c>
      <c r="AE56" s="1014">
        <f t="shared" si="74"/>
        <v>0</v>
      </c>
      <c r="AF56" s="1014">
        <f t="shared" si="56"/>
        <v>0</v>
      </c>
      <c r="AG56" s="1014"/>
      <c r="AH56" s="1014"/>
      <c r="AI56" s="1014"/>
      <c r="AJ56" s="1014"/>
      <c r="AK56" s="1014"/>
      <c r="AL56" s="1014"/>
      <c r="AM56" s="1014"/>
      <c r="AN56" s="1014"/>
      <c r="AO56" s="1014"/>
      <c r="AP56" s="1014"/>
      <c r="AQ56" s="1014"/>
      <c r="AR56" s="1014"/>
      <c r="AS56" s="1014"/>
      <c r="AU56" s="362"/>
      <c r="AV56" s="362"/>
      <c r="AW56" s="362"/>
    </row>
    <row r="57" spans="1:49" ht="16.149999999999999">
      <c r="A57" s="998">
        <f t="shared" si="57"/>
        <v>46275</v>
      </c>
      <c r="B57" s="1154"/>
      <c r="C57" s="1146"/>
      <c r="D57" s="1146"/>
      <c r="E57" s="1146"/>
      <c r="F57" s="1146"/>
      <c r="G57" s="1146"/>
      <c r="H57" s="1146"/>
      <c r="I57" s="1151"/>
      <c r="J57" s="1151"/>
      <c r="K57" s="1151"/>
      <c r="L57" s="1223"/>
      <c r="M57" s="1223"/>
      <c r="N57" s="1223"/>
      <c r="O57" s="1170"/>
      <c r="P57" s="1049" t="s">
        <v>176</v>
      </c>
      <c r="Q57" s="1014">
        <f>SUM(B76:B77)</f>
        <v>0</v>
      </c>
      <c r="R57" s="1014">
        <f>SUM(C76:C77)</f>
        <v>0</v>
      </c>
      <c r="S57" s="1014">
        <f>SUM(D76:D77)</f>
        <v>0</v>
      </c>
      <c r="T57" s="1014">
        <f t="shared" si="53"/>
        <v>0</v>
      </c>
      <c r="U57" s="1014">
        <f>SUM(E76:E77)</f>
        <v>0</v>
      </c>
      <c r="V57" s="1014">
        <f>SUM(F76:F77)</f>
        <v>0</v>
      </c>
      <c r="W57" s="1014">
        <f>SUM(G76:G77)</f>
        <v>0</v>
      </c>
      <c r="X57" s="1014">
        <f>SUM(H76:H77)</f>
        <v>0</v>
      </c>
      <c r="Y57" s="1014">
        <f t="shared" si="54"/>
        <v>0</v>
      </c>
      <c r="Z57" s="1014">
        <f t="shared" ref="Z57:AE57" si="75">SUM(I76:I77)</f>
        <v>0</v>
      </c>
      <c r="AA57" s="1014">
        <f t="shared" si="75"/>
        <v>0</v>
      </c>
      <c r="AB57" s="1014">
        <f t="shared" si="75"/>
        <v>0</v>
      </c>
      <c r="AC57" s="1014">
        <f t="shared" si="75"/>
        <v>0</v>
      </c>
      <c r="AD57" s="1014">
        <f t="shared" si="75"/>
        <v>0</v>
      </c>
      <c r="AE57" s="1014">
        <f t="shared" si="75"/>
        <v>0</v>
      </c>
      <c r="AF57" s="1014">
        <f t="shared" si="56"/>
        <v>0</v>
      </c>
      <c r="AG57" s="1014"/>
      <c r="AH57" s="1014"/>
      <c r="AI57" s="1014"/>
      <c r="AJ57" s="1014"/>
      <c r="AK57" s="1014"/>
      <c r="AL57" s="1014"/>
      <c r="AM57" s="1014"/>
      <c r="AN57" s="1014"/>
      <c r="AO57" s="1014"/>
      <c r="AP57" s="1014"/>
      <c r="AQ57" s="1014"/>
      <c r="AR57" s="1014"/>
      <c r="AS57" s="1014"/>
      <c r="AU57" s="362"/>
      <c r="AV57" s="362"/>
      <c r="AW57" s="362"/>
    </row>
    <row r="58" spans="1:49" ht="16.149999999999999">
      <c r="A58" s="997">
        <f t="shared" si="57"/>
        <v>46276</v>
      </c>
      <c r="B58" s="1146"/>
      <c r="C58" s="1146"/>
      <c r="D58" s="1146"/>
      <c r="E58" s="1146"/>
      <c r="F58" s="1146"/>
      <c r="G58" s="1146"/>
      <c r="H58" s="1146"/>
      <c r="I58" s="1146"/>
      <c r="J58" s="1155"/>
      <c r="K58" s="1223"/>
      <c r="L58" s="1223"/>
      <c r="M58" s="1223"/>
      <c r="N58" s="1223"/>
      <c r="O58" s="1171"/>
      <c r="P58" s="1049" t="s">
        <v>177</v>
      </c>
      <c r="Q58" s="1014">
        <f>SUM(B78:B79)</f>
        <v>0</v>
      </c>
      <c r="R58" s="1014">
        <f>SUM(C78:C79)</f>
        <v>0</v>
      </c>
      <c r="S58" s="1014">
        <f>SUM(D78:D79)</f>
        <v>0</v>
      </c>
      <c r="T58" s="1014">
        <f t="shared" si="53"/>
        <v>0</v>
      </c>
      <c r="U58" s="1014">
        <f>SUM(E78:E79)</f>
        <v>0</v>
      </c>
      <c r="V58" s="1014">
        <f>SUM(F78:F79)</f>
        <v>0</v>
      </c>
      <c r="W58" s="1014">
        <f>SUM(G78:G79)</f>
        <v>0</v>
      </c>
      <c r="X58" s="1014">
        <f>SUM(H78:H79)</f>
        <v>0</v>
      </c>
      <c r="Y58" s="1014">
        <f t="shared" si="54"/>
        <v>0</v>
      </c>
      <c r="Z58" s="1014">
        <f t="shared" ref="Z58:AE58" si="76">SUM(I78:I79)</f>
        <v>0</v>
      </c>
      <c r="AA58" s="1014">
        <f t="shared" si="76"/>
        <v>0</v>
      </c>
      <c r="AB58" s="1014">
        <f t="shared" si="76"/>
        <v>0</v>
      </c>
      <c r="AC58" s="1014">
        <f t="shared" si="76"/>
        <v>0</v>
      </c>
      <c r="AD58" s="1014">
        <f t="shared" si="76"/>
        <v>0</v>
      </c>
      <c r="AE58" s="1014">
        <f t="shared" si="76"/>
        <v>0</v>
      </c>
      <c r="AF58" s="1014">
        <f t="shared" si="56"/>
        <v>0</v>
      </c>
      <c r="AG58" s="1014"/>
      <c r="AH58" s="1014"/>
      <c r="AI58" s="1014"/>
      <c r="AJ58" s="1014"/>
      <c r="AK58" s="1014"/>
      <c r="AL58" s="1014"/>
      <c r="AM58" s="1014"/>
      <c r="AN58" s="1014"/>
      <c r="AO58" s="1014"/>
      <c r="AP58" s="1014"/>
      <c r="AQ58" s="1014"/>
      <c r="AR58" s="1014"/>
      <c r="AS58" s="1014"/>
      <c r="AU58" s="362"/>
      <c r="AV58" s="362"/>
      <c r="AW58" s="362"/>
    </row>
    <row r="59" spans="1:49" ht="16.149999999999999">
      <c r="A59" s="998">
        <f t="shared" si="57"/>
        <v>46276</v>
      </c>
      <c r="B59" s="1146"/>
      <c r="C59" s="1146"/>
      <c r="D59" s="1146"/>
      <c r="E59" s="1146"/>
      <c r="F59" s="1146"/>
      <c r="G59" s="1146"/>
      <c r="H59" s="1146"/>
      <c r="I59" s="1151"/>
      <c r="J59" s="1151"/>
      <c r="K59" s="1151"/>
      <c r="L59" s="1223"/>
      <c r="M59" s="1223"/>
      <c r="N59" s="1223"/>
      <c r="O59" s="1170"/>
      <c r="P59" s="1049" t="s">
        <v>178</v>
      </c>
      <c r="Q59" s="1014">
        <f>SUM(B80:B81)</f>
        <v>0</v>
      </c>
      <c r="R59" s="1014">
        <f>SUM(C80:C81)</f>
        <v>0</v>
      </c>
      <c r="S59" s="1014">
        <f>SUM(D80:D81)</f>
        <v>0</v>
      </c>
      <c r="T59" s="1014">
        <f t="shared" si="53"/>
        <v>0</v>
      </c>
      <c r="U59" s="1014">
        <f>SUM(E80:E81)</f>
        <v>0</v>
      </c>
      <c r="V59" s="1014">
        <f>SUM(F80:F81)</f>
        <v>0</v>
      </c>
      <c r="W59" s="1014">
        <f>SUM(G80:G81)</f>
        <v>0</v>
      </c>
      <c r="X59" s="1014">
        <f>SUM(H80:H81)</f>
        <v>0</v>
      </c>
      <c r="Y59" s="1014">
        <f t="shared" si="54"/>
        <v>0</v>
      </c>
      <c r="Z59" s="1014">
        <f t="shared" ref="Z59:AE59" si="77">SUM(I80:I81)</f>
        <v>0</v>
      </c>
      <c r="AA59" s="1014">
        <f t="shared" si="77"/>
        <v>0</v>
      </c>
      <c r="AB59" s="1014">
        <f t="shared" si="77"/>
        <v>0</v>
      </c>
      <c r="AC59" s="1014">
        <f t="shared" si="77"/>
        <v>0</v>
      </c>
      <c r="AD59" s="1014">
        <f t="shared" si="77"/>
        <v>0</v>
      </c>
      <c r="AE59" s="1014">
        <f t="shared" si="77"/>
        <v>0</v>
      </c>
      <c r="AF59" s="1014">
        <f t="shared" si="56"/>
        <v>0</v>
      </c>
      <c r="AG59" s="1014"/>
      <c r="AH59" s="1014"/>
      <c r="AI59" s="1014"/>
      <c r="AJ59" s="1014"/>
      <c r="AK59" s="1014"/>
      <c r="AL59" s="1014"/>
      <c r="AM59" s="1014"/>
      <c r="AN59" s="1014"/>
      <c r="AO59" s="1014"/>
      <c r="AP59" s="1014"/>
      <c r="AQ59" s="1014"/>
      <c r="AR59" s="1014"/>
      <c r="AS59" s="1014"/>
      <c r="AU59" s="362"/>
      <c r="AV59" s="362"/>
      <c r="AW59" s="362"/>
    </row>
    <row r="60" spans="1:49" ht="16.149999999999999">
      <c r="A60" s="997">
        <f t="shared" si="57"/>
        <v>46277</v>
      </c>
      <c r="B60" s="1146"/>
      <c r="C60" s="1146"/>
      <c r="D60" s="1146"/>
      <c r="E60" s="1158"/>
      <c r="F60" s="1158"/>
      <c r="G60" s="1158"/>
      <c r="H60" s="1158"/>
      <c r="I60" s="1205"/>
      <c r="J60" s="1205"/>
      <c r="K60" s="1156"/>
      <c r="L60" s="1223"/>
      <c r="M60" s="1223"/>
      <c r="N60" s="1223"/>
      <c r="O60" s="1172"/>
      <c r="P60" s="1049" t="s">
        <v>179</v>
      </c>
      <c r="Q60" s="1014">
        <f>SUM(B82:B83)</f>
        <v>0</v>
      </c>
      <c r="R60" s="1014">
        <f>SUM(C82:C83)</f>
        <v>0</v>
      </c>
      <c r="S60" s="1014">
        <f>SUM(D82:D83)</f>
        <v>0</v>
      </c>
      <c r="T60" s="1014">
        <f t="shared" si="53"/>
        <v>0</v>
      </c>
      <c r="U60" s="1014">
        <f>SUM(E82:E83)</f>
        <v>0</v>
      </c>
      <c r="V60" s="1014">
        <f>SUM(F82:F83)</f>
        <v>0</v>
      </c>
      <c r="W60" s="1014">
        <f>SUM(G82:G83)</f>
        <v>0</v>
      </c>
      <c r="X60" s="1014">
        <f>SUM(H82:H83)</f>
        <v>0</v>
      </c>
      <c r="Y60" s="1014">
        <f t="shared" si="54"/>
        <v>0</v>
      </c>
      <c r="Z60" s="1014">
        <f t="shared" ref="Z60:AE60" si="78">SUM(I82:I83)</f>
        <v>0</v>
      </c>
      <c r="AA60" s="1014">
        <f t="shared" si="78"/>
        <v>0</v>
      </c>
      <c r="AB60" s="1014">
        <f t="shared" si="78"/>
        <v>0</v>
      </c>
      <c r="AC60" s="1014">
        <f t="shared" si="78"/>
        <v>0</v>
      </c>
      <c r="AD60" s="1014">
        <f t="shared" si="78"/>
        <v>0</v>
      </c>
      <c r="AE60" s="1014">
        <f t="shared" si="78"/>
        <v>0</v>
      </c>
      <c r="AF60" s="1014">
        <f t="shared" si="56"/>
        <v>0</v>
      </c>
      <c r="AG60" s="1014"/>
      <c r="AH60" s="1014"/>
      <c r="AI60" s="1014"/>
      <c r="AJ60" s="1014"/>
      <c r="AK60" s="1014"/>
      <c r="AL60" s="1014"/>
      <c r="AM60" s="1014"/>
      <c r="AN60" s="1014"/>
      <c r="AO60" s="1014"/>
      <c r="AP60" s="1014"/>
      <c r="AQ60" s="1014"/>
      <c r="AR60" s="1014"/>
      <c r="AS60" s="1014"/>
      <c r="AU60" s="362"/>
      <c r="AV60" s="362"/>
      <c r="AW60" s="362"/>
    </row>
    <row r="61" spans="1:49" ht="16.149999999999999">
      <c r="A61" s="998">
        <f t="shared" si="57"/>
        <v>46277</v>
      </c>
      <c r="B61" s="1146"/>
      <c r="C61" s="1146"/>
      <c r="D61" s="1146"/>
      <c r="E61" s="1146"/>
      <c r="F61" s="1146"/>
      <c r="G61" s="1146"/>
      <c r="H61" s="1146"/>
      <c r="I61" s="1157"/>
      <c r="J61" s="1158"/>
      <c r="K61" s="1157"/>
      <c r="L61" s="1223"/>
      <c r="M61" s="1223"/>
      <c r="N61" s="1223"/>
      <c r="O61" s="1173"/>
      <c r="P61" s="1049" t="s">
        <v>180</v>
      </c>
      <c r="Q61" s="1014">
        <f>SUM(B84:B85)</f>
        <v>0</v>
      </c>
      <c r="R61" s="1014">
        <f>SUM(C84:C85)</f>
        <v>0</v>
      </c>
      <c r="S61" s="1014">
        <f>SUM(D84:D85)</f>
        <v>0</v>
      </c>
      <c r="T61" s="1014">
        <f t="shared" si="53"/>
        <v>0</v>
      </c>
      <c r="U61" s="1014">
        <f>SUM(E84:E85)</f>
        <v>0</v>
      </c>
      <c r="V61" s="1014">
        <f>SUM(F84:F85)</f>
        <v>0</v>
      </c>
      <c r="W61" s="1014">
        <f>SUM(G84:G85)</f>
        <v>0</v>
      </c>
      <c r="X61" s="1014">
        <f>SUM(H84:H85)</f>
        <v>0</v>
      </c>
      <c r="Y61" s="1014">
        <f t="shared" si="54"/>
        <v>0</v>
      </c>
      <c r="Z61" s="1014">
        <f t="shared" ref="Z61:AE61" si="79">SUM(I84:I85)</f>
        <v>0</v>
      </c>
      <c r="AA61" s="1014">
        <f t="shared" si="79"/>
        <v>0</v>
      </c>
      <c r="AB61" s="1014">
        <f t="shared" si="79"/>
        <v>0</v>
      </c>
      <c r="AC61" s="1014">
        <f t="shared" si="79"/>
        <v>0</v>
      </c>
      <c r="AD61" s="1014">
        <f t="shared" si="79"/>
        <v>0</v>
      </c>
      <c r="AE61" s="1014">
        <f t="shared" si="79"/>
        <v>0</v>
      </c>
      <c r="AF61" s="1014">
        <f t="shared" si="56"/>
        <v>0</v>
      </c>
      <c r="AG61" s="1014"/>
      <c r="AH61" s="1014"/>
      <c r="AI61" s="1014"/>
      <c r="AJ61" s="1014"/>
      <c r="AK61" s="1014"/>
      <c r="AL61" s="1014"/>
      <c r="AM61" s="1014"/>
      <c r="AN61" s="1014"/>
      <c r="AO61" s="1014"/>
      <c r="AP61" s="1014"/>
      <c r="AQ61" s="1014"/>
      <c r="AR61" s="1014"/>
      <c r="AS61" s="1014"/>
      <c r="AU61" s="362"/>
      <c r="AV61" s="362"/>
      <c r="AW61" s="362"/>
    </row>
    <row r="62" spans="1:49" ht="16.149999999999999">
      <c r="A62" s="997">
        <f t="shared" si="57"/>
        <v>46278</v>
      </c>
      <c r="B62" s="1146"/>
      <c r="C62" s="1146"/>
      <c r="D62" s="1146"/>
      <c r="E62" s="1146"/>
      <c r="F62" s="1146"/>
      <c r="G62" s="1146"/>
      <c r="H62" s="1146"/>
      <c r="I62" s="1157"/>
      <c r="J62" s="1157"/>
      <c r="K62" s="1158"/>
      <c r="L62" s="1223"/>
      <c r="M62" s="1223"/>
      <c r="N62" s="1223"/>
      <c r="O62" s="1173"/>
      <c r="P62" s="1049" t="s">
        <v>181</v>
      </c>
      <c r="Q62" s="1014">
        <f>SUM(B86:B87)</f>
        <v>0</v>
      </c>
      <c r="R62" s="1014">
        <f>SUM(C86:C87)</f>
        <v>0</v>
      </c>
      <c r="S62" s="1014">
        <f>SUM(D86:D87)</f>
        <v>0</v>
      </c>
      <c r="T62" s="1014">
        <f t="shared" si="53"/>
        <v>0</v>
      </c>
      <c r="U62" s="1014">
        <f>SUM(E86:E87)</f>
        <v>0</v>
      </c>
      <c r="V62" s="1014">
        <f>SUM(F86:F87)</f>
        <v>0</v>
      </c>
      <c r="W62" s="1014">
        <f>SUM(G86:G87)</f>
        <v>0</v>
      </c>
      <c r="X62" s="1014">
        <f>SUM(H86:H87)</f>
        <v>0</v>
      </c>
      <c r="Y62" s="1014">
        <f t="shared" si="54"/>
        <v>0</v>
      </c>
      <c r="Z62" s="1014">
        <f t="shared" ref="Z62:AE62" si="80">SUM(I86:I87)</f>
        <v>0</v>
      </c>
      <c r="AA62" s="1014">
        <f t="shared" si="80"/>
        <v>0</v>
      </c>
      <c r="AB62" s="1014">
        <f t="shared" si="80"/>
        <v>0</v>
      </c>
      <c r="AC62" s="1014">
        <f t="shared" si="80"/>
        <v>0</v>
      </c>
      <c r="AD62" s="1014">
        <f t="shared" si="80"/>
        <v>0</v>
      </c>
      <c r="AE62" s="1014">
        <f t="shared" si="80"/>
        <v>0</v>
      </c>
      <c r="AF62" s="1014">
        <f t="shared" si="56"/>
        <v>0</v>
      </c>
      <c r="AG62" s="1014"/>
      <c r="AH62" s="1014"/>
      <c r="AI62" s="1014"/>
      <c r="AJ62" s="1014"/>
      <c r="AK62" s="1014"/>
      <c r="AL62" s="1014"/>
      <c r="AM62" s="1014"/>
      <c r="AN62" s="1014"/>
      <c r="AO62" s="1014"/>
      <c r="AP62" s="1014"/>
      <c r="AQ62" s="1014"/>
      <c r="AR62" s="1014"/>
      <c r="AS62" s="1014"/>
      <c r="AU62" s="362"/>
      <c r="AV62" s="362"/>
      <c r="AW62" s="362"/>
    </row>
    <row r="63" spans="1:49" ht="16.149999999999999">
      <c r="A63" s="998">
        <f t="shared" si="57"/>
        <v>46278</v>
      </c>
      <c r="B63" s="1146"/>
      <c r="C63" s="1146"/>
      <c r="D63" s="1146"/>
      <c r="E63" s="1146"/>
      <c r="F63" s="1146"/>
      <c r="G63" s="1146"/>
      <c r="H63" s="1146"/>
      <c r="I63" s="1157"/>
      <c r="J63" s="1205"/>
      <c r="K63" s="1157"/>
      <c r="L63" s="1223"/>
      <c r="M63" s="1223"/>
      <c r="N63" s="1223"/>
      <c r="O63" s="1173"/>
      <c r="P63" s="1049" t="s">
        <v>182</v>
      </c>
      <c r="Q63" s="1014">
        <f>SUM(B88:B89)</f>
        <v>0</v>
      </c>
      <c r="R63" s="1014">
        <f>SUM(C88:C89)</f>
        <v>0</v>
      </c>
      <c r="S63" s="1014">
        <f>SUM(D88:D89)</f>
        <v>0</v>
      </c>
      <c r="T63" s="1014">
        <f t="shared" si="53"/>
        <v>0</v>
      </c>
      <c r="U63" s="1014">
        <f>SUM(E88:E89)</f>
        <v>0</v>
      </c>
      <c r="V63" s="1014">
        <f>SUM(F88:F89)</f>
        <v>0</v>
      </c>
      <c r="W63" s="1014">
        <f>SUM(G88:G89)</f>
        <v>0</v>
      </c>
      <c r="X63" s="1014">
        <f>SUM(H88:H89)</f>
        <v>0</v>
      </c>
      <c r="Y63" s="1014">
        <f t="shared" si="54"/>
        <v>0</v>
      </c>
      <c r="Z63" s="1014">
        <f t="shared" ref="Z63:AE63" si="81">SUM(I88:I89)</f>
        <v>0</v>
      </c>
      <c r="AA63" s="1014">
        <f t="shared" si="81"/>
        <v>0</v>
      </c>
      <c r="AB63" s="1014">
        <f t="shared" si="81"/>
        <v>0</v>
      </c>
      <c r="AC63" s="1014">
        <f t="shared" si="81"/>
        <v>0</v>
      </c>
      <c r="AD63" s="1014">
        <f t="shared" si="81"/>
        <v>0</v>
      </c>
      <c r="AE63" s="1014">
        <f t="shared" si="81"/>
        <v>0</v>
      </c>
      <c r="AF63" s="1014">
        <f t="shared" si="56"/>
        <v>0</v>
      </c>
      <c r="AG63" s="1014"/>
      <c r="AH63" s="1014"/>
      <c r="AI63" s="1014"/>
      <c r="AJ63" s="1014"/>
      <c r="AK63" s="1014"/>
      <c r="AL63" s="1014"/>
      <c r="AM63" s="1014"/>
      <c r="AN63" s="1014"/>
      <c r="AO63" s="1014"/>
      <c r="AP63" s="1014"/>
      <c r="AQ63" s="1014"/>
      <c r="AR63" s="1014"/>
      <c r="AS63" s="1014"/>
      <c r="AU63" s="362"/>
      <c r="AV63" s="362"/>
      <c r="AW63" s="362"/>
    </row>
    <row r="64" spans="1:49" ht="16.149999999999999">
      <c r="A64" s="997">
        <f t="shared" si="57"/>
        <v>46279</v>
      </c>
      <c r="B64" s="1146"/>
      <c r="C64" s="1146"/>
      <c r="D64" s="1146"/>
      <c r="E64" s="1146"/>
      <c r="F64" s="1146"/>
      <c r="G64" s="1146"/>
      <c r="H64" s="1146"/>
      <c r="I64" s="1153"/>
      <c r="J64" s="1153"/>
      <c r="K64" s="1153"/>
      <c r="L64" s="1223"/>
      <c r="M64" s="1223"/>
      <c r="N64" s="1223"/>
      <c r="O64" s="1171"/>
      <c r="P64" s="1049" t="s">
        <v>183</v>
      </c>
      <c r="Q64" s="1014">
        <f>SUM(B90:B91)</f>
        <v>0</v>
      </c>
      <c r="R64" s="1014">
        <f>SUM(C90:C91)</f>
        <v>0</v>
      </c>
      <c r="S64" s="1014">
        <f>SUM(D90:D91)</f>
        <v>0</v>
      </c>
      <c r="T64" s="1014">
        <f t="shared" si="53"/>
        <v>0</v>
      </c>
      <c r="U64" s="1014">
        <f>SUM(E90:E91)</f>
        <v>0</v>
      </c>
      <c r="V64" s="1014">
        <f>SUM(F90:F91)</f>
        <v>0</v>
      </c>
      <c r="W64" s="1014">
        <f>SUM(G90:G91)</f>
        <v>0</v>
      </c>
      <c r="X64" s="1014">
        <f>SUM(H90:H91)</f>
        <v>0</v>
      </c>
      <c r="Y64" s="1014">
        <f t="shared" si="54"/>
        <v>0</v>
      </c>
      <c r="Z64" s="1014">
        <f t="shared" ref="Z64:AE64" si="82">SUM(I90:I91)</f>
        <v>0</v>
      </c>
      <c r="AA64" s="1014">
        <f t="shared" si="82"/>
        <v>0</v>
      </c>
      <c r="AB64" s="1014">
        <f t="shared" si="82"/>
        <v>0</v>
      </c>
      <c r="AC64" s="1014">
        <f t="shared" si="82"/>
        <v>0</v>
      </c>
      <c r="AD64" s="1014">
        <f t="shared" si="82"/>
        <v>0</v>
      </c>
      <c r="AE64" s="1014">
        <f t="shared" si="82"/>
        <v>0</v>
      </c>
      <c r="AF64" s="1014">
        <f t="shared" si="56"/>
        <v>0</v>
      </c>
      <c r="AG64" s="1014"/>
      <c r="AH64" s="1014"/>
      <c r="AI64" s="1014"/>
      <c r="AJ64" s="1014"/>
      <c r="AK64" s="1014"/>
      <c r="AL64" s="1014"/>
      <c r="AM64" s="1014"/>
      <c r="AN64" s="1014"/>
      <c r="AO64" s="1014"/>
      <c r="AP64" s="1014"/>
      <c r="AQ64" s="1014"/>
      <c r="AR64" s="1014"/>
      <c r="AS64" s="1014"/>
      <c r="AU64" s="362"/>
      <c r="AV64" s="362"/>
      <c r="AW64" s="362"/>
    </row>
    <row r="65" spans="1:49" ht="16.149999999999999">
      <c r="A65" s="998">
        <f t="shared" si="57"/>
        <v>46279</v>
      </c>
      <c r="B65" s="1146"/>
      <c r="C65" s="1146"/>
      <c r="D65" s="1146"/>
      <c r="E65" s="1146"/>
      <c r="F65" s="1146"/>
      <c r="G65" s="1146"/>
      <c r="H65" s="1146"/>
      <c r="I65" s="1145"/>
      <c r="J65" s="1145"/>
      <c r="K65" s="1145"/>
      <c r="L65" s="1223"/>
      <c r="M65" s="1223"/>
      <c r="N65" s="1223"/>
      <c r="O65" s="1174"/>
      <c r="P65" s="1049" t="s">
        <v>184</v>
      </c>
      <c r="Q65" s="1014">
        <f>SUM(B92:B93)</f>
        <v>0</v>
      </c>
      <c r="R65" s="1014">
        <f>SUM(C92:C93)</f>
        <v>0</v>
      </c>
      <c r="S65" s="1014">
        <f>SUM(D92:D93)</f>
        <v>0</v>
      </c>
      <c r="T65" s="1014">
        <f t="shared" si="53"/>
        <v>0</v>
      </c>
      <c r="U65" s="1014">
        <f>SUM(E92:E93)</f>
        <v>0</v>
      </c>
      <c r="V65" s="1014">
        <f>SUM(F92:F93)</f>
        <v>0</v>
      </c>
      <c r="W65" s="1014">
        <f>SUM(G92:G93)</f>
        <v>0</v>
      </c>
      <c r="X65" s="1014">
        <f>SUM(H92:H93)</f>
        <v>0</v>
      </c>
      <c r="Y65" s="1014">
        <f t="shared" si="54"/>
        <v>0</v>
      </c>
      <c r="Z65" s="1014">
        <f t="shared" ref="Z65:AE65" si="83">SUM(I92:I93)</f>
        <v>0</v>
      </c>
      <c r="AA65" s="1014">
        <f t="shared" si="83"/>
        <v>0</v>
      </c>
      <c r="AB65" s="1014">
        <f t="shared" si="83"/>
        <v>0</v>
      </c>
      <c r="AC65" s="1014">
        <f t="shared" si="83"/>
        <v>0</v>
      </c>
      <c r="AD65" s="1014">
        <f t="shared" si="83"/>
        <v>0</v>
      </c>
      <c r="AE65" s="1014">
        <f t="shared" si="83"/>
        <v>0</v>
      </c>
      <c r="AF65" s="1014">
        <f t="shared" si="56"/>
        <v>0</v>
      </c>
      <c r="AG65" s="1014"/>
      <c r="AH65" s="1014"/>
      <c r="AI65" s="1014"/>
      <c r="AJ65" s="1014"/>
      <c r="AK65" s="1014"/>
      <c r="AL65" s="1014"/>
      <c r="AM65" s="1014"/>
      <c r="AN65" s="1014"/>
      <c r="AO65" s="1014"/>
      <c r="AP65" s="1014"/>
      <c r="AQ65" s="1014"/>
      <c r="AR65" s="1014"/>
      <c r="AS65" s="1014"/>
      <c r="AU65" s="362"/>
      <c r="AV65" s="362"/>
      <c r="AW65" s="362"/>
    </row>
    <row r="66" spans="1:49" ht="16.149999999999999">
      <c r="A66" s="997">
        <f t="shared" si="57"/>
        <v>46280</v>
      </c>
      <c r="B66" s="1146"/>
      <c r="C66" s="1146"/>
      <c r="D66" s="1146"/>
      <c r="E66" s="1146"/>
      <c r="F66" s="1146"/>
      <c r="G66" s="1146"/>
      <c r="H66" s="1146"/>
      <c r="I66" s="1145"/>
      <c r="J66" s="1146"/>
      <c r="K66" s="1145"/>
      <c r="L66" s="1223"/>
      <c r="M66" s="1223"/>
      <c r="N66" s="1223"/>
      <c r="O66" s="1174"/>
      <c r="P66" s="1049" t="s">
        <v>185</v>
      </c>
      <c r="Q66" s="1014">
        <f>SUM(B94:B95)</f>
        <v>0</v>
      </c>
      <c r="R66" s="1014">
        <f>SUM(C94:C95)</f>
        <v>0</v>
      </c>
      <c r="S66" s="1014">
        <f>SUM(D94:D95)</f>
        <v>0</v>
      </c>
      <c r="T66" s="1014">
        <f t="shared" si="53"/>
        <v>0</v>
      </c>
      <c r="U66" s="1014">
        <f>SUM(E94:E95)</f>
        <v>0</v>
      </c>
      <c r="V66" s="1014">
        <f>SUM(F94:F95)</f>
        <v>0</v>
      </c>
      <c r="W66" s="1014">
        <f>SUM(G94:G95)</f>
        <v>0</v>
      </c>
      <c r="X66" s="1014">
        <f>SUM(H94:H95)</f>
        <v>0</v>
      </c>
      <c r="Y66" s="1014">
        <f t="shared" si="54"/>
        <v>0</v>
      </c>
      <c r="Z66" s="1014">
        <f t="shared" ref="Z66:AE66" si="84">SUM(I94:I95)</f>
        <v>0</v>
      </c>
      <c r="AA66" s="1014">
        <f t="shared" si="84"/>
        <v>0</v>
      </c>
      <c r="AB66" s="1014">
        <f t="shared" si="84"/>
        <v>0</v>
      </c>
      <c r="AC66" s="1014">
        <f t="shared" si="84"/>
        <v>0</v>
      </c>
      <c r="AD66" s="1014">
        <f t="shared" si="84"/>
        <v>0</v>
      </c>
      <c r="AE66" s="1014">
        <f t="shared" si="84"/>
        <v>0</v>
      </c>
      <c r="AF66" s="1014">
        <f t="shared" si="56"/>
        <v>0</v>
      </c>
      <c r="AG66" s="1014"/>
      <c r="AH66" s="1014"/>
      <c r="AI66" s="1014"/>
      <c r="AJ66" s="1014"/>
      <c r="AK66" s="1014"/>
      <c r="AL66" s="1014"/>
      <c r="AM66" s="1014"/>
      <c r="AN66" s="1014"/>
      <c r="AO66" s="1014"/>
      <c r="AP66" s="1014"/>
      <c r="AQ66" s="1014"/>
      <c r="AR66" s="1014"/>
      <c r="AS66" s="1014"/>
      <c r="AU66" s="362"/>
      <c r="AV66" s="362"/>
      <c r="AW66" s="362"/>
    </row>
    <row r="67" spans="1:49" ht="16.149999999999999">
      <c r="A67" s="998">
        <f t="shared" si="57"/>
        <v>46280</v>
      </c>
      <c r="B67" s="1146"/>
      <c r="C67" s="1146"/>
      <c r="D67" s="1146"/>
      <c r="E67" s="1146"/>
      <c r="F67" s="1146"/>
      <c r="G67" s="1146"/>
      <c r="H67" s="1146"/>
      <c r="I67" s="1159"/>
      <c r="J67" s="1159"/>
      <c r="K67" s="1159"/>
      <c r="L67" s="1223"/>
      <c r="M67" s="1223"/>
      <c r="N67" s="1223"/>
      <c r="O67" s="1175"/>
      <c r="P67" s="1049" t="s">
        <v>186</v>
      </c>
      <c r="Q67" s="1014">
        <f>SUM(B96:B97)</f>
        <v>0</v>
      </c>
      <c r="R67" s="1014">
        <f>SUM(C96:C97)</f>
        <v>0</v>
      </c>
      <c r="S67" s="1014">
        <f>SUM(D96:D97)</f>
        <v>0</v>
      </c>
      <c r="T67" s="1014">
        <f t="shared" si="53"/>
        <v>0</v>
      </c>
      <c r="U67" s="1014">
        <f>SUM(E96:E97)</f>
        <v>0</v>
      </c>
      <c r="V67" s="1014">
        <f>SUM(F96:F97)</f>
        <v>0</v>
      </c>
      <c r="W67" s="1014">
        <f>SUM(G96:G97)</f>
        <v>0</v>
      </c>
      <c r="X67" s="1014">
        <f>SUM(H96:H97)</f>
        <v>0</v>
      </c>
      <c r="Y67" s="1014">
        <f t="shared" si="54"/>
        <v>0</v>
      </c>
      <c r="Z67" s="1014">
        <f t="shared" ref="Z67:AE67" si="85">SUM(I96:I97)</f>
        <v>0</v>
      </c>
      <c r="AA67" s="1014">
        <f t="shared" si="85"/>
        <v>0</v>
      </c>
      <c r="AB67" s="1014">
        <f t="shared" si="85"/>
        <v>0</v>
      </c>
      <c r="AC67" s="1014">
        <f t="shared" si="85"/>
        <v>0</v>
      </c>
      <c r="AD67" s="1014">
        <f t="shared" si="85"/>
        <v>0</v>
      </c>
      <c r="AE67" s="1014">
        <f t="shared" si="85"/>
        <v>0</v>
      </c>
      <c r="AF67" s="1014">
        <f t="shared" si="56"/>
        <v>0</v>
      </c>
      <c r="AG67" s="1014"/>
      <c r="AH67" s="1014"/>
      <c r="AI67" s="1014"/>
      <c r="AJ67" s="1014"/>
      <c r="AK67" s="1014"/>
      <c r="AL67" s="1014"/>
      <c r="AM67" s="1014"/>
      <c r="AN67" s="1014"/>
      <c r="AO67" s="1014"/>
      <c r="AP67" s="1014"/>
      <c r="AQ67" s="1014"/>
      <c r="AR67" s="1014"/>
      <c r="AS67" s="1014"/>
      <c r="AU67" s="362"/>
      <c r="AV67" s="362"/>
      <c r="AW67" s="362"/>
    </row>
    <row r="68" spans="1:49" ht="16.149999999999999">
      <c r="A68" s="997">
        <f t="shared" si="57"/>
        <v>46281</v>
      </c>
      <c r="B68" s="1146"/>
      <c r="C68" s="1146"/>
      <c r="D68" s="1146"/>
      <c r="E68" s="1146"/>
      <c r="F68" s="1146"/>
      <c r="G68" s="1146"/>
      <c r="H68" s="1146"/>
      <c r="I68" s="1145"/>
      <c r="J68" s="1145"/>
      <c r="K68" s="1145"/>
      <c r="L68" s="1223"/>
      <c r="M68" s="1223"/>
      <c r="N68" s="1223"/>
      <c r="O68" s="1174"/>
      <c r="P68" s="1049" t="s">
        <v>187</v>
      </c>
      <c r="Q68" s="1014">
        <f>SUM(B98:B99)</f>
        <v>0</v>
      </c>
      <c r="R68" s="1014">
        <f>SUM(C98:C99)</f>
        <v>0</v>
      </c>
      <c r="S68" s="1014">
        <f>SUM(D98:D99)</f>
        <v>0</v>
      </c>
      <c r="T68" s="1014">
        <f t="shared" si="53"/>
        <v>0</v>
      </c>
      <c r="U68" s="1014">
        <f>SUM(E98:E99)</f>
        <v>0</v>
      </c>
      <c r="V68" s="1014">
        <f>SUM(F98:F99)</f>
        <v>0</v>
      </c>
      <c r="W68" s="1014">
        <f>SUM(G98:G99)</f>
        <v>0</v>
      </c>
      <c r="X68" s="1014">
        <f>SUM(H98:H99)</f>
        <v>0</v>
      </c>
      <c r="Y68" s="1014">
        <f t="shared" si="54"/>
        <v>0</v>
      </c>
      <c r="Z68" s="1014">
        <f t="shared" ref="Z68:AE68" si="86">SUM(I98:I99)</f>
        <v>0</v>
      </c>
      <c r="AA68" s="1014">
        <f t="shared" si="86"/>
        <v>0</v>
      </c>
      <c r="AB68" s="1014">
        <f t="shared" si="86"/>
        <v>0</v>
      </c>
      <c r="AC68" s="1014">
        <f t="shared" si="86"/>
        <v>0</v>
      </c>
      <c r="AD68" s="1014">
        <f t="shared" si="86"/>
        <v>0</v>
      </c>
      <c r="AE68" s="1014">
        <f t="shared" si="86"/>
        <v>0</v>
      </c>
      <c r="AF68" s="1014">
        <f t="shared" si="56"/>
        <v>0</v>
      </c>
      <c r="AH68" s="1014"/>
      <c r="AI68" s="1014"/>
      <c r="AJ68" s="1014"/>
      <c r="AK68" s="1014"/>
      <c r="AL68" s="1014"/>
      <c r="AM68" s="1014"/>
      <c r="AN68" s="1014"/>
      <c r="AO68" s="1014"/>
      <c r="AP68" s="1014"/>
      <c r="AQ68" s="1014"/>
      <c r="AR68" s="1014"/>
      <c r="AS68" s="1014"/>
      <c r="AU68" s="362"/>
      <c r="AV68" s="362"/>
      <c r="AW68" s="362"/>
    </row>
    <row r="69" spans="1:49" ht="16.149999999999999">
      <c r="A69" s="998">
        <f t="shared" si="57"/>
        <v>46281</v>
      </c>
      <c r="B69" s="1146"/>
      <c r="C69" s="1146"/>
      <c r="D69" s="1146"/>
      <c r="E69" s="1146"/>
      <c r="F69" s="1146"/>
      <c r="G69" s="1146"/>
      <c r="H69" s="1146"/>
      <c r="I69" s="1160"/>
      <c r="J69" s="1160"/>
      <c r="K69" s="1160"/>
      <c r="L69" s="1223"/>
      <c r="M69" s="1223"/>
      <c r="N69" s="1223"/>
      <c r="T69" s="1014">
        <f>SUM(T39:T68)</f>
        <v>0</v>
      </c>
      <c r="W69" s="1014">
        <f>SUM(W39:W68)</f>
        <v>0</v>
      </c>
      <c r="Z69" s="1014"/>
      <c r="AA69" s="1014"/>
      <c r="AB69" s="1014"/>
      <c r="AC69" s="1014"/>
      <c r="AD69" s="1014"/>
      <c r="AE69" s="1014"/>
      <c r="AF69" s="1014">
        <f>SUM(AF39:AF68)</f>
        <v>0</v>
      </c>
      <c r="AR69" s="362"/>
      <c r="AS69" s="362"/>
      <c r="AT69" s="362"/>
    </row>
    <row r="70" spans="1:49" ht="16.149999999999999">
      <c r="A70" s="997">
        <f t="shared" si="57"/>
        <v>46282</v>
      </c>
      <c r="B70" s="1146"/>
      <c r="C70" s="1146"/>
      <c r="D70" s="1146"/>
      <c r="E70" s="1146"/>
      <c r="F70" s="1146"/>
      <c r="G70" s="1146"/>
      <c r="H70" s="1146"/>
      <c r="I70" s="1145"/>
      <c r="J70" s="1145"/>
      <c r="K70" s="1161"/>
      <c r="L70" s="1223"/>
      <c r="M70" s="1223"/>
      <c r="N70" s="1223"/>
      <c r="Z70" s="1014"/>
      <c r="AA70" s="1014"/>
      <c r="AB70" s="1014"/>
      <c r="AC70" s="1014"/>
      <c r="AD70" s="1014"/>
      <c r="AE70" s="1014"/>
    </row>
    <row r="71" spans="1:49" ht="16.149999999999999">
      <c r="A71" s="998">
        <f t="shared" si="57"/>
        <v>46282</v>
      </c>
      <c r="B71" s="1146"/>
      <c r="C71" s="1146"/>
      <c r="D71" s="1146"/>
      <c r="E71" s="1146"/>
      <c r="F71" s="1146"/>
      <c r="G71" s="1146"/>
      <c r="H71" s="1146"/>
      <c r="I71" s="1159"/>
      <c r="J71" s="1159"/>
      <c r="K71" s="1145"/>
      <c r="L71" s="1223"/>
      <c r="M71" s="1223"/>
      <c r="N71" s="1223"/>
    </row>
    <row r="72" spans="1:49" ht="16.149999999999999">
      <c r="A72" s="997">
        <f t="shared" si="57"/>
        <v>46283</v>
      </c>
      <c r="B72" s="1146"/>
      <c r="C72" s="1146"/>
      <c r="D72" s="1146"/>
      <c r="E72" s="1146"/>
      <c r="F72" s="1146"/>
      <c r="G72" s="1146"/>
      <c r="H72" s="1146"/>
      <c r="I72" s="1145"/>
      <c r="J72" s="1146"/>
      <c r="K72" s="1145"/>
      <c r="L72" s="1223"/>
      <c r="M72" s="1223"/>
      <c r="N72" s="1223"/>
    </row>
    <row r="73" spans="1:49" ht="16.149999999999999">
      <c r="A73" s="998">
        <f t="shared" si="57"/>
        <v>46283</v>
      </c>
      <c r="B73" s="1146"/>
      <c r="C73" s="1146"/>
      <c r="D73" s="1146"/>
      <c r="E73" s="1146"/>
      <c r="F73" s="1146"/>
      <c r="G73" s="1146"/>
      <c r="H73" s="1146"/>
      <c r="I73" s="1159"/>
      <c r="J73" s="1162"/>
      <c r="K73" s="1159"/>
      <c r="L73" s="1223"/>
      <c r="M73" s="1223"/>
      <c r="N73" s="1223"/>
    </row>
    <row r="74" spans="1:49" ht="16.149999999999999">
      <c r="A74" s="997">
        <f t="shared" si="57"/>
        <v>46284</v>
      </c>
      <c r="B74" s="1146"/>
      <c r="C74" s="1146"/>
      <c r="D74" s="1146"/>
      <c r="E74" s="1146"/>
      <c r="F74" s="1146"/>
      <c r="G74" s="1146"/>
      <c r="H74" s="1146"/>
      <c r="I74" s="1145"/>
      <c r="J74" s="1146"/>
      <c r="K74" s="1145"/>
      <c r="L74" s="1223"/>
      <c r="M74" s="1223"/>
      <c r="N74" s="1223"/>
    </row>
    <row r="75" spans="1:49" ht="16.149999999999999">
      <c r="A75" s="998">
        <f t="shared" si="57"/>
        <v>46284</v>
      </c>
      <c r="B75" s="1146"/>
      <c r="C75" s="1146"/>
      <c r="D75" s="1146"/>
      <c r="E75" s="1146"/>
      <c r="F75" s="1146"/>
      <c r="G75" s="1146"/>
      <c r="H75" s="1146"/>
      <c r="I75" s="1145"/>
      <c r="J75" s="1146"/>
      <c r="K75" s="1145"/>
      <c r="L75" s="1223"/>
      <c r="M75" s="1223"/>
      <c r="N75" s="1223"/>
    </row>
    <row r="76" spans="1:49" ht="16.149999999999999">
      <c r="A76" s="997">
        <f t="shared" si="57"/>
        <v>46285</v>
      </c>
      <c r="B76" s="1146"/>
      <c r="C76" s="1146"/>
      <c r="D76" s="1146"/>
      <c r="E76" s="1146"/>
      <c r="F76" s="1146"/>
      <c r="G76" s="1146"/>
      <c r="H76" s="1146"/>
      <c r="I76" s="1145"/>
      <c r="J76" s="1146"/>
      <c r="K76" s="1145"/>
      <c r="L76" s="1223"/>
      <c r="M76" s="1223"/>
      <c r="N76" s="1223"/>
    </row>
    <row r="77" spans="1:49" ht="16.149999999999999">
      <c r="A77" s="998">
        <f t="shared" si="57"/>
        <v>46285</v>
      </c>
      <c r="B77" s="1146"/>
      <c r="C77" s="1146"/>
      <c r="D77" s="1146"/>
      <c r="E77" s="1146"/>
      <c r="F77" s="1146"/>
      <c r="G77" s="1146"/>
      <c r="H77" s="1146"/>
      <c r="I77" s="1145"/>
      <c r="J77" s="1146"/>
      <c r="K77" s="1145"/>
      <c r="L77" s="1223"/>
      <c r="M77" s="1223"/>
      <c r="N77" s="1223"/>
    </row>
    <row r="78" spans="1:49" ht="16.149999999999999">
      <c r="A78" s="997">
        <f t="shared" si="57"/>
        <v>46286</v>
      </c>
      <c r="B78" s="1146"/>
      <c r="C78" s="1146"/>
      <c r="D78" s="1146"/>
      <c r="E78" s="1146"/>
      <c r="F78" s="1146"/>
      <c r="G78" s="1146"/>
      <c r="H78" s="1146"/>
      <c r="I78" s="1145"/>
      <c r="J78" s="1146"/>
      <c r="K78" s="1145"/>
      <c r="L78" s="1223"/>
      <c r="M78" s="1223"/>
      <c r="N78" s="1223"/>
    </row>
    <row r="79" spans="1:49" ht="16.149999999999999">
      <c r="A79" s="998">
        <f t="shared" si="57"/>
        <v>46286</v>
      </c>
      <c r="B79" s="1146"/>
      <c r="C79" s="1146"/>
      <c r="D79" s="1146"/>
      <c r="E79" s="1146"/>
      <c r="F79" s="1146"/>
      <c r="G79" s="1146"/>
      <c r="H79" s="1146"/>
      <c r="I79" s="1145"/>
      <c r="J79" s="1146"/>
      <c r="K79" s="1145"/>
      <c r="L79" s="1223"/>
      <c r="M79" s="1223"/>
      <c r="N79" s="1223"/>
    </row>
    <row r="80" spans="1:49" ht="16.149999999999999">
      <c r="A80" s="997">
        <f t="shared" si="57"/>
        <v>46287</v>
      </c>
      <c r="B80" s="1146"/>
      <c r="C80" s="1146"/>
      <c r="D80" s="1146"/>
      <c r="E80" s="1146"/>
      <c r="F80" s="1146"/>
      <c r="G80" s="1146"/>
      <c r="H80" s="1146"/>
      <c r="I80" s="1145"/>
      <c r="J80" s="1146"/>
      <c r="K80" s="1145"/>
      <c r="L80" s="1223"/>
      <c r="M80" s="1223"/>
      <c r="N80" s="1223"/>
    </row>
    <row r="81" spans="1:14" ht="16.149999999999999">
      <c r="A81" s="998">
        <f t="shared" si="57"/>
        <v>46287</v>
      </c>
      <c r="B81" s="1146"/>
      <c r="C81" s="1146"/>
      <c r="D81" s="1146"/>
      <c r="E81" s="1146"/>
      <c r="F81" s="1146"/>
      <c r="G81" s="1146"/>
      <c r="H81" s="1146"/>
      <c r="I81" s="1145"/>
      <c r="J81" s="1163"/>
      <c r="K81" s="1145"/>
      <c r="L81" s="1223"/>
      <c r="M81" s="1223"/>
      <c r="N81" s="1223"/>
    </row>
    <row r="82" spans="1:14" ht="16.149999999999999">
      <c r="A82" s="997">
        <f t="shared" si="57"/>
        <v>46288</v>
      </c>
      <c r="B82" s="1146"/>
      <c r="C82" s="1146"/>
      <c r="D82" s="1146"/>
      <c r="E82" s="1146"/>
      <c r="F82" s="1146"/>
      <c r="G82" s="1146"/>
      <c r="H82" s="1146"/>
      <c r="I82" s="1145"/>
      <c r="J82" s="1146"/>
      <c r="K82" s="1145"/>
      <c r="L82" s="1223"/>
      <c r="M82" s="1223"/>
      <c r="N82" s="1223"/>
    </row>
    <row r="83" spans="1:14" ht="16.149999999999999">
      <c r="A83" s="998">
        <f t="shared" si="57"/>
        <v>46288</v>
      </c>
      <c r="B83" s="1146"/>
      <c r="C83" s="1146"/>
      <c r="D83" s="1146"/>
      <c r="E83" s="1146"/>
      <c r="F83" s="1146"/>
      <c r="G83" s="1146"/>
      <c r="H83" s="1146"/>
      <c r="I83" s="1145"/>
      <c r="J83" s="1146"/>
      <c r="K83" s="1145"/>
      <c r="L83" s="1223"/>
      <c r="M83" s="1223"/>
      <c r="N83" s="1223"/>
    </row>
    <row r="84" spans="1:14" ht="16.149999999999999">
      <c r="A84" s="997">
        <f t="shared" si="57"/>
        <v>46289</v>
      </c>
      <c r="B84" s="1146"/>
      <c r="C84" s="1146"/>
      <c r="D84" s="1146"/>
      <c r="E84" s="1146"/>
      <c r="F84" s="1146"/>
      <c r="G84" s="1146"/>
      <c r="H84" s="1146"/>
      <c r="I84" s="1145"/>
      <c r="J84" s="1146"/>
      <c r="K84" s="1145"/>
      <c r="L84" s="1223"/>
      <c r="M84" s="1223"/>
      <c r="N84" s="1223"/>
    </row>
    <row r="85" spans="1:14" ht="16.149999999999999">
      <c r="A85" s="998">
        <f t="shared" si="57"/>
        <v>46289</v>
      </c>
      <c r="B85" s="1146"/>
      <c r="C85" s="1146"/>
      <c r="D85" s="1146"/>
      <c r="E85" s="1146"/>
      <c r="F85" s="1146"/>
      <c r="G85" s="1146"/>
      <c r="H85" s="1146"/>
      <c r="I85" s="1145"/>
      <c r="J85" s="1146"/>
      <c r="K85" s="1145"/>
      <c r="L85" s="1223"/>
      <c r="M85" s="1223"/>
      <c r="N85" s="1223"/>
    </row>
    <row r="86" spans="1:14" ht="16.149999999999999">
      <c r="A86" s="997">
        <f t="shared" si="57"/>
        <v>46290</v>
      </c>
      <c r="B86" s="1146"/>
      <c r="C86" s="1146"/>
      <c r="D86" s="1146"/>
      <c r="E86" s="1146"/>
      <c r="F86" s="1146"/>
      <c r="G86" s="1146"/>
      <c r="H86" s="1146"/>
      <c r="I86" s="1145"/>
      <c r="J86" s="1146"/>
      <c r="K86" s="1145"/>
      <c r="L86" s="1223"/>
      <c r="M86" s="1223"/>
      <c r="N86" s="1223"/>
    </row>
    <row r="87" spans="1:14" ht="16.149999999999999">
      <c r="A87" s="998">
        <f t="shared" si="57"/>
        <v>46290</v>
      </c>
      <c r="B87" s="1146"/>
      <c r="C87" s="1146"/>
      <c r="D87" s="1146"/>
      <c r="E87" s="1146"/>
      <c r="F87" s="1146"/>
      <c r="G87" s="1146"/>
      <c r="H87" s="1146"/>
      <c r="I87" s="1145"/>
      <c r="J87" s="1146"/>
      <c r="K87" s="1145"/>
      <c r="L87" s="1223"/>
      <c r="M87" s="1223"/>
      <c r="N87" s="1223"/>
    </row>
    <row r="88" spans="1:14" ht="16.149999999999999">
      <c r="A88" s="997">
        <f t="shared" si="57"/>
        <v>46291</v>
      </c>
      <c r="B88" s="1146"/>
      <c r="C88" s="1146"/>
      <c r="D88" s="1146"/>
      <c r="E88" s="1146"/>
      <c r="F88" s="1146"/>
      <c r="G88" s="1146"/>
      <c r="H88" s="1146"/>
      <c r="I88" s="1145"/>
      <c r="J88" s="1146"/>
      <c r="K88" s="1145"/>
      <c r="L88" s="1223"/>
      <c r="M88" s="1223"/>
      <c r="N88" s="1223"/>
    </row>
    <row r="89" spans="1:14" ht="16.149999999999999">
      <c r="A89" s="998">
        <f t="shared" si="57"/>
        <v>46291</v>
      </c>
      <c r="B89" s="1146"/>
      <c r="C89" s="1146"/>
      <c r="D89" s="1146"/>
      <c r="E89" s="1146"/>
      <c r="F89" s="1146"/>
      <c r="G89" s="1146"/>
      <c r="H89" s="1146"/>
      <c r="I89" s="1145"/>
      <c r="J89" s="1146"/>
      <c r="K89" s="1145"/>
      <c r="L89" s="1223"/>
      <c r="M89" s="1223"/>
      <c r="N89" s="1223"/>
    </row>
    <row r="90" spans="1:14" ht="16.149999999999999">
      <c r="A90" s="997">
        <f t="shared" si="57"/>
        <v>46292</v>
      </c>
      <c r="B90" s="1146"/>
      <c r="C90" s="1146"/>
      <c r="D90" s="1146"/>
      <c r="E90" s="1146"/>
      <c r="F90" s="1146"/>
      <c r="G90" s="1146"/>
      <c r="H90" s="1146"/>
      <c r="I90" s="1145"/>
      <c r="J90" s="1146"/>
      <c r="K90" s="1145"/>
      <c r="L90" s="1223"/>
      <c r="M90" s="1223"/>
      <c r="N90" s="1223"/>
    </row>
    <row r="91" spans="1:14" ht="16.149999999999999">
      <c r="A91" s="998">
        <f t="shared" si="57"/>
        <v>46292</v>
      </c>
      <c r="B91" s="1146"/>
      <c r="C91" s="1146"/>
      <c r="D91" s="1146"/>
      <c r="E91" s="1146"/>
      <c r="F91" s="1146"/>
      <c r="G91" s="1146"/>
      <c r="H91" s="1146"/>
      <c r="I91" s="1145"/>
      <c r="J91" s="1162"/>
      <c r="K91" s="1145"/>
      <c r="L91" s="1223"/>
      <c r="M91" s="1223"/>
      <c r="N91" s="1223"/>
    </row>
    <row r="92" spans="1:14" ht="16.149999999999999">
      <c r="A92" s="997">
        <f t="shared" si="57"/>
        <v>46293</v>
      </c>
      <c r="B92" s="1146"/>
      <c r="C92" s="1146"/>
      <c r="D92" s="1146"/>
      <c r="E92" s="1146"/>
      <c r="F92" s="1146"/>
      <c r="G92" s="1146"/>
      <c r="H92" s="1146"/>
      <c r="I92" s="1145"/>
      <c r="J92" s="1146"/>
      <c r="K92" s="1145"/>
      <c r="L92" s="1223"/>
      <c r="M92" s="1223"/>
      <c r="N92" s="1223"/>
    </row>
    <row r="93" spans="1:14" ht="16.149999999999999">
      <c r="A93" s="998">
        <f t="shared" si="57"/>
        <v>46293</v>
      </c>
      <c r="B93" s="1146"/>
      <c r="C93" s="1146"/>
      <c r="D93" s="1146"/>
      <c r="E93" s="1146"/>
      <c r="F93" s="1146"/>
      <c r="G93" s="1146"/>
      <c r="H93" s="1146"/>
      <c r="I93" s="1145"/>
      <c r="J93" s="1146"/>
      <c r="K93" s="1145"/>
      <c r="L93" s="1223"/>
      <c r="M93" s="1223"/>
      <c r="N93" s="1223"/>
    </row>
    <row r="94" spans="1:14" ht="16.149999999999999">
      <c r="A94" s="997">
        <f t="shared" si="57"/>
        <v>46294</v>
      </c>
      <c r="B94" s="1146"/>
      <c r="C94" s="1146"/>
      <c r="D94" s="1146"/>
      <c r="E94" s="1146"/>
      <c r="F94" s="1146"/>
      <c r="G94" s="1146"/>
      <c r="H94" s="1146"/>
      <c r="I94" s="1145"/>
      <c r="J94" s="1146"/>
      <c r="K94" s="1145"/>
      <c r="L94" s="1223"/>
      <c r="M94" s="1223"/>
      <c r="N94" s="1223"/>
    </row>
    <row r="95" spans="1:14" ht="16.149999999999999">
      <c r="A95" s="998">
        <f t="shared" si="57"/>
        <v>46294</v>
      </c>
      <c r="B95" s="1146"/>
      <c r="C95" s="1146"/>
      <c r="D95" s="1146"/>
      <c r="E95" s="1146"/>
      <c r="F95" s="1146"/>
      <c r="G95" s="1146"/>
      <c r="H95" s="1146"/>
      <c r="I95" s="1145"/>
      <c r="J95" s="1162"/>
      <c r="K95" s="1145"/>
      <c r="L95" s="1223"/>
      <c r="M95" s="1223"/>
      <c r="N95" s="1223"/>
    </row>
    <row r="96" spans="1:14" ht="16.149999999999999">
      <c r="A96" s="997">
        <f t="shared" si="57"/>
        <v>46295</v>
      </c>
      <c r="B96" s="1146"/>
      <c r="C96" s="1146"/>
      <c r="D96" s="1146"/>
      <c r="E96" s="1146"/>
      <c r="F96" s="1146"/>
      <c r="G96" s="1146"/>
      <c r="H96" s="1146"/>
      <c r="I96" s="1145"/>
      <c r="J96" s="1162"/>
      <c r="K96" s="1145"/>
      <c r="L96" s="1223"/>
      <c r="M96" s="1223"/>
      <c r="N96" s="1223"/>
    </row>
    <row r="97" spans="1:28" ht="16.149999999999999">
      <c r="A97" s="998">
        <f t="shared" si="57"/>
        <v>46295</v>
      </c>
      <c r="B97" s="1146"/>
      <c r="C97" s="1146"/>
      <c r="D97" s="1146"/>
      <c r="E97" s="1146"/>
      <c r="F97" s="1146"/>
      <c r="G97" s="1146"/>
      <c r="H97" s="1146"/>
      <c r="I97" s="1145"/>
      <c r="J97" s="1162"/>
      <c r="K97" s="1145"/>
      <c r="L97" s="1223"/>
      <c r="M97" s="1223"/>
      <c r="N97" s="1223"/>
    </row>
    <row r="98" spans="1:28" ht="16.149999999999999">
      <c r="A98" s="997">
        <f t="shared" si="57"/>
        <v>46296</v>
      </c>
      <c r="B98" s="1146"/>
      <c r="C98" s="1146"/>
      <c r="D98" s="1146"/>
      <c r="E98" s="1146"/>
      <c r="F98" s="1146"/>
      <c r="G98" s="1146"/>
      <c r="H98" s="1146"/>
      <c r="I98" s="1145"/>
      <c r="J98" s="1162"/>
      <c r="K98" s="1145"/>
      <c r="L98" s="1223"/>
      <c r="M98" s="1223"/>
      <c r="N98" s="1223"/>
    </row>
    <row r="99" spans="1:28" ht="16.149999999999999">
      <c r="A99" s="998">
        <f t="shared" si="57"/>
        <v>46296</v>
      </c>
      <c r="B99" s="1146"/>
      <c r="C99" s="1146"/>
      <c r="D99" s="1146"/>
      <c r="E99" s="1146"/>
      <c r="F99" s="1146"/>
      <c r="G99" s="1146"/>
      <c r="H99" s="1146"/>
      <c r="I99" s="1145"/>
      <c r="J99" s="1162"/>
      <c r="K99" s="1145"/>
      <c r="L99" s="1223"/>
      <c r="M99" s="1223"/>
      <c r="N99" s="1223"/>
    </row>
    <row r="100" spans="1:28">
      <c r="A100" s="994"/>
      <c r="B100" s="1000">
        <f>SUM(B38:B99)</f>
        <v>0</v>
      </c>
      <c r="C100" s="1000">
        <f t="shared" ref="C100:N100" si="87">SUM(C38:C99)</f>
        <v>0</v>
      </c>
      <c r="D100" s="1000">
        <f t="shared" si="87"/>
        <v>0</v>
      </c>
      <c r="E100" s="1000">
        <f t="shared" si="87"/>
        <v>0</v>
      </c>
      <c r="F100" s="1000">
        <f t="shared" si="87"/>
        <v>0</v>
      </c>
      <c r="G100" s="1000">
        <f t="shared" si="87"/>
        <v>0</v>
      </c>
      <c r="H100" s="1000">
        <f t="shared" si="87"/>
        <v>0</v>
      </c>
      <c r="I100" s="1000">
        <f t="shared" si="87"/>
        <v>0</v>
      </c>
      <c r="J100" s="1000">
        <f t="shared" si="87"/>
        <v>0</v>
      </c>
      <c r="K100" s="1000">
        <f t="shared" si="87"/>
        <v>0</v>
      </c>
      <c r="L100" s="1000">
        <f t="shared" si="87"/>
        <v>0</v>
      </c>
      <c r="M100" s="1000">
        <f t="shared" si="87"/>
        <v>0</v>
      </c>
      <c r="N100" s="1000">
        <f t="shared" si="87"/>
        <v>0</v>
      </c>
      <c r="O100" s="1228">
        <f>SUM(B100:N100)</f>
        <v>0</v>
      </c>
    </row>
    <row r="101" spans="1:28"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>
        <f>Dashboard!$G$22</f>
        <v>0</v>
      </c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</row>
    <row r="102" spans="1:28" ht="15.6">
      <c r="A102" s="780" t="s">
        <v>73</v>
      </c>
      <c r="B102" s="781"/>
      <c r="C102" s="1252" t="s">
        <v>64</v>
      </c>
      <c r="D102" s="1253"/>
      <c r="E102" s="1253"/>
      <c r="F102" s="1253"/>
      <c r="G102" s="1253"/>
      <c r="H102" s="1254"/>
      <c r="O102" s="362" t="b">
        <f>O100=O101</f>
        <v>1</v>
      </c>
    </row>
    <row r="103" spans="1:28" ht="15.6">
      <c r="A103" s="782"/>
      <c r="B103" s="783" t="s">
        <v>531</v>
      </c>
      <c r="C103" s="366" t="s">
        <v>379</v>
      </c>
      <c r="D103" s="367" t="s">
        <v>380</v>
      </c>
      <c r="E103" s="367" t="s">
        <v>67</v>
      </c>
      <c r="F103" s="367" t="s">
        <v>66</v>
      </c>
      <c r="G103" s="368" t="s">
        <v>381</v>
      </c>
      <c r="H103" s="368" t="s">
        <v>65</v>
      </c>
    </row>
    <row r="104" spans="1:28">
      <c r="A104" s="392" t="s">
        <v>535</v>
      </c>
      <c r="B104" s="1212">
        <f>B33</f>
        <v>4653.6216640000002</v>
      </c>
      <c r="C104" s="1212">
        <v>38.741818181818203</v>
      </c>
      <c r="D104" s="1212">
        <v>18.100000000000001</v>
      </c>
      <c r="E104" s="1212">
        <v>8.7799999999999994</v>
      </c>
      <c r="F104" s="1212">
        <v>0.16209090909090906</v>
      </c>
      <c r="G104" s="1238">
        <v>4955</v>
      </c>
      <c r="H104" s="1238">
        <v>3706.1573981573961</v>
      </c>
      <c r="J104" t="s">
        <v>536</v>
      </c>
    </row>
    <row r="105" spans="1:28">
      <c r="A105" s="392" t="s">
        <v>537</v>
      </c>
      <c r="B105" s="1212">
        <f>IF(B114&lt;0,AD33+B114,AD33)</f>
        <v>48838.493441999999</v>
      </c>
      <c r="C105" s="1212">
        <v>38.741818181818203</v>
      </c>
      <c r="D105" s="1212">
        <v>18.100000000000001</v>
      </c>
      <c r="E105" s="1212">
        <v>8.7799999999999994</v>
      </c>
      <c r="F105" s="1212">
        <v>0.16209090909090906</v>
      </c>
      <c r="G105" s="1238">
        <v>4955</v>
      </c>
      <c r="H105" s="1238">
        <v>3706.1573981573961</v>
      </c>
    </row>
    <row r="106" spans="1:28">
      <c r="A106" s="392"/>
      <c r="B106" s="1212"/>
      <c r="C106" s="1212"/>
      <c r="D106" s="1212"/>
      <c r="E106" s="1212"/>
      <c r="F106" s="1212"/>
      <c r="G106" s="1238"/>
      <c r="H106" s="1238"/>
    </row>
    <row r="107" spans="1:28">
      <c r="A107" s="392"/>
      <c r="B107" s="1212"/>
      <c r="C107" s="1212"/>
      <c r="D107" s="1212"/>
      <c r="E107" s="1212"/>
      <c r="F107" s="1212"/>
      <c r="G107" s="1238"/>
      <c r="H107" s="1238"/>
    </row>
    <row r="108" spans="1:28">
      <c r="A108" s="363" t="s">
        <v>126</v>
      </c>
      <c r="B108" s="364">
        <f>SUM(B104:B107)</f>
        <v>53492.115105999997</v>
      </c>
      <c r="C108" s="1213">
        <f>IFERROR(SUMPRODUCT(($B$104:$B$106&gt;0)*$B$104:$B$106*C104:C106)/SUMPRODUCT(($B$104:$B$106&gt;0)*$B$104:$B$106),0)</f>
        <v>38.741818181818211</v>
      </c>
      <c r="D108" s="1213">
        <f t="shared" ref="D108:H108" si="88">IFERROR(SUMPRODUCT(($B$104:$B$106&gt;0)*$B$104:$B$106*D104:D106)/SUMPRODUCT(($B$104:$B$106&gt;0)*$B$104:$B$106),0)</f>
        <v>18.100000000000001</v>
      </c>
      <c r="E108" s="1213">
        <f t="shared" si="88"/>
        <v>8.7799999999999994</v>
      </c>
      <c r="F108" s="1213">
        <f t="shared" si="88"/>
        <v>0.16209090909090909</v>
      </c>
      <c r="G108" s="1239">
        <f t="shared" si="88"/>
        <v>4955</v>
      </c>
      <c r="H108" s="1239">
        <f t="shared" si="88"/>
        <v>3706.1573981573965</v>
      </c>
    </row>
    <row r="109" spans="1:28">
      <c r="A109" s="392"/>
      <c r="B109" s="1212"/>
      <c r="C109" s="1212"/>
      <c r="D109" s="1212"/>
      <c r="E109" s="1212"/>
      <c r="F109" s="1212"/>
      <c r="G109" s="1212"/>
      <c r="H109" s="1212"/>
    </row>
    <row r="110" spans="1:28">
      <c r="A110" s="392" t="s">
        <v>538</v>
      </c>
      <c r="B110" s="1134">
        <f>BF33</f>
        <v>0</v>
      </c>
      <c r="C110" s="1134">
        <f t="shared" ref="C110:H110" si="89">BG33</f>
        <v>0</v>
      </c>
      <c r="D110" s="1134">
        <f t="shared" si="89"/>
        <v>0</v>
      </c>
      <c r="E110" s="1134">
        <f t="shared" si="89"/>
        <v>0</v>
      </c>
      <c r="F110" s="1134">
        <f t="shared" si="89"/>
        <v>0</v>
      </c>
      <c r="G110" s="1134">
        <f t="shared" si="89"/>
        <v>0</v>
      </c>
      <c r="H110" s="1134">
        <f t="shared" si="89"/>
        <v>0</v>
      </c>
    </row>
    <row r="111" spans="1:28">
      <c r="A111" s="392"/>
      <c r="B111" s="1134"/>
      <c r="C111" s="1134"/>
      <c r="D111" s="1134"/>
      <c r="E111" s="1134"/>
      <c r="F111" s="1134"/>
      <c r="G111" s="1134"/>
      <c r="H111" s="1134"/>
    </row>
    <row r="112" spans="1:28">
      <c r="A112" s="392"/>
      <c r="B112" s="1134"/>
      <c r="C112" s="1134"/>
      <c r="D112" s="1134"/>
      <c r="E112" s="1134"/>
      <c r="F112" s="1134"/>
      <c r="G112" s="1134"/>
      <c r="H112" s="1134"/>
    </row>
    <row r="113" spans="1:8">
      <c r="A113" s="644"/>
      <c r="B113" s="644"/>
      <c r="C113" s="644"/>
      <c r="D113" s="644"/>
      <c r="E113" s="644"/>
      <c r="F113" s="644"/>
      <c r="G113" s="644"/>
      <c r="H113" s="644"/>
    </row>
    <row r="114" spans="1:8">
      <c r="A114" s="363" t="s">
        <v>126</v>
      </c>
      <c r="B114" s="364">
        <f>SUM(B109:B113)</f>
        <v>0</v>
      </c>
      <c r="C114" s="1214" t="e">
        <f t="shared" ref="C114:H114" si="90">SUMPRODUCT($B$109:$B$112,C109:C112)/$B$114</f>
        <v>#DIV/0!</v>
      </c>
      <c r="D114" s="1214" t="e">
        <f t="shared" si="90"/>
        <v>#DIV/0!</v>
      </c>
      <c r="E114" s="1214" t="e">
        <f t="shared" si="90"/>
        <v>#DIV/0!</v>
      </c>
      <c r="F114" s="1214" t="e">
        <f t="shared" si="90"/>
        <v>#DIV/0!</v>
      </c>
      <c r="G114" s="1214" t="e">
        <f t="shared" si="90"/>
        <v>#DIV/0!</v>
      </c>
      <c r="H114" s="1214" t="e">
        <f t="shared" si="90"/>
        <v>#DIV/0!</v>
      </c>
    </row>
  </sheetData>
  <mergeCells count="16">
    <mergeCell ref="CO1:CU1"/>
    <mergeCell ref="CH1:CN1"/>
    <mergeCell ref="C102:H102"/>
    <mergeCell ref="BF1:BL1"/>
    <mergeCell ref="BM1:BS1"/>
    <mergeCell ref="BT1:BZ1"/>
    <mergeCell ref="CA1:CG1"/>
    <mergeCell ref="AD1:AJ1"/>
    <mergeCell ref="AK1:AQ1"/>
    <mergeCell ref="AR1:AX1"/>
    <mergeCell ref="AY1:BE1"/>
    <mergeCell ref="A1:A2"/>
    <mergeCell ref="B1:H1"/>
    <mergeCell ref="P1:V1"/>
    <mergeCell ref="W1:AC1"/>
    <mergeCell ref="I1:O1"/>
  </mergeCells>
  <conditionalFormatting sqref="O87">
    <cfRule type="containsText" dxfId="4" priority="3" operator="containsText" text="TRUE">
      <formula>NOT(ISERROR(SEARCH("TRUE",O87)))</formula>
    </cfRule>
  </conditionalFormatting>
  <conditionalFormatting sqref="O102">
    <cfRule type="containsText" dxfId="3" priority="1" operator="containsText" text="FALSE">
      <formula>NOT(ISERROR(SEARCH("FALSE",O102)))</formula>
    </cfRule>
    <cfRule type="containsText" dxfId="2" priority="2" operator="containsText" text="TRUE">
      <formula>NOT(ISERROR(SEARCH("TRUE",O102)))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3"/>
  <dimension ref="A1:EV115"/>
  <sheetViews>
    <sheetView zoomScale="80" zoomScaleNormal="80" workbookViewId="0">
      <pane xSplit="1" topLeftCell="CU1" activePane="topRight" state="frozen"/>
      <selection pane="topRight" activeCell="DJ3" sqref="DJ3"/>
      <selection activeCell="A61" sqref="A61"/>
    </sheetView>
  </sheetViews>
  <sheetFormatPr defaultRowHeight="14.45"/>
  <cols>
    <col min="1" max="1" width="12.140625" bestFit="1" customWidth="1"/>
    <col min="2" max="2" width="11.140625" bestFit="1" customWidth="1"/>
    <col min="3" max="3" width="9.28515625" bestFit="1" customWidth="1"/>
    <col min="4" max="4" width="10.28515625" bestFit="1" customWidth="1"/>
    <col min="5" max="5" width="9.28515625" bestFit="1" customWidth="1"/>
    <col min="6" max="6" width="11.140625" bestFit="1" customWidth="1"/>
    <col min="7" max="7" width="10.28515625" bestFit="1" customWidth="1"/>
    <col min="8" max="8" width="11.28515625" bestFit="1" customWidth="1"/>
    <col min="9" max="9" width="11.140625" bestFit="1" customWidth="1"/>
    <col min="10" max="10" width="10.28515625" bestFit="1" customWidth="1"/>
    <col min="11" max="11" width="9.28515625" customWidth="1"/>
    <col min="12" max="12" width="10.28515625" bestFit="1" customWidth="1"/>
    <col min="13" max="13" width="11.28515625" bestFit="1" customWidth="1"/>
    <col min="14" max="15" width="11.140625" bestFit="1" customWidth="1"/>
    <col min="16" max="16" width="12.140625" bestFit="1" customWidth="1"/>
    <col min="17" max="20" width="9" bestFit="1" customWidth="1"/>
    <col min="21" max="21" width="8.7109375" bestFit="1" customWidth="1"/>
    <col min="22" max="22" width="8.7109375" customWidth="1"/>
    <col min="23" max="23" width="10.28515625" bestFit="1" customWidth="1"/>
    <col min="24" max="24" width="8.7109375" customWidth="1"/>
    <col min="25" max="25" width="12" bestFit="1" customWidth="1"/>
    <col min="26" max="29" width="8.7109375" customWidth="1"/>
    <col min="30" max="30" width="10.28515625" bestFit="1" customWidth="1"/>
    <col min="31" max="34" width="8.7109375" customWidth="1"/>
    <col min="35" max="37" width="9.28515625" bestFit="1" customWidth="1"/>
    <col min="38" max="41" width="9" bestFit="1" customWidth="1"/>
    <col min="42" max="43" width="9" customWidth="1"/>
    <col min="44" max="44" width="10.28515625" bestFit="1" customWidth="1"/>
    <col min="45" max="48" width="9" bestFit="1" customWidth="1"/>
    <col min="49" max="50" width="9" customWidth="1"/>
    <col min="51" max="51" width="10.28515625" bestFit="1" customWidth="1"/>
    <col min="56" max="57" width="9.28515625" bestFit="1" customWidth="1"/>
    <col min="65" max="65" width="10" bestFit="1" customWidth="1"/>
    <col min="72" max="72" width="10" bestFit="1" customWidth="1"/>
    <col min="79" max="79" width="10" bestFit="1" customWidth="1"/>
    <col min="84" max="85" width="9.28515625" bestFit="1" customWidth="1"/>
    <col min="86" max="86" width="10.28515625" bestFit="1" customWidth="1"/>
    <col min="90" max="90" width="9" bestFit="1" customWidth="1"/>
    <col min="91" max="92" width="9.28515625" bestFit="1" customWidth="1"/>
    <col min="93" max="93" width="11.28515625" bestFit="1" customWidth="1"/>
    <col min="98" max="99" width="9.28515625" bestFit="1" customWidth="1"/>
    <col min="100" max="100" width="10" bestFit="1" customWidth="1"/>
    <col min="105" max="106" width="9.28515625" bestFit="1" customWidth="1"/>
    <col min="107" max="107" width="10.28515625" bestFit="1" customWidth="1"/>
    <col min="114" max="114" width="10.28515625" bestFit="1" customWidth="1"/>
    <col min="119" max="121" width="9.28515625" bestFit="1" customWidth="1"/>
    <col min="122" max="125" width="9" bestFit="1" customWidth="1"/>
    <col min="126" max="127" width="9.28515625" bestFit="1" customWidth="1"/>
  </cols>
  <sheetData>
    <row r="1" spans="1:127" ht="14.45" customHeight="1">
      <c r="A1" s="1398" t="s">
        <v>5</v>
      </c>
      <c r="B1" s="1399" t="s">
        <v>539</v>
      </c>
      <c r="C1" s="1400"/>
      <c r="D1" s="1400"/>
      <c r="E1" s="1400"/>
      <c r="F1" s="1400"/>
      <c r="G1" s="1400"/>
      <c r="H1" s="1401"/>
      <c r="I1" s="1399" t="s">
        <v>540</v>
      </c>
      <c r="J1" s="1400"/>
      <c r="K1" s="1400"/>
      <c r="L1" s="1400"/>
      <c r="M1" s="1400"/>
      <c r="N1" s="1400"/>
      <c r="O1" s="1401"/>
      <c r="P1" s="1399" t="s">
        <v>541</v>
      </c>
      <c r="Q1" s="1400"/>
      <c r="R1" s="1400"/>
      <c r="S1" s="1400"/>
      <c r="T1" s="1400"/>
      <c r="U1" s="1400"/>
      <c r="V1" s="1401"/>
      <c r="W1" s="1399" t="s">
        <v>397</v>
      </c>
      <c r="X1" s="1400"/>
      <c r="Y1" s="1400"/>
      <c r="Z1" s="1400"/>
      <c r="AA1" s="1400"/>
      <c r="AB1" s="1400"/>
      <c r="AC1" s="1401"/>
      <c r="AD1" s="1399" t="s">
        <v>542</v>
      </c>
      <c r="AE1" s="1400"/>
      <c r="AF1" s="1400"/>
      <c r="AG1" s="1400"/>
      <c r="AH1" s="1400"/>
      <c r="AI1" s="1400"/>
      <c r="AJ1" s="1401"/>
      <c r="AK1" s="1399" t="s">
        <v>543</v>
      </c>
      <c r="AL1" s="1400"/>
      <c r="AM1" s="1400"/>
      <c r="AN1" s="1400"/>
      <c r="AO1" s="1400"/>
      <c r="AP1" s="1400"/>
      <c r="AQ1" s="1401"/>
      <c r="AR1" s="1399" t="s">
        <v>70</v>
      </c>
      <c r="AS1" s="1400"/>
      <c r="AT1" s="1400"/>
      <c r="AU1" s="1400"/>
      <c r="AV1" s="1400"/>
      <c r="AW1" s="1400"/>
      <c r="AX1" s="1401"/>
      <c r="AY1" s="1399" t="s">
        <v>544</v>
      </c>
      <c r="AZ1" s="1400"/>
      <c r="BA1" s="1400"/>
      <c r="BB1" s="1400"/>
      <c r="BC1" s="1400"/>
      <c r="BD1" s="1400"/>
      <c r="BE1" s="1401"/>
      <c r="BF1" s="1399" t="s">
        <v>545</v>
      </c>
      <c r="BG1" s="1400"/>
      <c r="BH1" s="1400"/>
      <c r="BI1" s="1400"/>
      <c r="BJ1" s="1400"/>
      <c r="BK1" s="1400"/>
      <c r="BL1" s="1401"/>
      <c r="BM1" s="1399" t="s">
        <v>546</v>
      </c>
      <c r="BN1" s="1400"/>
      <c r="BO1" s="1400"/>
      <c r="BP1" s="1400"/>
      <c r="BQ1" s="1400"/>
      <c r="BR1" s="1400"/>
      <c r="BS1" s="1401"/>
      <c r="BT1" s="1399" t="s">
        <v>547</v>
      </c>
      <c r="BU1" s="1400"/>
      <c r="BV1" s="1400"/>
      <c r="BW1" s="1400"/>
      <c r="BX1" s="1400"/>
      <c r="BY1" s="1400"/>
      <c r="BZ1" s="1401"/>
      <c r="CA1" s="1399" t="s">
        <v>548</v>
      </c>
      <c r="CB1" s="1400"/>
      <c r="CC1" s="1400"/>
      <c r="CD1" s="1400"/>
      <c r="CE1" s="1400"/>
      <c r="CF1" s="1400"/>
      <c r="CG1" s="1401"/>
      <c r="CH1" s="1399" t="s">
        <v>549</v>
      </c>
      <c r="CI1" s="1400"/>
      <c r="CJ1" s="1400"/>
      <c r="CK1" s="1400"/>
      <c r="CL1" s="1400"/>
      <c r="CM1" s="1400"/>
      <c r="CN1" s="1401"/>
      <c r="CO1" s="1399" t="s">
        <v>550</v>
      </c>
      <c r="CP1" s="1400"/>
      <c r="CQ1" s="1400"/>
      <c r="CR1" s="1400"/>
      <c r="CS1" s="1400"/>
      <c r="CT1" s="1400"/>
      <c r="CU1" s="1401"/>
      <c r="CV1" s="1399" t="s">
        <v>551</v>
      </c>
      <c r="CW1" s="1400"/>
      <c r="CX1" s="1400"/>
      <c r="CY1" s="1400"/>
      <c r="CZ1" s="1400"/>
      <c r="DA1" s="1400"/>
      <c r="DB1" s="1401"/>
      <c r="DC1" s="1399" t="s">
        <v>552</v>
      </c>
      <c r="DD1" s="1400"/>
      <c r="DE1" s="1400"/>
      <c r="DF1" s="1400"/>
      <c r="DG1" s="1400"/>
      <c r="DH1" s="1400"/>
      <c r="DI1" s="1401"/>
      <c r="DJ1" s="1399" t="s">
        <v>553</v>
      </c>
      <c r="DK1" s="1400"/>
      <c r="DL1" s="1400"/>
      <c r="DM1" s="1400"/>
      <c r="DN1" s="1400"/>
      <c r="DO1" s="1400"/>
      <c r="DP1" s="1401"/>
      <c r="DQ1" s="1399" t="s">
        <v>554</v>
      </c>
      <c r="DR1" s="1400"/>
      <c r="DS1" s="1400"/>
      <c r="DT1" s="1400"/>
      <c r="DU1" s="1400"/>
      <c r="DV1" s="1400"/>
      <c r="DW1" s="1401"/>
    </row>
    <row r="2" spans="1:127" ht="28.9">
      <c r="A2" s="1398"/>
      <c r="B2" s="989" t="s">
        <v>531</v>
      </c>
      <c r="C2" s="989" t="s">
        <v>379</v>
      </c>
      <c r="D2" s="989" t="s">
        <v>380</v>
      </c>
      <c r="E2" s="989" t="s">
        <v>67</v>
      </c>
      <c r="F2" s="990" t="s">
        <v>66</v>
      </c>
      <c r="G2" s="990" t="s">
        <v>381</v>
      </c>
      <c r="H2" s="990" t="s">
        <v>65</v>
      </c>
      <c r="I2" s="989" t="s">
        <v>531</v>
      </c>
      <c r="J2" s="989" t="s">
        <v>379</v>
      </c>
      <c r="K2" s="989" t="s">
        <v>380</v>
      </c>
      <c r="L2" s="989" t="s">
        <v>67</v>
      </c>
      <c r="M2" s="990" t="s">
        <v>66</v>
      </c>
      <c r="N2" s="990" t="s">
        <v>381</v>
      </c>
      <c r="O2" s="990" t="s">
        <v>65</v>
      </c>
      <c r="P2" s="989" t="s">
        <v>531</v>
      </c>
      <c r="Q2" s="989" t="s">
        <v>379</v>
      </c>
      <c r="R2" s="989" t="s">
        <v>380</v>
      </c>
      <c r="S2" s="989" t="s">
        <v>67</v>
      </c>
      <c r="T2" s="990" t="s">
        <v>66</v>
      </c>
      <c r="U2" s="990" t="s">
        <v>381</v>
      </c>
      <c r="V2" s="990" t="s">
        <v>65</v>
      </c>
      <c r="W2" s="989" t="s">
        <v>531</v>
      </c>
      <c r="X2" s="989" t="s">
        <v>379</v>
      </c>
      <c r="Y2" s="989" t="s">
        <v>380</v>
      </c>
      <c r="Z2" s="989" t="s">
        <v>67</v>
      </c>
      <c r="AA2" s="990" t="s">
        <v>66</v>
      </c>
      <c r="AB2" s="990" t="s">
        <v>381</v>
      </c>
      <c r="AC2" s="990" t="s">
        <v>65</v>
      </c>
      <c r="AD2" s="989" t="s">
        <v>531</v>
      </c>
      <c r="AE2" s="989" t="s">
        <v>379</v>
      </c>
      <c r="AF2" s="989" t="s">
        <v>380</v>
      </c>
      <c r="AG2" s="989" t="s">
        <v>67</v>
      </c>
      <c r="AH2" s="990" t="s">
        <v>66</v>
      </c>
      <c r="AI2" s="990" t="s">
        <v>381</v>
      </c>
      <c r="AJ2" s="990" t="s">
        <v>65</v>
      </c>
      <c r="AK2" s="989" t="s">
        <v>531</v>
      </c>
      <c r="AL2" s="989" t="s">
        <v>379</v>
      </c>
      <c r="AM2" s="989" t="s">
        <v>380</v>
      </c>
      <c r="AN2" s="989" t="s">
        <v>67</v>
      </c>
      <c r="AO2" s="990" t="s">
        <v>66</v>
      </c>
      <c r="AP2" s="990" t="s">
        <v>381</v>
      </c>
      <c r="AQ2" s="990" t="s">
        <v>65</v>
      </c>
      <c r="AR2" s="989" t="s">
        <v>531</v>
      </c>
      <c r="AS2" s="989" t="s">
        <v>379</v>
      </c>
      <c r="AT2" s="989" t="s">
        <v>380</v>
      </c>
      <c r="AU2" s="989" t="s">
        <v>67</v>
      </c>
      <c r="AV2" s="990" t="s">
        <v>66</v>
      </c>
      <c r="AW2" s="990" t="s">
        <v>381</v>
      </c>
      <c r="AX2" s="990" t="s">
        <v>65</v>
      </c>
      <c r="AY2" s="989" t="s">
        <v>531</v>
      </c>
      <c r="AZ2" s="989" t="s">
        <v>379</v>
      </c>
      <c r="BA2" s="989" t="s">
        <v>380</v>
      </c>
      <c r="BB2" s="989" t="s">
        <v>67</v>
      </c>
      <c r="BC2" s="990" t="s">
        <v>66</v>
      </c>
      <c r="BD2" s="990" t="s">
        <v>381</v>
      </c>
      <c r="BE2" s="990" t="s">
        <v>65</v>
      </c>
      <c r="BF2" s="989" t="s">
        <v>531</v>
      </c>
      <c r="BG2" s="989" t="s">
        <v>379</v>
      </c>
      <c r="BH2" s="989" t="s">
        <v>380</v>
      </c>
      <c r="BI2" s="989" t="s">
        <v>67</v>
      </c>
      <c r="BJ2" s="990" t="s">
        <v>66</v>
      </c>
      <c r="BK2" s="990" t="s">
        <v>381</v>
      </c>
      <c r="BL2" s="990" t="s">
        <v>65</v>
      </c>
      <c r="BM2" s="989" t="s">
        <v>531</v>
      </c>
      <c r="BN2" s="989" t="s">
        <v>379</v>
      </c>
      <c r="BO2" s="989" t="s">
        <v>380</v>
      </c>
      <c r="BP2" s="989" t="s">
        <v>67</v>
      </c>
      <c r="BQ2" s="990" t="s">
        <v>66</v>
      </c>
      <c r="BR2" s="990" t="s">
        <v>381</v>
      </c>
      <c r="BS2" s="990" t="s">
        <v>65</v>
      </c>
      <c r="BT2" s="989" t="s">
        <v>531</v>
      </c>
      <c r="BU2" s="989" t="s">
        <v>379</v>
      </c>
      <c r="BV2" s="989" t="s">
        <v>380</v>
      </c>
      <c r="BW2" s="989" t="s">
        <v>67</v>
      </c>
      <c r="BX2" s="990" t="s">
        <v>66</v>
      </c>
      <c r="BY2" s="990" t="s">
        <v>381</v>
      </c>
      <c r="BZ2" s="990" t="s">
        <v>65</v>
      </c>
      <c r="CA2" s="989" t="s">
        <v>531</v>
      </c>
      <c r="CB2" s="989" t="s">
        <v>379</v>
      </c>
      <c r="CC2" s="989" t="s">
        <v>380</v>
      </c>
      <c r="CD2" s="989" t="s">
        <v>67</v>
      </c>
      <c r="CE2" s="990" t="s">
        <v>66</v>
      </c>
      <c r="CF2" s="990" t="s">
        <v>381</v>
      </c>
      <c r="CG2" s="990" t="s">
        <v>65</v>
      </c>
      <c r="CH2" s="989" t="s">
        <v>531</v>
      </c>
      <c r="CI2" s="989" t="s">
        <v>379</v>
      </c>
      <c r="CJ2" s="989" t="s">
        <v>380</v>
      </c>
      <c r="CK2" s="989" t="s">
        <v>67</v>
      </c>
      <c r="CL2" s="990" t="s">
        <v>66</v>
      </c>
      <c r="CM2" s="990" t="s">
        <v>381</v>
      </c>
      <c r="CN2" s="990" t="s">
        <v>65</v>
      </c>
      <c r="CO2" s="989" t="s">
        <v>531</v>
      </c>
      <c r="CP2" s="989" t="s">
        <v>379</v>
      </c>
      <c r="CQ2" s="989" t="s">
        <v>380</v>
      </c>
      <c r="CR2" s="989" t="s">
        <v>67</v>
      </c>
      <c r="CS2" s="990" t="s">
        <v>66</v>
      </c>
      <c r="CT2" s="990" t="s">
        <v>381</v>
      </c>
      <c r="CU2" s="990" t="s">
        <v>65</v>
      </c>
      <c r="CV2" s="989" t="s">
        <v>531</v>
      </c>
      <c r="CW2" s="989" t="s">
        <v>379</v>
      </c>
      <c r="CX2" s="989" t="s">
        <v>380</v>
      </c>
      <c r="CY2" s="989" t="s">
        <v>67</v>
      </c>
      <c r="CZ2" s="990" t="s">
        <v>66</v>
      </c>
      <c r="DA2" s="990" t="s">
        <v>381</v>
      </c>
      <c r="DB2" s="990" t="s">
        <v>65</v>
      </c>
      <c r="DC2" s="989" t="s">
        <v>531</v>
      </c>
      <c r="DD2" s="989" t="s">
        <v>379</v>
      </c>
      <c r="DE2" s="989" t="s">
        <v>380</v>
      </c>
      <c r="DF2" s="989" t="s">
        <v>67</v>
      </c>
      <c r="DG2" s="990" t="s">
        <v>66</v>
      </c>
      <c r="DH2" s="990" t="s">
        <v>381</v>
      </c>
      <c r="DI2" s="990" t="s">
        <v>65</v>
      </c>
      <c r="DJ2" s="989" t="s">
        <v>531</v>
      </c>
      <c r="DK2" s="989" t="s">
        <v>379</v>
      </c>
      <c r="DL2" s="989" t="s">
        <v>380</v>
      </c>
      <c r="DM2" s="989" t="s">
        <v>67</v>
      </c>
      <c r="DN2" s="990" t="s">
        <v>66</v>
      </c>
      <c r="DO2" s="990" t="s">
        <v>381</v>
      </c>
      <c r="DP2" s="990" t="s">
        <v>65</v>
      </c>
      <c r="DQ2" s="989" t="s">
        <v>531</v>
      </c>
      <c r="DR2" s="989" t="s">
        <v>379</v>
      </c>
      <c r="DS2" s="989" t="s">
        <v>380</v>
      </c>
      <c r="DT2" s="989" t="s">
        <v>67</v>
      </c>
      <c r="DU2" s="990" t="s">
        <v>66</v>
      </c>
      <c r="DV2" s="990" t="s">
        <v>381</v>
      </c>
      <c r="DW2" s="990" t="s">
        <v>65</v>
      </c>
    </row>
    <row r="3" spans="1:127" ht="15">
      <c r="A3" s="1046" t="str">
        <f>'Equipment '!A6</f>
        <v>01-Sep-26</v>
      </c>
      <c r="B3" s="644">
        <f t="shared" ref="B3:B33" si="0">I3+P3-M38</f>
        <v>97515.76610600001</v>
      </c>
      <c r="C3" s="644">
        <f>IFERROR(((($I3*J3)+($P3*Q3))/SUM($I3,$P3)),0)</f>
        <v>39.0128571428572</v>
      </c>
      <c r="D3" s="644">
        <f>IFERROR(((($I3*K3)+($P3*R3))/SUM($I3,$P3)),0)</f>
        <v>19.8028571428571</v>
      </c>
      <c r="E3" s="644">
        <f>IFERROR(((($I3*L3)+($P3*S3))/SUM($I3,$P3)),0)</f>
        <v>7.3742857142857092</v>
      </c>
      <c r="F3" s="644">
        <f>IFERROR(((($I3*M3)+($P3*T3))/SUM($I3,$P3)),0)</f>
        <v>0.13999999999999999</v>
      </c>
      <c r="G3" s="644">
        <f>(($I3*N3)+($P3*U3))/SUM($I3,$P3)</f>
        <v>4906.7583999999997</v>
      </c>
      <c r="H3" s="644">
        <f>(($I3*O3)+($P3*V3))/SUM($I3,$P3)</f>
        <v>3731.4194102818001</v>
      </c>
      <c r="I3" s="644">
        <v>97515.76610600001</v>
      </c>
      <c r="J3" s="1221">
        <v>39.0128571428572</v>
      </c>
      <c r="K3" s="1221">
        <v>19.8028571428571</v>
      </c>
      <c r="L3" s="1221">
        <v>7.3742857142857092</v>
      </c>
      <c r="M3" s="1221">
        <v>0.13999999999999999</v>
      </c>
      <c r="N3" s="1222">
        <v>4906.7583999999997</v>
      </c>
      <c r="O3" s="1222">
        <v>3731.4194102818001</v>
      </c>
      <c r="P3" s="644">
        <f>Actual!AV49</f>
        <v>0</v>
      </c>
      <c r="Q3" s="1232">
        <v>39.259692868249303</v>
      </c>
      <c r="R3" s="1232">
        <v>22.233939419516801</v>
      </c>
      <c r="S3" s="1221">
        <v>5.1624683361673904</v>
      </c>
      <c r="T3" s="1221">
        <v>0.16306692045557394</v>
      </c>
      <c r="U3" s="1233">
        <v>4982.7757437603759</v>
      </c>
      <c r="V3" s="1233">
        <v>3891.8691108367598</v>
      </c>
      <c r="W3" s="644">
        <f>AD3+AK3-N38</f>
        <v>0</v>
      </c>
      <c r="X3" s="1131">
        <f t="shared" ref="X3:AC3" si="1">IFERROR(((($AD3*AE3)+($AK3*AL3))/SUM($AD3,$AK3)),0)</f>
        <v>0</v>
      </c>
      <c r="Y3" s="1132">
        <f t="shared" si="1"/>
        <v>0</v>
      </c>
      <c r="Z3" s="1132">
        <f t="shared" si="1"/>
        <v>0</v>
      </c>
      <c r="AA3" s="1132">
        <f t="shared" si="1"/>
        <v>0</v>
      </c>
      <c r="AB3" s="1132">
        <f t="shared" si="1"/>
        <v>0</v>
      </c>
      <c r="AC3" s="1132">
        <f t="shared" si="1"/>
        <v>0</v>
      </c>
      <c r="AD3" s="1177">
        <v>0</v>
      </c>
      <c r="AE3" s="1177">
        <v>39.67</v>
      </c>
      <c r="AF3" s="1177">
        <v>15.61</v>
      </c>
      <c r="AG3" s="1177">
        <v>13.81</v>
      </c>
      <c r="AH3" s="1177">
        <v>0.22</v>
      </c>
      <c r="AI3" s="1177">
        <v>4788</v>
      </c>
      <c r="AJ3" s="1177">
        <v>3422.9178812655523</v>
      </c>
      <c r="AK3" s="362">
        <f>Actual!AU49</f>
        <v>0</v>
      </c>
      <c r="AL3" s="1176">
        <v>39.450000000000003</v>
      </c>
      <c r="AM3" s="1176">
        <v>17.2</v>
      </c>
      <c r="AN3" s="1177">
        <v>13.18</v>
      </c>
      <c r="AO3" s="1177">
        <v>0.13</v>
      </c>
      <c r="AP3" s="1178">
        <v>4789</v>
      </c>
      <c r="AQ3" s="1178">
        <v>3502.1008454106282</v>
      </c>
      <c r="AR3" s="644">
        <f>AY3+BF3-O38-P38</f>
        <v>2697.3303620000002</v>
      </c>
      <c r="AS3" s="1132">
        <f t="shared" ref="AS3:AX3" si="2">IFERROR(((($AY3*AZ3)+($BF3*BG3))/SUM($AY3,$BF3)),0)</f>
        <v>39.54</v>
      </c>
      <c r="AT3" s="1132">
        <f t="shared" si="2"/>
        <v>22.28</v>
      </c>
      <c r="AU3" s="1132">
        <f t="shared" si="2"/>
        <v>8.8800000000000008</v>
      </c>
      <c r="AV3" s="1132">
        <f t="shared" si="2"/>
        <v>0.1</v>
      </c>
      <c r="AW3" s="1132">
        <f t="shared" si="2"/>
        <v>4728</v>
      </c>
      <c r="AX3" s="1132">
        <f t="shared" si="2"/>
        <v>3678.0092640247044</v>
      </c>
      <c r="AY3" s="644">
        <v>2697.3303620000002</v>
      </c>
      <c r="AZ3" s="1221">
        <v>39.54</v>
      </c>
      <c r="BA3" s="1221">
        <v>22.28</v>
      </c>
      <c r="BB3" s="1221">
        <v>8.8800000000000008</v>
      </c>
      <c r="BC3" s="1221">
        <v>0.1</v>
      </c>
      <c r="BD3" s="1221">
        <v>4728</v>
      </c>
      <c r="BE3" s="1221">
        <v>3678.009264024704</v>
      </c>
      <c r="BF3" s="405">
        <f>Actual!AW49</f>
        <v>0</v>
      </c>
      <c r="BG3" s="1232">
        <v>38.758693568593003</v>
      </c>
      <c r="BH3" s="1232">
        <v>24.565816766115823</v>
      </c>
      <c r="BI3" s="1221">
        <v>6.9297573448338197</v>
      </c>
      <c r="BJ3" s="1221">
        <v>0.18280031980514408</v>
      </c>
      <c r="BK3" s="1233">
        <v>4389.8195426817128</v>
      </c>
      <c r="BL3" s="1233">
        <v>3745.45548895927</v>
      </c>
      <c r="BM3" s="644">
        <f t="shared" ref="BM3:BM33" si="3">BT3+CA3-R38</f>
        <v>0</v>
      </c>
      <c r="BN3" s="1132">
        <f t="shared" ref="BN3:BS3" si="4">IFERROR(((($BT3*BU3)+($CA3*CB3))/SUM($BT3,$CA3)),0)</f>
        <v>0</v>
      </c>
      <c r="BO3" s="1132">
        <f t="shared" si="4"/>
        <v>0</v>
      </c>
      <c r="BP3" s="1132">
        <f t="shared" si="4"/>
        <v>0</v>
      </c>
      <c r="BQ3" s="1132">
        <f t="shared" si="4"/>
        <v>0</v>
      </c>
      <c r="BR3" s="1132">
        <f t="shared" si="4"/>
        <v>0</v>
      </c>
      <c r="BS3" s="1132">
        <f t="shared" si="4"/>
        <v>0</v>
      </c>
      <c r="BT3" s="1177">
        <v>0</v>
      </c>
      <c r="BU3" s="1177">
        <v>0</v>
      </c>
      <c r="BV3" s="1177">
        <v>0</v>
      </c>
      <c r="BW3" s="1177">
        <v>0</v>
      </c>
      <c r="BX3" s="1177">
        <v>0</v>
      </c>
      <c r="BY3" s="1177">
        <v>0</v>
      </c>
      <c r="BZ3" s="1177">
        <v>0</v>
      </c>
      <c r="CA3" s="362">
        <f>Actual!AY49</f>
        <v>0</v>
      </c>
      <c r="CB3" s="644">
        <f t="shared" ref="CB3:CG3" si="5">IF(CA3=0,0,Q3)</f>
        <v>0</v>
      </c>
      <c r="CC3" s="644">
        <f t="shared" si="5"/>
        <v>0</v>
      </c>
      <c r="CD3" s="644">
        <f t="shared" si="5"/>
        <v>0</v>
      </c>
      <c r="CE3" s="644">
        <f t="shared" si="5"/>
        <v>0</v>
      </c>
      <c r="CF3" s="644">
        <f t="shared" si="5"/>
        <v>0</v>
      </c>
      <c r="CG3" s="644">
        <f t="shared" si="5"/>
        <v>0</v>
      </c>
      <c r="CH3" s="644">
        <f t="shared" ref="CH3:CH33" si="6">CO3+CV3-S38</f>
        <v>0</v>
      </c>
      <c r="CI3" s="1132">
        <f t="shared" ref="CI3:CN3" si="7">IFERROR(((($CO3*CP3)+($CV3*CW3))/SUM($CO3,$CV3)),0)</f>
        <v>0</v>
      </c>
      <c r="CJ3" s="1132">
        <f t="shared" si="7"/>
        <v>0</v>
      </c>
      <c r="CK3" s="1132">
        <f t="shared" si="7"/>
        <v>0</v>
      </c>
      <c r="CL3" s="1132">
        <f t="shared" si="7"/>
        <v>0</v>
      </c>
      <c r="CM3" s="1132">
        <f t="shared" si="7"/>
        <v>0</v>
      </c>
      <c r="CN3" s="1132">
        <f t="shared" si="7"/>
        <v>0</v>
      </c>
      <c r="CO3" s="644">
        <v>0</v>
      </c>
      <c r="CP3" s="1177">
        <v>40.119999999999997</v>
      </c>
      <c r="CQ3" s="1177">
        <v>16.54</v>
      </c>
      <c r="CR3" s="1177">
        <v>15.56</v>
      </c>
      <c r="CS3" s="1177">
        <v>0.18</v>
      </c>
      <c r="CT3" s="1177">
        <v>4617</v>
      </c>
      <c r="CU3" s="1177">
        <v>3312.5564342199855</v>
      </c>
      <c r="CV3" s="362">
        <f>Actual!AX49</f>
        <v>0</v>
      </c>
      <c r="CW3" s="1177">
        <v>39.450000000000003</v>
      </c>
      <c r="CX3" s="1177">
        <v>17.2</v>
      </c>
      <c r="CY3" s="1177">
        <v>13.18</v>
      </c>
      <c r="CZ3" s="1177">
        <v>0.13</v>
      </c>
      <c r="DA3" s="1177">
        <v>4789</v>
      </c>
      <c r="DB3" s="1177">
        <v>3502.1008454106282</v>
      </c>
      <c r="DC3" s="644">
        <f>DJ3+DQ3-T38</f>
        <v>56651.176224000003</v>
      </c>
      <c r="DD3" s="1132">
        <f t="shared" ref="DD3:DI3" si="8">IFERROR(((($DJ3*DK3)+($DQ3*DR3))/SUM($DJ3,$DQ3)),0)</f>
        <v>38.943999999999996</v>
      </c>
      <c r="DE3" s="1132">
        <f t="shared" si="8"/>
        <v>20.836000000000002</v>
      </c>
      <c r="DF3" s="1132">
        <f t="shared" si="8"/>
        <v>8.9700000000000006</v>
      </c>
      <c r="DG3" s="1132">
        <f t="shared" si="8"/>
        <v>0.16800000000000001</v>
      </c>
      <c r="DH3" s="1132">
        <f t="shared" si="8"/>
        <v>4728</v>
      </c>
      <c r="DI3" s="1132">
        <f t="shared" si="8"/>
        <v>3646.5156889495224</v>
      </c>
      <c r="DJ3" s="1177">
        <v>56651.176224000003</v>
      </c>
      <c r="DK3" s="1177">
        <v>38.943999999999996</v>
      </c>
      <c r="DL3" s="1177">
        <v>20.836000000000002</v>
      </c>
      <c r="DM3" s="1177">
        <v>8.9700000000000006</v>
      </c>
      <c r="DN3" s="1177">
        <v>0.16800000000000001</v>
      </c>
      <c r="DO3" s="1177">
        <v>4728</v>
      </c>
      <c r="DP3" s="1177">
        <v>3646.5156889495224</v>
      </c>
      <c r="DQ3" s="362">
        <f>Actual!AZ49</f>
        <v>0</v>
      </c>
      <c r="DR3" s="644">
        <f>IF(DQ3=0,0,BG3)</f>
        <v>0</v>
      </c>
      <c r="DS3" s="644">
        <f t="shared" ref="DS3:DW18" si="9">IF(DR3=0,0,BH3)</f>
        <v>0</v>
      </c>
      <c r="DT3" s="644">
        <f t="shared" si="9"/>
        <v>0</v>
      </c>
      <c r="DU3" s="644">
        <f t="shared" si="9"/>
        <v>0</v>
      </c>
      <c r="DV3" s="644">
        <f t="shared" si="9"/>
        <v>0</v>
      </c>
      <c r="DW3" s="644">
        <f t="shared" si="9"/>
        <v>0</v>
      </c>
    </row>
    <row r="4" spans="1:127" ht="15">
      <c r="A4" s="1046" t="str">
        <f>'Equipment '!A7</f>
        <v>02-Sep-26</v>
      </c>
      <c r="B4" s="644">
        <f t="shared" si="0"/>
        <v>97515.76610600001</v>
      </c>
      <c r="C4" s="644">
        <f t="shared" ref="C4:C33" si="10">IFERROR(((($I4*J4)+($P4*Q4))/SUM($I4,$P4)),0)</f>
        <v>39.0128571428572</v>
      </c>
      <c r="D4" s="644">
        <f t="shared" ref="D4:D33" si="11">IFERROR(((($I4*K4)+($P4*R4))/SUM($I4,$P4)),0)</f>
        <v>19.8028571428571</v>
      </c>
      <c r="E4" s="644">
        <f t="shared" ref="E4:E33" si="12">IFERROR(((($I4*L4)+($P4*S4))/SUM($I4,$P4)),0)</f>
        <v>7.3742857142857092</v>
      </c>
      <c r="F4" s="644">
        <f t="shared" ref="F4:F33" si="13">IFERROR(((($I4*M4)+($P4*T4))/SUM($I4,$P4)),0)</f>
        <v>0.13999999999999999</v>
      </c>
      <c r="G4" s="644">
        <f t="shared" ref="G4:G33" si="14">(($I4*N4)+($P4*U4))/SUM($I4,$P4)</f>
        <v>4906.7583999999997</v>
      </c>
      <c r="H4" s="644">
        <f>(($I4*O4)+($P4*V4))/SUM($I4,$P4)</f>
        <v>3731.4194102818001</v>
      </c>
      <c r="I4" s="644">
        <f t="shared" ref="I4:O4" si="15">B3</f>
        <v>97515.76610600001</v>
      </c>
      <c r="J4" s="644">
        <f t="shared" si="15"/>
        <v>39.0128571428572</v>
      </c>
      <c r="K4" s="644">
        <f t="shared" si="15"/>
        <v>19.8028571428571</v>
      </c>
      <c r="L4" s="644">
        <f t="shared" si="15"/>
        <v>7.3742857142857092</v>
      </c>
      <c r="M4" s="644">
        <f t="shared" si="15"/>
        <v>0.13999999999999999</v>
      </c>
      <c r="N4" s="644">
        <f t="shared" si="15"/>
        <v>4906.7583999999997</v>
      </c>
      <c r="O4" s="644">
        <f t="shared" si="15"/>
        <v>3731.4194102818001</v>
      </c>
      <c r="P4" s="644">
        <f>Actual!AV50</f>
        <v>0</v>
      </c>
      <c r="Q4" s="1130">
        <f t="shared" ref="Q4:V4" si="16">Q3</f>
        <v>39.259692868249303</v>
      </c>
      <c r="R4" s="1130">
        <f t="shared" si="16"/>
        <v>22.233939419516801</v>
      </c>
      <c r="S4" s="1130">
        <f t="shared" si="16"/>
        <v>5.1624683361673904</v>
      </c>
      <c r="T4" s="1130">
        <f t="shared" si="16"/>
        <v>0.16306692045557394</v>
      </c>
      <c r="U4" s="1130">
        <f t="shared" si="16"/>
        <v>4982.7757437603759</v>
      </c>
      <c r="V4" s="1130">
        <f t="shared" si="16"/>
        <v>3891.8691108367598</v>
      </c>
      <c r="W4" s="644">
        <f t="shared" ref="W4:W33" si="17">AD4+AK4-N39</f>
        <v>0</v>
      </c>
      <c r="X4" s="1131">
        <f t="shared" ref="X4:X33" si="18">IFERROR(((($AD4*AE4)+($AK4*AL4))/SUM(AD4,AK4)),0)</f>
        <v>0</v>
      </c>
      <c r="Y4" s="1132">
        <f t="shared" ref="Y4:Y33" si="19">IFERROR(((($AD4*AF4)+($AK4*AM4))/SUM($AD4,$AK4)),0)</f>
        <v>0</v>
      </c>
      <c r="Z4" s="1132">
        <f t="shared" ref="Z4:Z33" si="20">IFERROR(((($AD4*AG4)+($AK4*AN4))/SUM($AD4,$AK4)),0)</f>
        <v>0</v>
      </c>
      <c r="AA4" s="1132">
        <f t="shared" ref="AA4:AA33" si="21">IFERROR(((($AD4*AH4)+($AK4*AO4))/SUM($AD4,$AK4)),0)</f>
        <v>0</v>
      </c>
      <c r="AB4" s="1132">
        <f t="shared" ref="AB4:AB33" si="22">IFERROR(((($AD4*AI4)+($AK4*AP4))/SUM($AD4,$AK4)),0)</f>
        <v>0</v>
      </c>
      <c r="AC4" s="1132">
        <f t="shared" ref="AC4:AC33" si="23">IFERROR(((($AD4*AJ4)+($AK4*AQ4))/SUM($AD4,$AK4)),0)</f>
        <v>0</v>
      </c>
      <c r="AD4" s="644">
        <f t="shared" ref="AD4:AJ4" si="24">W3</f>
        <v>0</v>
      </c>
      <c r="AE4" s="644">
        <f t="shared" si="24"/>
        <v>0</v>
      </c>
      <c r="AF4" s="644">
        <f t="shared" si="24"/>
        <v>0</v>
      </c>
      <c r="AG4" s="644">
        <f t="shared" si="24"/>
        <v>0</v>
      </c>
      <c r="AH4" s="644">
        <f t="shared" si="24"/>
        <v>0</v>
      </c>
      <c r="AI4" s="1132">
        <f t="shared" si="24"/>
        <v>0</v>
      </c>
      <c r="AJ4" s="1132">
        <f t="shared" si="24"/>
        <v>0</v>
      </c>
      <c r="AK4" s="362">
        <f>Actual!AU50</f>
        <v>0</v>
      </c>
      <c r="AL4" s="644">
        <f t="shared" ref="AL4:AQ4" si="25">AL3</f>
        <v>39.450000000000003</v>
      </c>
      <c r="AM4" s="644">
        <f t="shared" si="25"/>
        <v>17.2</v>
      </c>
      <c r="AN4" s="644">
        <f t="shared" si="25"/>
        <v>13.18</v>
      </c>
      <c r="AO4" s="644">
        <f t="shared" si="25"/>
        <v>0.13</v>
      </c>
      <c r="AP4" s="644">
        <f t="shared" si="25"/>
        <v>4789</v>
      </c>
      <c r="AQ4" s="644">
        <f t="shared" si="25"/>
        <v>3502.1008454106282</v>
      </c>
      <c r="AR4" s="644">
        <f t="shared" ref="AR4:AR33" si="26">AY4+BF4-O39-P39</f>
        <v>2697.3303620000002</v>
      </c>
      <c r="AS4" s="1132">
        <f>IFERROR(((($AY4*AZ4)+($BF4*BG4))/SUM($AY4,$BF4)),0)</f>
        <v>39.54</v>
      </c>
      <c r="AT4" s="1132">
        <f t="shared" ref="AT4:AT33" si="27">IFERROR(((($AY4*BA4)+($BF4*BH4))/SUM($AY4,$BF4)),0)</f>
        <v>22.28</v>
      </c>
      <c r="AU4" s="1132">
        <f t="shared" ref="AU4:AU33" si="28">IFERROR(((($AY4*BB4)+($BF4*BI4))/SUM($AY4,$BF4)),0)</f>
        <v>8.8800000000000008</v>
      </c>
      <c r="AV4" s="1132">
        <f t="shared" ref="AV4:AV33" si="29">IFERROR(((($AY4*BC4)+($BF4*BJ4))/SUM($AY4,$BF4)),0)</f>
        <v>0.1</v>
      </c>
      <c r="AW4" s="1132">
        <f t="shared" ref="AW4:AW33" si="30">IFERROR(((($AY4*BD4)+($BF4*BK4))/SUM($AY4,$BF4)),0)</f>
        <v>4728</v>
      </c>
      <c r="AX4" s="1132">
        <f t="shared" ref="AX4:AX33" si="31">IFERROR(((($AY4*BE4)+($BF4*BL4))/SUM($AY4,$BF4)),0)</f>
        <v>3678.0092640247044</v>
      </c>
      <c r="AY4" s="644">
        <f t="shared" ref="AY4:BE4" si="32">AR3</f>
        <v>2697.3303620000002</v>
      </c>
      <c r="AZ4" s="644">
        <f t="shared" si="32"/>
        <v>39.54</v>
      </c>
      <c r="BA4" s="644">
        <f t="shared" si="32"/>
        <v>22.28</v>
      </c>
      <c r="BB4" s="644">
        <f t="shared" si="32"/>
        <v>8.8800000000000008</v>
      </c>
      <c r="BC4" s="644">
        <f t="shared" si="32"/>
        <v>0.1</v>
      </c>
      <c r="BD4" s="644">
        <f t="shared" si="32"/>
        <v>4728</v>
      </c>
      <c r="BE4" s="644">
        <f t="shared" si="32"/>
        <v>3678.0092640247044</v>
      </c>
      <c r="BF4" s="405">
        <f>Actual!AW50</f>
        <v>0</v>
      </c>
      <c r="BG4" s="1129">
        <f>BG3</f>
        <v>38.758693568593003</v>
      </c>
      <c r="BH4" s="1129">
        <f t="shared" ref="BH4:BL4" si="33">BH3</f>
        <v>24.565816766115823</v>
      </c>
      <c r="BI4" s="1129">
        <f t="shared" si="33"/>
        <v>6.9297573448338197</v>
      </c>
      <c r="BJ4" s="1129">
        <f t="shared" si="33"/>
        <v>0.18280031980514408</v>
      </c>
      <c r="BK4" s="1129">
        <f t="shared" si="33"/>
        <v>4389.8195426817128</v>
      </c>
      <c r="BL4" s="1129">
        <f t="shared" si="33"/>
        <v>3745.45548895927</v>
      </c>
      <c r="BM4" s="644">
        <f t="shared" si="3"/>
        <v>0</v>
      </c>
      <c r="BN4" s="1132">
        <f t="shared" ref="BN4:BN33" si="34">IFERROR(((($BT4*BU4)+($CA4*CB4))/SUM($BT4,$CA4)),0)</f>
        <v>0</v>
      </c>
      <c r="BO4" s="1132">
        <f t="shared" ref="BO4:BO33" si="35">IFERROR(((($BT4*BV4)+($CA4*CC4))/SUM($BT4,$CA4)),0)</f>
        <v>0</v>
      </c>
      <c r="BP4" s="1132">
        <f t="shared" ref="BP4:BP33" si="36">IFERROR(((($BT4*BW4)+($CA4*CD4))/SUM($BT4,$CA4)),0)</f>
        <v>0</v>
      </c>
      <c r="BQ4" s="1132">
        <f t="shared" ref="BQ4:BQ33" si="37">IFERROR(((($BT4*BX4)+($CA4*CE4))/SUM($BT4,$CA4)),0)</f>
        <v>0</v>
      </c>
      <c r="BR4" s="1132">
        <f t="shared" ref="BR4:BR33" si="38">IFERROR(((($BT4*BY4)+($CA4*CF4))/SUM($BT4,$CA4)),0)</f>
        <v>0</v>
      </c>
      <c r="BS4" s="1132">
        <f t="shared" ref="BS4:BS33" si="39">IFERROR(((($BT4*BZ4)+($CA4*CG4))/SUM($BT4,$CA4)),0)</f>
        <v>0</v>
      </c>
      <c r="BT4" s="644">
        <f t="shared" ref="BT4:BZ4" si="40">BM3</f>
        <v>0</v>
      </c>
      <c r="BU4" s="644">
        <f t="shared" si="40"/>
        <v>0</v>
      </c>
      <c r="BV4" s="644">
        <f t="shared" si="40"/>
        <v>0</v>
      </c>
      <c r="BW4" s="644">
        <f t="shared" si="40"/>
        <v>0</v>
      </c>
      <c r="BX4" s="644">
        <f t="shared" si="40"/>
        <v>0</v>
      </c>
      <c r="BY4" s="644">
        <f t="shared" si="40"/>
        <v>0</v>
      </c>
      <c r="BZ4" s="644">
        <f t="shared" si="40"/>
        <v>0</v>
      </c>
      <c r="CA4" s="362">
        <f>Actual!AY50</f>
        <v>0</v>
      </c>
      <c r="CB4" s="644">
        <f t="shared" ref="CB4:CB33" si="41">IF(CA4=0,0,Q4)</f>
        <v>0</v>
      </c>
      <c r="CC4" s="644">
        <f t="shared" ref="CC4:CC33" si="42">IF(CB4=0,0,R4)</f>
        <v>0</v>
      </c>
      <c r="CD4" s="644">
        <f t="shared" ref="CD4:CD33" si="43">IF(CC4=0,0,S4)</f>
        <v>0</v>
      </c>
      <c r="CE4" s="644">
        <f t="shared" ref="CE4:CE33" si="44">IF(CD4=0,0,T4)</f>
        <v>0</v>
      </c>
      <c r="CF4" s="644">
        <f t="shared" ref="CF4:CF33" si="45">IF(CE4=0,0,U4)</f>
        <v>0</v>
      </c>
      <c r="CG4" s="644">
        <f t="shared" ref="CG4:CG33" si="46">IF(CF4=0,0,V4)</f>
        <v>0</v>
      </c>
      <c r="CH4" s="644">
        <f t="shared" si="6"/>
        <v>0</v>
      </c>
      <c r="CI4" s="1132">
        <f t="shared" ref="CI4:CI33" si="47">IFERROR(((($CO4*CP4)+($CV4*CW4))/SUM($CO4,$CV4)),0)</f>
        <v>0</v>
      </c>
      <c r="CJ4" s="1132">
        <f t="shared" ref="CJ4:CJ33" si="48">IFERROR(((($CO4*CQ4)+($CV4*CX4))/SUM($CO4,$CV4)),0)</f>
        <v>0</v>
      </c>
      <c r="CK4" s="1132">
        <f t="shared" ref="CK4:CK33" si="49">IFERROR(((($CO4*CR4)+($CV4*CY4))/SUM($CO4,$CV4)),0)</f>
        <v>0</v>
      </c>
      <c r="CL4" s="1132">
        <f t="shared" ref="CL4:CL33" si="50">IFERROR(((($CO4*CS4)+($CV4*CZ4))/SUM($CO4,$CV4)),0)</f>
        <v>0</v>
      </c>
      <c r="CM4" s="1132">
        <f t="shared" ref="CM4:CM33" si="51">IFERROR(((($CO4*CT4)+($CV4*DA4))/SUM($CO4,$CV4)),0)</f>
        <v>0</v>
      </c>
      <c r="CN4" s="1132">
        <f t="shared" ref="CN4:CN33" si="52">IFERROR(((($CO4*CU4)+($CV4*DB4))/SUM($CO4,$CV4)),0)</f>
        <v>0</v>
      </c>
      <c r="CO4" s="644">
        <f>CH3</f>
        <v>0</v>
      </c>
      <c r="CP4" s="644">
        <f t="shared" ref="CP4:CU4" si="53">CI3</f>
        <v>0</v>
      </c>
      <c r="CQ4" s="644">
        <f t="shared" si="53"/>
        <v>0</v>
      </c>
      <c r="CR4" s="644">
        <f t="shared" si="53"/>
        <v>0</v>
      </c>
      <c r="CS4" s="644">
        <f t="shared" si="53"/>
        <v>0</v>
      </c>
      <c r="CT4" s="644">
        <f t="shared" si="53"/>
        <v>0</v>
      </c>
      <c r="CU4" s="644">
        <f t="shared" si="53"/>
        <v>0</v>
      </c>
      <c r="CV4" s="362">
        <f>Actual!AX50</f>
        <v>0</v>
      </c>
      <c r="CW4" s="644">
        <f t="shared" ref="CW4:CW33" si="54">IF(CV4=0,0,AL4)</f>
        <v>0</v>
      </c>
      <c r="CX4" s="644">
        <f t="shared" ref="CX4:CX33" si="55">IF(CW4=0,0,AM4)</f>
        <v>0</v>
      </c>
      <c r="CY4" s="644">
        <f t="shared" ref="CY4:CY33" si="56">IF(CX4=0,0,AN4)</f>
        <v>0</v>
      </c>
      <c r="CZ4" s="644">
        <f t="shared" ref="CZ4:CZ33" si="57">IF(CY4=0,0,AO4)</f>
        <v>0</v>
      </c>
      <c r="DA4" s="644">
        <f t="shared" ref="DA4:DA33" si="58">IF(CZ4=0,0,AP4)</f>
        <v>0</v>
      </c>
      <c r="DB4" s="644">
        <f t="shared" ref="DB4:DB33" si="59">IF(DA4=0,0,AQ4)</f>
        <v>0</v>
      </c>
      <c r="DC4" s="644">
        <f>DJ4+DQ4-T39</f>
        <v>56651.176224000003</v>
      </c>
      <c r="DD4" s="1132">
        <f>IFERROR(((($DJ4*DK4)+($DQ4*DR4))/SUM($DJ4,$DQ4)),0)</f>
        <v>38.943999999999996</v>
      </c>
      <c r="DE4" s="1132">
        <f t="shared" ref="DE4:DE33" si="60">IFERROR(((($DJ4*DL4)+($DQ4*DS4))/SUM($DJ4,$DQ4)),0)</f>
        <v>20.836000000000002</v>
      </c>
      <c r="DF4" s="1132">
        <f t="shared" ref="DF4:DF33" si="61">IFERROR(((($DJ4*DM4)+($DQ4*DT4))/SUM($DJ4,$DQ4)),0)</f>
        <v>8.9700000000000006</v>
      </c>
      <c r="DG4" s="1132">
        <f t="shared" ref="DG4:DG33" si="62">IFERROR(((($DJ4*DN4)+($DQ4*DU4))/SUM($DJ4,$DQ4)),0)</f>
        <v>0.16800000000000001</v>
      </c>
      <c r="DH4" s="1132">
        <f t="shared" ref="DH4:DH33" si="63">IFERROR(((($DJ4*DO4)+($DQ4*DV4))/SUM($DJ4,$DQ4)),0)</f>
        <v>4728</v>
      </c>
      <c r="DI4" s="1132">
        <f t="shared" ref="DI4:DI33" si="64">IFERROR(((($DJ4*DP4)+($DQ4*DW4))/SUM($DJ4,$DQ4)),0)</f>
        <v>3646.5156889495224</v>
      </c>
      <c r="DJ4" s="644">
        <f t="shared" ref="DJ4:DP4" si="65">DC3</f>
        <v>56651.176224000003</v>
      </c>
      <c r="DK4" s="644">
        <f>DD3</f>
        <v>38.943999999999996</v>
      </c>
      <c r="DL4" s="644">
        <f t="shared" si="65"/>
        <v>20.836000000000002</v>
      </c>
      <c r="DM4" s="644">
        <f t="shared" si="65"/>
        <v>8.9700000000000006</v>
      </c>
      <c r="DN4" s="644">
        <f t="shared" si="65"/>
        <v>0.16800000000000001</v>
      </c>
      <c r="DO4" s="644">
        <f t="shared" si="65"/>
        <v>4728</v>
      </c>
      <c r="DP4" s="644">
        <f t="shared" si="65"/>
        <v>3646.5156889495224</v>
      </c>
      <c r="DQ4" s="362">
        <f>Actual!AZ50</f>
        <v>0</v>
      </c>
      <c r="DR4" s="644">
        <f>IF(DQ4=0,0,BG4)</f>
        <v>0</v>
      </c>
      <c r="DS4" s="644">
        <f t="shared" si="9"/>
        <v>0</v>
      </c>
      <c r="DT4" s="644">
        <f t="shared" si="9"/>
        <v>0</v>
      </c>
      <c r="DU4" s="644">
        <f t="shared" si="9"/>
        <v>0</v>
      </c>
      <c r="DV4" s="644">
        <f t="shared" si="9"/>
        <v>0</v>
      </c>
      <c r="DW4" s="644">
        <f t="shared" si="9"/>
        <v>0</v>
      </c>
    </row>
    <row r="5" spans="1:127" ht="15">
      <c r="A5" s="1046" t="str">
        <f>'Equipment '!A8</f>
        <v>03-Sep-26</v>
      </c>
      <c r="B5" s="644">
        <f>I5+P5-M40</f>
        <v>97515.76610600001</v>
      </c>
      <c r="C5" s="644">
        <f t="shared" si="10"/>
        <v>39.0128571428572</v>
      </c>
      <c r="D5" s="644">
        <f t="shared" si="11"/>
        <v>19.8028571428571</v>
      </c>
      <c r="E5" s="644">
        <f t="shared" si="12"/>
        <v>7.3742857142857092</v>
      </c>
      <c r="F5" s="644">
        <f t="shared" si="13"/>
        <v>0.13999999999999999</v>
      </c>
      <c r="G5" s="644">
        <f t="shared" si="14"/>
        <v>4906.7583999999997</v>
      </c>
      <c r="H5" s="644">
        <f t="shared" ref="H5:H33" si="66">(($I5*O5)+($P5*V5))/SUM($I5,$P5)</f>
        <v>3731.4194102818001</v>
      </c>
      <c r="I5" s="644">
        <f t="shared" ref="I5:I33" si="67">B4</f>
        <v>97515.76610600001</v>
      </c>
      <c r="J5" s="644">
        <f t="shared" ref="J5:J33" si="68">C4</f>
        <v>39.0128571428572</v>
      </c>
      <c r="K5" s="644">
        <f t="shared" ref="K5:K33" si="69">D4</f>
        <v>19.8028571428571</v>
      </c>
      <c r="L5" s="644">
        <f t="shared" ref="L5:L33" si="70">E4</f>
        <v>7.3742857142857092</v>
      </c>
      <c r="M5" s="644">
        <f t="shared" ref="M5:M33" si="71">F4</f>
        <v>0.13999999999999999</v>
      </c>
      <c r="N5" s="644">
        <f t="shared" ref="N5:N33" si="72">G4</f>
        <v>4906.7583999999997</v>
      </c>
      <c r="O5" s="644">
        <f t="shared" ref="O5:O33" si="73">H4</f>
        <v>3731.4194102818001</v>
      </c>
      <c r="P5" s="644">
        <f>Actual!AV51</f>
        <v>0</v>
      </c>
      <c r="Q5" s="1130">
        <f t="shared" ref="Q5:V5" si="74">Q4</f>
        <v>39.259692868249303</v>
      </c>
      <c r="R5" s="1130">
        <f t="shared" si="74"/>
        <v>22.233939419516801</v>
      </c>
      <c r="S5" s="1130">
        <f t="shared" si="74"/>
        <v>5.1624683361673904</v>
      </c>
      <c r="T5" s="1130">
        <f t="shared" si="74"/>
        <v>0.16306692045557394</v>
      </c>
      <c r="U5" s="1130">
        <f t="shared" si="74"/>
        <v>4982.7757437603759</v>
      </c>
      <c r="V5" s="1130">
        <f t="shared" si="74"/>
        <v>3891.8691108367598</v>
      </c>
      <c r="W5" s="644">
        <f t="shared" si="17"/>
        <v>0</v>
      </c>
      <c r="X5" s="1131">
        <f t="shared" si="18"/>
        <v>0</v>
      </c>
      <c r="Y5" s="1132">
        <f t="shared" si="19"/>
        <v>0</v>
      </c>
      <c r="Z5" s="1132">
        <f t="shared" si="20"/>
        <v>0</v>
      </c>
      <c r="AA5" s="1132">
        <f t="shared" si="21"/>
        <v>0</v>
      </c>
      <c r="AB5" s="1132">
        <f t="shared" si="22"/>
        <v>0</v>
      </c>
      <c r="AC5" s="1132">
        <f t="shared" si="23"/>
        <v>0</v>
      </c>
      <c r="AD5" s="644">
        <f t="shared" ref="AD5:AD33" si="75">W4</f>
        <v>0</v>
      </c>
      <c r="AE5" s="644">
        <f t="shared" ref="AE5:AE33" si="76">X4</f>
        <v>0</v>
      </c>
      <c r="AF5" s="644">
        <f t="shared" ref="AF5:AF33" si="77">Y4</f>
        <v>0</v>
      </c>
      <c r="AG5" s="644">
        <f t="shared" ref="AG5:AG33" si="78">Z4</f>
        <v>0</v>
      </c>
      <c r="AH5" s="644">
        <f t="shared" ref="AH5:AH33" si="79">AA4</f>
        <v>0</v>
      </c>
      <c r="AI5" s="1132">
        <f t="shared" ref="AI5:AI33" si="80">AB4</f>
        <v>0</v>
      </c>
      <c r="AJ5" s="1132">
        <f t="shared" ref="AJ5:AJ33" si="81">AC4</f>
        <v>0</v>
      </c>
      <c r="AK5" s="362">
        <f>Actual!AU51</f>
        <v>0</v>
      </c>
      <c r="AL5" s="644">
        <f t="shared" ref="AL5:AL33" si="82">AL4</f>
        <v>39.450000000000003</v>
      </c>
      <c r="AM5" s="644">
        <f t="shared" ref="AM5:AM33" si="83">AM4</f>
        <v>17.2</v>
      </c>
      <c r="AN5" s="644">
        <f t="shared" ref="AN5:AN33" si="84">AN4</f>
        <v>13.18</v>
      </c>
      <c r="AO5" s="644">
        <f t="shared" ref="AO5:AO33" si="85">AO4</f>
        <v>0.13</v>
      </c>
      <c r="AP5" s="644">
        <f>AP4</f>
        <v>4789</v>
      </c>
      <c r="AQ5" s="644">
        <f t="shared" ref="AQ5:AQ33" si="86">AQ4</f>
        <v>3502.1008454106282</v>
      </c>
      <c r="AR5" s="644">
        <f t="shared" si="26"/>
        <v>2697.3303620000002</v>
      </c>
      <c r="AS5" s="1132">
        <f t="shared" ref="AS5:AS33" si="87">IFERROR(((($AY5*AZ5)+($BF5*BG5))/SUM($AY5,$BF5)),0)</f>
        <v>39.54</v>
      </c>
      <c r="AT5" s="1132">
        <f t="shared" si="27"/>
        <v>22.28</v>
      </c>
      <c r="AU5" s="1132">
        <f t="shared" si="28"/>
        <v>8.8800000000000008</v>
      </c>
      <c r="AV5" s="1132">
        <f t="shared" si="29"/>
        <v>0.1</v>
      </c>
      <c r="AW5" s="1132">
        <f t="shared" si="30"/>
        <v>4728</v>
      </c>
      <c r="AX5" s="1132">
        <f t="shared" si="31"/>
        <v>3678.0092640247044</v>
      </c>
      <c r="AY5" s="644">
        <f t="shared" ref="AY5:AY33" si="88">AR4</f>
        <v>2697.3303620000002</v>
      </c>
      <c r="AZ5" s="644">
        <f t="shared" ref="AZ5:AZ33" si="89">AS4</f>
        <v>39.54</v>
      </c>
      <c r="BA5" s="644">
        <f t="shared" ref="BA5:BA33" si="90">AT4</f>
        <v>22.28</v>
      </c>
      <c r="BB5" s="644">
        <f t="shared" ref="BB5:BB33" si="91">AU4</f>
        <v>8.8800000000000008</v>
      </c>
      <c r="BC5" s="644">
        <f t="shared" ref="BC5:BC33" si="92">AV4</f>
        <v>0.1</v>
      </c>
      <c r="BD5" s="644">
        <f t="shared" ref="BD5:BD33" si="93">AW4</f>
        <v>4728</v>
      </c>
      <c r="BE5" s="644">
        <f t="shared" ref="BE5:BE33" si="94">AX4</f>
        <v>3678.0092640247044</v>
      </c>
      <c r="BF5" s="405">
        <f>Actual!AW51</f>
        <v>0</v>
      </c>
      <c r="BG5" s="1129">
        <f t="shared" ref="BG5:BL33" si="95">BG4</f>
        <v>38.758693568593003</v>
      </c>
      <c r="BH5" s="1129">
        <f t="shared" si="95"/>
        <v>24.565816766115823</v>
      </c>
      <c r="BI5" s="1129">
        <f t="shared" si="95"/>
        <v>6.9297573448338197</v>
      </c>
      <c r="BJ5" s="1129">
        <f t="shared" si="95"/>
        <v>0.18280031980514408</v>
      </c>
      <c r="BK5" s="1129">
        <f t="shared" si="95"/>
        <v>4389.8195426817128</v>
      </c>
      <c r="BL5" s="1129">
        <f t="shared" si="95"/>
        <v>3745.45548895927</v>
      </c>
      <c r="BM5" s="644">
        <f t="shared" si="3"/>
        <v>0</v>
      </c>
      <c r="BN5" s="1132">
        <f t="shared" si="34"/>
        <v>0</v>
      </c>
      <c r="BO5" s="1132">
        <f t="shared" si="35"/>
        <v>0</v>
      </c>
      <c r="BP5" s="1132">
        <f t="shared" si="36"/>
        <v>0</v>
      </c>
      <c r="BQ5" s="1132">
        <f t="shared" si="37"/>
        <v>0</v>
      </c>
      <c r="BR5" s="1132">
        <f t="shared" si="38"/>
        <v>0</v>
      </c>
      <c r="BS5" s="1132">
        <f t="shared" si="39"/>
        <v>0</v>
      </c>
      <c r="BT5" s="644">
        <f t="shared" ref="BT5:BT33" si="96">BM4</f>
        <v>0</v>
      </c>
      <c r="BU5" s="644">
        <f t="shared" ref="BU5:BU33" si="97">BN4</f>
        <v>0</v>
      </c>
      <c r="BV5" s="644">
        <f t="shared" ref="BV5:BV33" si="98">BO4</f>
        <v>0</v>
      </c>
      <c r="BW5" s="644">
        <f t="shared" ref="BW5:BW33" si="99">BP4</f>
        <v>0</v>
      </c>
      <c r="BX5" s="644">
        <f t="shared" ref="BX5:BX33" si="100">BQ4</f>
        <v>0</v>
      </c>
      <c r="BY5" s="644">
        <f t="shared" ref="BY5:BY33" si="101">BR4</f>
        <v>0</v>
      </c>
      <c r="BZ5" s="644">
        <f t="shared" ref="BZ5:BZ33" si="102">BS4</f>
        <v>0</v>
      </c>
      <c r="CA5" s="362">
        <f>Actual!AY51</f>
        <v>0</v>
      </c>
      <c r="CB5" s="644">
        <f t="shared" si="41"/>
        <v>0</v>
      </c>
      <c r="CC5" s="644">
        <f t="shared" si="42"/>
        <v>0</v>
      </c>
      <c r="CD5" s="644">
        <f t="shared" si="43"/>
        <v>0</v>
      </c>
      <c r="CE5" s="644">
        <f t="shared" si="44"/>
        <v>0</v>
      </c>
      <c r="CF5" s="644">
        <f t="shared" si="45"/>
        <v>0</v>
      </c>
      <c r="CG5" s="644">
        <f t="shared" si="46"/>
        <v>0</v>
      </c>
      <c r="CH5" s="644">
        <f t="shared" si="6"/>
        <v>0</v>
      </c>
      <c r="CI5" s="1132">
        <f t="shared" si="47"/>
        <v>0</v>
      </c>
      <c r="CJ5" s="1132">
        <f t="shared" si="48"/>
        <v>0</v>
      </c>
      <c r="CK5" s="1132">
        <f t="shared" si="49"/>
        <v>0</v>
      </c>
      <c r="CL5" s="1132">
        <f t="shared" si="50"/>
        <v>0</v>
      </c>
      <c r="CM5" s="1132">
        <f t="shared" si="51"/>
        <v>0</v>
      </c>
      <c r="CN5" s="1132">
        <f t="shared" si="52"/>
        <v>0</v>
      </c>
      <c r="CO5" s="644">
        <f t="shared" ref="CO5:CO33" si="103">CH4</f>
        <v>0</v>
      </c>
      <c r="CP5" s="644">
        <f t="shared" ref="CP5:CP10" si="104">CI4</f>
        <v>0</v>
      </c>
      <c r="CQ5" s="644">
        <f t="shared" ref="CQ5:CQ10" si="105">CJ4</f>
        <v>0</v>
      </c>
      <c r="CR5" s="644">
        <f t="shared" ref="CR5:CR10" si="106">CK4</f>
        <v>0</v>
      </c>
      <c r="CS5" s="644">
        <f t="shared" ref="CS5:CS10" si="107">CL4</f>
        <v>0</v>
      </c>
      <c r="CT5" s="644">
        <f t="shared" ref="CT5:CT10" si="108">CM4</f>
        <v>0</v>
      </c>
      <c r="CU5" s="644">
        <f t="shared" ref="CU5:CU10" si="109">CN4</f>
        <v>0</v>
      </c>
      <c r="CV5" s="362">
        <f>Actual!AX51</f>
        <v>0</v>
      </c>
      <c r="CW5" s="644">
        <f t="shared" si="54"/>
        <v>0</v>
      </c>
      <c r="CX5" s="644">
        <f t="shared" si="55"/>
        <v>0</v>
      </c>
      <c r="CY5" s="644">
        <f t="shared" si="56"/>
        <v>0</v>
      </c>
      <c r="CZ5" s="644">
        <f t="shared" si="57"/>
        <v>0</v>
      </c>
      <c r="DA5" s="644">
        <f t="shared" si="58"/>
        <v>0</v>
      </c>
      <c r="DB5" s="644">
        <f t="shared" si="59"/>
        <v>0</v>
      </c>
      <c r="DC5" s="644">
        <f t="shared" ref="DC5:DC33" si="110">DJ5+DQ5-T40</f>
        <v>56651.176224000003</v>
      </c>
      <c r="DD5" s="1132">
        <f t="shared" ref="DD5:DD33" si="111">IFERROR(((($DJ5*DK5)+($DQ5*DR5))/SUM($DJ5,$DQ5)),0)</f>
        <v>38.943999999999996</v>
      </c>
      <c r="DE5" s="1132">
        <f t="shared" si="60"/>
        <v>20.836000000000002</v>
      </c>
      <c r="DF5" s="1132">
        <f t="shared" si="61"/>
        <v>8.9700000000000006</v>
      </c>
      <c r="DG5" s="1132">
        <f t="shared" si="62"/>
        <v>0.16800000000000001</v>
      </c>
      <c r="DH5" s="1132">
        <f t="shared" si="63"/>
        <v>4728</v>
      </c>
      <c r="DI5" s="1132">
        <f t="shared" si="64"/>
        <v>3646.5156889495224</v>
      </c>
      <c r="DJ5" s="644">
        <f t="shared" ref="DJ5:DJ33" si="112">DC4</f>
        <v>56651.176224000003</v>
      </c>
      <c r="DK5" s="644">
        <f t="shared" ref="DK5:DK33" si="113">DD4</f>
        <v>38.943999999999996</v>
      </c>
      <c r="DL5" s="644">
        <f t="shared" ref="DL5:DL33" si="114">DE4</f>
        <v>20.836000000000002</v>
      </c>
      <c r="DM5" s="644">
        <f t="shared" ref="DM5:DM33" si="115">DF4</f>
        <v>8.9700000000000006</v>
      </c>
      <c r="DN5" s="644">
        <f t="shared" ref="DN5:DN33" si="116">DG4</f>
        <v>0.16800000000000001</v>
      </c>
      <c r="DO5" s="1132">
        <f t="shared" ref="DO5:DO33" si="117">DH4</f>
        <v>4728</v>
      </c>
      <c r="DP5" s="1132">
        <f t="shared" ref="DP5:DP33" si="118">DI4</f>
        <v>3646.5156889495224</v>
      </c>
      <c r="DQ5" s="362">
        <f>Actual!AZ51</f>
        <v>0</v>
      </c>
      <c r="DR5" s="644">
        <f t="shared" ref="DR5:DW33" si="119">IF(DQ5=0,0,BG5)</f>
        <v>0</v>
      </c>
      <c r="DS5" s="644">
        <f t="shared" si="9"/>
        <v>0</v>
      </c>
      <c r="DT5" s="644">
        <f t="shared" si="9"/>
        <v>0</v>
      </c>
      <c r="DU5" s="644">
        <f t="shared" si="9"/>
        <v>0</v>
      </c>
      <c r="DV5" s="644">
        <f t="shared" si="9"/>
        <v>0</v>
      </c>
      <c r="DW5" s="644">
        <f t="shared" si="9"/>
        <v>0</v>
      </c>
    </row>
    <row r="6" spans="1:127" ht="15">
      <c r="A6" s="1046" t="str">
        <f>'Equipment '!A9</f>
        <v>04-Sep-26</v>
      </c>
      <c r="B6" s="644">
        <f t="shared" si="0"/>
        <v>97515.76610600001</v>
      </c>
      <c r="C6" s="644">
        <f t="shared" si="10"/>
        <v>39.0128571428572</v>
      </c>
      <c r="D6" s="644">
        <f t="shared" si="11"/>
        <v>19.8028571428571</v>
      </c>
      <c r="E6" s="644">
        <f t="shared" si="12"/>
        <v>7.3742857142857092</v>
      </c>
      <c r="F6" s="644">
        <f t="shared" si="13"/>
        <v>0.13999999999999999</v>
      </c>
      <c r="G6" s="644">
        <f t="shared" si="14"/>
        <v>4906.7583999999997</v>
      </c>
      <c r="H6" s="644">
        <f t="shared" si="66"/>
        <v>3731.4194102818001</v>
      </c>
      <c r="I6" s="644">
        <f t="shared" si="67"/>
        <v>97515.76610600001</v>
      </c>
      <c r="J6" s="644">
        <f t="shared" si="68"/>
        <v>39.0128571428572</v>
      </c>
      <c r="K6" s="644">
        <f t="shared" si="69"/>
        <v>19.8028571428571</v>
      </c>
      <c r="L6" s="644">
        <f t="shared" si="70"/>
        <v>7.3742857142857092</v>
      </c>
      <c r="M6" s="644">
        <f t="shared" si="71"/>
        <v>0.13999999999999999</v>
      </c>
      <c r="N6" s="644">
        <f t="shared" si="72"/>
        <v>4906.7583999999997</v>
      </c>
      <c r="O6" s="644">
        <f t="shared" si="73"/>
        <v>3731.4194102818001</v>
      </c>
      <c r="P6" s="644">
        <f>Actual!AV52</f>
        <v>0</v>
      </c>
      <c r="Q6" s="1130">
        <f t="shared" ref="Q6:V6" si="120">Q5</f>
        <v>39.259692868249303</v>
      </c>
      <c r="R6" s="1130">
        <f t="shared" si="120"/>
        <v>22.233939419516801</v>
      </c>
      <c r="S6" s="1130">
        <f t="shared" si="120"/>
        <v>5.1624683361673904</v>
      </c>
      <c r="T6" s="1130">
        <f t="shared" si="120"/>
        <v>0.16306692045557394</v>
      </c>
      <c r="U6" s="1130">
        <f t="shared" si="120"/>
        <v>4982.7757437603759</v>
      </c>
      <c r="V6" s="1130">
        <f t="shared" si="120"/>
        <v>3891.8691108367598</v>
      </c>
      <c r="W6" s="644">
        <f t="shared" si="17"/>
        <v>0</v>
      </c>
      <c r="X6" s="1131">
        <f t="shared" si="18"/>
        <v>0</v>
      </c>
      <c r="Y6" s="1132">
        <f t="shared" si="19"/>
        <v>0</v>
      </c>
      <c r="Z6" s="1132">
        <f t="shared" si="20"/>
        <v>0</v>
      </c>
      <c r="AA6" s="1132">
        <f t="shared" si="21"/>
        <v>0</v>
      </c>
      <c r="AB6" s="1132">
        <f t="shared" si="22"/>
        <v>0</v>
      </c>
      <c r="AC6" s="1132">
        <f t="shared" si="23"/>
        <v>0</v>
      </c>
      <c r="AD6" s="644">
        <f t="shared" si="75"/>
        <v>0</v>
      </c>
      <c r="AE6" s="644">
        <f t="shared" si="76"/>
        <v>0</v>
      </c>
      <c r="AF6" s="644">
        <f t="shared" si="77"/>
        <v>0</v>
      </c>
      <c r="AG6" s="644">
        <f t="shared" si="78"/>
        <v>0</v>
      </c>
      <c r="AH6" s="644">
        <f t="shared" si="79"/>
        <v>0</v>
      </c>
      <c r="AI6" s="1132">
        <f t="shared" si="80"/>
        <v>0</v>
      </c>
      <c r="AJ6" s="1132">
        <f t="shared" si="81"/>
        <v>0</v>
      </c>
      <c r="AK6" s="362">
        <f>Actual!AU52</f>
        <v>0</v>
      </c>
      <c r="AL6" s="644">
        <f t="shared" si="82"/>
        <v>39.450000000000003</v>
      </c>
      <c r="AM6" s="644">
        <f t="shared" si="83"/>
        <v>17.2</v>
      </c>
      <c r="AN6" s="644">
        <f t="shared" si="84"/>
        <v>13.18</v>
      </c>
      <c r="AO6" s="644">
        <f t="shared" si="85"/>
        <v>0.13</v>
      </c>
      <c r="AP6" s="644">
        <f t="shared" ref="AP6:AP33" si="121">AP5</f>
        <v>4789</v>
      </c>
      <c r="AQ6" s="644">
        <f t="shared" si="86"/>
        <v>3502.1008454106282</v>
      </c>
      <c r="AR6" s="644">
        <f t="shared" si="26"/>
        <v>2697.3303620000002</v>
      </c>
      <c r="AS6" s="1132">
        <f t="shared" si="87"/>
        <v>39.54</v>
      </c>
      <c r="AT6" s="1132">
        <f t="shared" si="27"/>
        <v>22.28</v>
      </c>
      <c r="AU6" s="1132">
        <f t="shared" si="28"/>
        <v>8.8800000000000008</v>
      </c>
      <c r="AV6" s="1132">
        <f t="shared" si="29"/>
        <v>0.1</v>
      </c>
      <c r="AW6" s="1132">
        <f t="shared" si="30"/>
        <v>4728</v>
      </c>
      <c r="AX6" s="1132">
        <f t="shared" si="31"/>
        <v>3678.0092640247044</v>
      </c>
      <c r="AY6" s="644">
        <f t="shared" si="88"/>
        <v>2697.3303620000002</v>
      </c>
      <c r="AZ6" s="644">
        <f t="shared" si="89"/>
        <v>39.54</v>
      </c>
      <c r="BA6" s="644">
        <f t="shared" si="90"/>
        <v>22.28</v>
      </c>
      <c r="BB6" s="644">
        <f t="shared" si="91"/>
        <v>8.8800000000000008</v>
      </c>
      <c r="BC6" s="644">
        <f t="shared" si="92"/>
        <v>0.1</v>
      </c>
      <c r="BD6" s="644">
        <f t="shared" si="93"/>
        <v>4728</v>
      </c>
      <c r="BE6" s="644">
        <f t="shared" si="94"/>
        <v>3678.0092640247044</v>
      </c>
      <c r="BF6" s="405">
        <f>Actual!AW52</f>
        <v>0</v>
      </c>
      <c r="BG6" s="1129">
        <f t="shared" si="95"/>
        <v>38.758693568593003</v>
      </c>
      <c r="BH6" s="1129">
        <f t="shared" si="95"/>
        <v>24.565816766115823</v>
      </c>
      <c r="BI6" s="1129">
        <f t="shared" si="95"/>
        <v>6.9297573448338197</v>
      </c>
      <c r="BJ6" s="1129">
        <f t="shared" si="95"/>
        <v>0.18280031980514408</v>
      </c>
      <c r="BK6" s="1129">
        <f t="shared" si="95"/>
        <v>4389.8195426817128</v>
      </c>
      <c r="BL6" s="1129">
        <f t="shared" si="95"/>
        <v>3745.45548895927</v>
      </c>
      <c r="BM6" s="644">
        <f t="shared" si="3"/>
        <v>0</v>
      </c>
      <c r="BN6" s="1132">
        <f t="shared" si="34"/>
        <v>0</v>
      </c>
      <c r="BO6" s="1132">
        <f t="shared" si="35"/>
        <v>0</v>
      </c>
      <c r="BP6" s="1132">
        <f t="shared" si="36"/>
        <v>0</v>
      </c>
      <c r="BQ6" s="1132">
        <f t="shared" si="37"/>
        <v>0</v>
      </c>
      <c r="BR6" s="1132">
        <f t="shared" si="38"/>
        <v>0</v>
      </c>
      <c r="BS6" s="1132">
        <f t="shared" si="39"/>
        <v>0</v>
      </c>
      <c r="BT6" s="644">
        <f t="shared" si="96"/>
        <v>0</v>
      </c>
      <c r="BU6" s="644">
        <f t="shared" si="97"/>
        <v>0</v>
      </c>
      <c r="BV6" s="644">
        <f t="shared" si="98"/>
        <v>0</v>
      </c>
      <c r="BW6" s="644">
        <f t="shared" si="99"/>
        <v>0</v>
      </c>
      <c r="BX6" s="644">
        <f t="shared" si="100"/>
        <v>0</v>
      </c>
      <c r="BY6" s="644">
        <f t="shared" si="101"/>
        <v>0</v>
      </c>
      <c r="BZ6" s="644">
        <f t="shared" si="102"/>
        <v>0</v>
      </c>
      <c r="CA6" s="362">
        <f>Actual!AY52</f>
        <v>0</v>
      </c>
      <c r="CB6" s="644">
        <f t="shared" si="41"/>
        <v>0</v>
      </c>
      <c r="CC6" s="644">
        <f t="shared" si="42"/>
        <v>0</v>
      </c>
      <c r="CD6" s="644">
        <f t="shared" si="43"/>
        <v>0</v>
      </c>
      <c r="CE6" s="644">
        <f t="shared" si="44"/>
        <v>0</v>
      </c>
      <c r="CF6" s="644">
        <f t="shared" si="45"/>
        <v>0</v>
      </c>
      <c r="CG6" s="644">
        <f t="shared" si="46"/>
        <v>0</v>
      </c>
      <c r="CH6" s="644">
        <f t="shared" si="6"/>
        <v>0</v>
      </c>
      <c r="CI6" s="1132">
        <f t="shared" si="47"/>
        <v>0</v>
      </c>
      <c r="CJ6" s="1132">
        <f t="shared" si="48"/>
        <v>0</v>
      </c>
      <c r="CK6" s="1132">
        <f t="shared" si="49"/>
        <v>0</v>
      </c>
      <c r="CL6" s="1132">
        <f t="shared" si="50"/>
        <v>0</v>
      </c>
      <c r="CM6" s="1132">
        <f t="shared" si="51"/>
        <v>0</v>
      </c>
      <c r="CN6" s="1132">
        <f t="shared" si="52"/>
        <v>0</v>
      </c>
      <c r="CO6" s="644">
        <f t="shared" si="103"/>
        <v>0</v>
      </c>
      <c r="CP6" s="644">
        <f t="shared" si="104"/>
        <v>0</v>
      </c>
      <c r="CQ6" s="644">
        <f t="shared" si="105"/>
        <v>0</v>
      </c>
      <c r="CR6" s="644">
        <f t="shared" si="106"/>
        <v>0</v>
      </c>
      <c r="CS6" s="644">
        <f t="shared" si="107"/>
        <v>0</v>
      </c>
      <c r="CT6" s="644">
        <f t="shared" si="108"/>
        <v>0</v>
      </c>
      <c r="CU6" s="644">
        <f t="shared" si="109"/>
        <v>0</v>
      </c>
      <c r="CV6" s="362">
        <f>Actual!AX52</f>
        <v>0</v>
      </c>
      <c r="CW6" s="644">
        <f t="shared" si="54"/>
        <v>0</v>
      </c>
      <c r="CX6" s="644">
        <f t="shared" si="55"/>
        <v>0</v>
      </c>
      <c r="CY6" s="644">
        <f t="shared" si="56"/>
        <v>0</v>
      </c>
      <c r="CZ6" s="644">
        <f t="shared" si="57"/>
        <v>0</v>
      </c>
      <c r="DA6" s="644">
        <f t="shared" si="58"/>
        <v>0</v>
      </c>
      <c r="DB6" s="644">
        <f t="shared" si="59"/>
        <v>0</v>
      </c>
      <c r="DC6" s="644">
        <f t="shared" si="110"/>
        <v>56651.176224000003</v>
      </c>
      <c r="DD6" s="1132">
        <f t="shared" si="111"/>
        <v>38.943999999999996</v>
      </c>
      <c r="DE6" s="1132">
        <f t="shared" si="60"/>
        <v>20.836000000000002</v>
      </c>
      <c r="DF6" s="1132">
        <f t="shared" si="61"/>
        <v>8.9700000000000006</v>
      </c>
      <c r="DG6" s="1132">
        <f t="shared" si="62"/>
        <v>0.16800000000000001</v>
      </c>
      <c r="DH6" s="1132">
        <f t="shared" si="63"/>
        <v>4728</v>
      </c>
      <c r="DI6" s="1132">
        <f t="shared" si="64"/>
        <v>3646.5156889495224</v>
      </c>
      <c r="DJ6" s="644">
        <f t="shared" si="112"/>
        <v>56651.176224000003</v>
      </c>
      <c r="DK6" s="644">
        <f t="shared" si="113"/>
        <v>38.943999999999996</v>
      </c>
      <c r="DL6" s="644">
        <f t="shared" si="114"/>
        <v>20.836000000000002</v>
      </c>
      <c r="DM6" s="644">
        <f t="shared" si="115"/>
        <v>8.9700000000000006</v>
      </c>
      <c r="DN6" s="644">
        <f t="shared" si="116"/>
        <v>0.16800000000000001</v>
      </c>
      <c r="DO6" s="1132">
        <f t="shared" si="117"/>
        <v>4728</v>
      </c>
      <c r="DP6" s="1132">
        <f t="shared" si="118"/>
        <v>3646.5156889495224</v>
      </c>
      <c r="DQ6" s="362">
        <f>Actual!AZ52</f>
        <v>0</v>
      </c>
      <c r="DR6" s="644">
        <f t="shared" si="119"/>
        <v>0</v>
      </c>
      <c r="DS6" s="644">
        <f t="shared" si="9"/>
        <v>0</v>
      </c>
      <c r="DT6" s="644">
        <f t="shared" si="9"/>
        <v>0</v>
      </c>
      <c r="DU6" s="644">
        <f t="shared" si="9"/>
        <v>0</v>
      </c>
      <c r="DV6" s="644">
        <f t="shared" si="9"/>
        <v>0</v>
      </c>
      <c r="DW6" s="644">
        <f t="shared" si="9"/>
        <v>0</v>
      </c>
    </row>
    <row r="7" spans="1:127" ht="15">
      <c r="A7" s="1046" t="str">
        <f>'Equipment '!A10</f>
        <v>05-Sep-26</v>
      </c>
      <c r="B7" s="644">
        <f t="shared" si="0"/>
        <v>98828.664106000011</v>
      </c>
      <c r="C7" s="644">
        <f t="shared" si="10"/>
        <v>39.016136253559822</v>
      </c>
      <c r="D7" s="644">
        <f t="shared" si="11"/>
        <v>19.835153067199847</v>
      </c>
      <c r="E7" s="644">
        <f t="shared" si="12"/>
        <v>7.3449026335938337</v>
      </c>
      <c r="F7" s="644">
        <f t="shared" si="13"/>
        <v>0.14030643451478608</v>
      </c>
      <c r="G7" s="644">
        <f t="shared" si="14"/>
        <v>4907.768259027147</v>
      </c>
      <c r="H7" s="644">
        <f t="shared" si="66"/>
        <v>3733.5509183100103</v>
      </c>
      <c r="I7" s="644">
        <f t="shared" si="67"/>
        <v>97515.76610600001</v>
      </c>
      <c r="J7" s="644">
        <f t="shared" si="68"/>
        <v>39.0128571428572</v>
      </c>
      <c r="K7" s="644">
        <f t="shared" si="69"/>
        <v>19.8028571428571</v>
      </c>
      <c r="L7" s="644">
        <f t="shared" si="70"/>
        <v>7.3742857142857092</v>
      </c>
      <c r="M7" s="644">
        <f t="shared" si="71"/>
        <v>0.13999999999999999</v>
      </c>
      <c r="N7" s="644">
        <f t="shared" si="72"/>
        <v>4906.7583999999997</v>
      </c>
      <c r="O7" s="644">
        <f t="shared" si="73"/>
        <v>3731.4194102818001</v>
      </c>
      <c r="P7" s="644">
        <f>Actual!AV53</f>
        <v>1312.8979999999999</v>
      </c>
      <c r="Q7" s="1130">
        <f t="shared" ref="Q7:V7" si="122">Q6</f>
        <v>39.259692868249303</v>
      </c>
      <c r="R7" s="1130">
        <f t="shared" si="122"/>
        <v>22.233939419516801</v>
      </c>
      <c r="S7" s="1130">
        <f t="shared" si="122"/>
        <v>5.1624683361673904</v>
      </c>
      <c r="T7" s="1130">
        <f t="shared" si="122"/>
        <v>0.16306692045557394</v>
      </c>
      <c r="U7" s="1130">
        <f t="shared" si="122"/>
        <v>4982.7757437603759</v>
      </c>
      <c r="V7" s="1130">
        <f t="shared" si="122"/>
        <v>3891.8691108367598</v>
      </c>
      <c r="W7" s="644">
        <f t="shared" si="17"/>
        <v>0</v>
      </c>
      <c r="X7" s="1131">
        <f t="shared" si="18"/>
        <v>0</v>
      </c>
      <c r="Y7" s="1132">
        <f t="shared" si="19"/>
        <v>0</v>
      </c>
      <c r="Z7" s="1132">
        <f t="shared" si="20"/>
        <v>0</v>
      </c>
      <c r="AA7" s="1132">
        <f t="shared" si="21"/>
        <v>0</v>
      </c>
      <c r="AB7" s="1132">
        <f t="shared" si="22"/>
        <v>0</v>
      </c>
      <c r="AC7" s="1132">
        <f t="shared" si="23"/>
        <v>0</v>
      </c>
      <c r="AD7" s="644">
        <f t="shared" si="75"/>
        <v>0</v>
      </c>
      <c r="AE7" s="644">
        <f t="shared" si="76"/>
        <v>0</v>
      </c>
      <c r="AF7" s="644">
        <f t="shared" si="77"/>
        <v>0</v>
      </c>
      <c r="AG7" s="644">
        <f t="shared" si="78"/>
        <v>0</v>
      </c>
      <c r="AH7" s="644">
        <f t="shared" si="79"/>
        <v>0</v>
      </c>
      <c r="AI7" s="1132">
        <f t="shared" si="80"/>
        <v>0</v>
      </c>
      <c r="AJ7" s="1132">
        <f t="shared" si="81"/>
        <v>0</v>
      </c>
      <c r="AK7" s="362">
        <f>Actual!AU53</f>
        <v>0</v>
      </c>
      <c r="AL7" s="644">
        <f t="shared" si="82"/>
        <v>39.450000000000003</v>
      </c>
      <c r="AM7" s="644">
        <f t="shared" si="83"/>
        <v>17.2</v>
      </c>
      <c r="AN7" s="644">
        <f t="shared" si="84"/>
        <v>13.18</v>
      </c>
      <c r="AO7" s="644">
        <f t="shared" si="85"/>
        <v>0.13</v>
      </c>
      <c r="AP7" s="644">
        <f t="shared" si="121"/>
        <v>4789</v>
      </c>
      <c r="AQ7" s="644">
        <f t="shared" si="86"/>
        <v>3502.1008454106282</v>
      </c>
      <c r="AR7" s="644">
        <f t="shared" si="26"/>
        <v>2697.3303620000002</v>
      </c>
      <c r="AS7" s="1132">
        <f t="shared" si="87"/>
        <v>39.54</v>
      </c>
      <c r="AT7" s="1132">
        <f t="shared" si="27"/>
        <v>22.28</v>
      </c>
      <c r="AU7" s="1132">
        <f t="shared" si="28"/>
        <v>8.8800000000000008</v>
      </c>
      <c r="AV7" s="1132">
        <f t="shared" si="29"/>
        <v>0.1</v>
      </c>
      <c r="AW7" s="1132">
        <f t="shared" si="30"/>
        <v>4728</v>
      </c>
      <c r="AX7" s="1132">
        <f t="shared" si="31"/>
        <v>3678.0092640247044</v>
      </c>
      <c r="AY7" s="644">
        <f t="shared" si="88"/>
        <v>2697.3303620000002</v>
      </c>
      <c r="AZ7" s="644">
        <f t="shared" si="89"/>
        <v>39.54</v>
      </c>
      <c r="BA7" s="644">
        <f t="shared" si="90"/>
        <v>22.28</v>
      </c>
      <c r="BB7" s="644">
        <f t="shared" si="91"/>
        <v>8.8800000000000008</v>
      </c>
      <c r="BC7" s="644">
        <f t="shared" si="92"/>
        <v>0.1</v>
      </c>
      <c r="BD7" s="644">
        <f t="shared" si="93"/>
        <v>4728</v>
      </c>
      <c r="BE7" s="644">
        <f t="shared" si="94"/>
        <v>3678.0092640247044</v>
      </c>
      <c r="BF7" s="405">
        <f>Actual!AW53</f>
        <v>0</v>
      </c>
      <c r="BG7" s="1129">
        <f t="shared" si="95"/>
        <v>38.758693568593003</v>
      </c>
      <c r="BH7" s="1129">
        <f t="shared" si="95"/>
        <v>24.565816766115823</v>
      </c>
      <c r="BI7" s="1129">
        <f t="shared" si="95"/>
        <v>6.9297573448338197</v>
      </c>
      <c r="BJ7" s="1129">
        <f t="shared" si="95"/>
        <v>0.18280031980514408</v>
      </c>
      <c r="BK7" s="1129">
        <f t="shared" si="95"/>
        <v>4389.8195426817128</v>
      </c>
      <c r="BL7" s="1129">
        <f t="shared" si="95"/>
        <v>3745.45548895927</v>
      </c>
      <c r="BM7" s="644">
        <f t="shared" si="3"/>
        <v>0</v>
      </c>
      <c r="BN7" s="1132">
        <f t="shared" si="34"/>
        <v>0</v>
      </c>
      <c r="BO7" s="1132">
        <f t="shared" si="35"/>
        <v>0</v>
      </c>
      <c r="BP7" s="1132">
        <f t="shared" si="36"/>
        <v>0</v>
      </c>
      <c r="BQ7" s="1132">
        <f t="shared" si="37"/>
        <v>0</v>
      </c>
      <c r="BR7" s="1132">
        <f t="shared" si="38"/>
        <v>0</v>
      </c>
      <c r="BS7" s="1132">
        <f t="shared" si="39"/>
        <v>0</v>
      </c>
      <c r="BT7" s="644">
        <f t="shared" si="96"/>
        <v>0</v>
      </c>
      <c r="BU7" s="644">
        <f t="shared" si="97"/>
        <v>0</v>
      </c>
      <c r="BV7" s="644">
        <f t="shared" si="98"/>
        <v>0</v>
      </c>
      <c r="BW7" s="644">
        <f t="shared" si="99"/>
        <v>0</v>
      </c>
      <c r="BX7" s="644">
        <f t="shared" si="100"/>
        <v>0</v>
      </c>
      <c r="BY7" s="644">
        <f t="shared" si="101"/>
        <v>0</v>
      </c>
      <c r="BZ7" s="644">
        <f t="shared" si="102"/>
        <v>0</v>
      </c>
      <c r="CA7" s="362">
        <f>Actual!AY53</f>
        <v>0</v>
      </c>
      <c r="CB7" s="644">
        <f t="shared" si="41"/>
        <v>0</v>
      </c>
      <c r="CC7" s="644">
        <f t="shared" si="42"/>
        <v>0</v>
      </c>
      <c r="CD7" s="644">
        <f t="shared" si="43"/>
        <v>0</v>
      </c>
      <c r="CE7" s="644">
        <f t="shared" si="44"/>
        <v>0</v>
      </c>
      <c r="CF7" s="644">
        <f t="shared" si="45"/>
        <v>0</v>
      </c>
      <c r="CG7" s="644">
        <f t="shared" si="46"/>
        <v>0</v>
      </c>
      <c r="CH7" s="644">
        <f t="shared" si="6"/>
        <v>0</v>
      </c>
      <c r="CI7" s="1132">
        <f t="shared" si="47"/>
        <v>0</v>
      </c>
      <c r="CJ7" s="1132">
        <f t="shared" si="48"/>
        <v>0</v>
      </c>
      <c r="CK7" s="1132">
        <f t="shared" si="49"/>
        <v>0</v>
      </c>
      <c r="CL7" s="1132">
        <f t="shared" si="50"/>
        <v>0</v>
      </c>
      <c r="CM7" s="1132">
        <f t="shared" si="51"/>
        <v>0</v>
      </c>
      <c r="CN7" s="1132">
        <f t="shared" si="52"/>
        <v>0</v>
      </c>
      <c r="CO7" s="644">
        <f t="shared" si="103"/>
        <v>0</v>
      </c>
      <c r="CP7" s="644">
        <f t="shared" si="104"/>
        <v>0</v>
      </c>
      <c r="CQ7" s="644">
        <f t="shared" si="105"/>
        <v>0</v>
      </c>
      <c r="CR7" s="644">
        <f t="shared" si="106"/>
        <v>0</v>
      </c>
      <c r="CS7" s="644">
        <f t="shared" si="107"/>
        <v>0</v>
      </c>
      <c r="CT7" s="644">
        <f t="shared" si="108"/>
        <v>0</v>
      </c>
      <c r="CU7" s="644">
        <f t="shared" si="109"/>
        <v>0</v>
      </c>
      <c r="CV7" s="362">
        <f>Actual!AX53</f>
        <v>0</v>
      </c>
      <c r="CW7" s="644">
        <f t="shared" si="54"/>
        <v>0</v>
      </c>
      <c r="CX7" s="644">
        <f t="shared" si="55"/>
        <v>0</v>
      </c>
      <c r="CY7" s="644">
        <f t="shared" si="56"/>
        <v>0</v>
      </c>
      <c r="CZ7" s="644">
        <f t="shared" si="57"/>
        <v>0</v>
      </c>
      <c r="DA7" s="644">
        <f t="shared" si="58"/>
        <v>0</v>
      </c>
      <c r="DB7" s="644">
        <f t="shared" si="59"/>
        <v>0</v>
      </c>
      <c r="DC7" s="644">
        <f t="shared" si="110"/>
        <v>56651.176224000003</v>
      </c>
      <c r="DD7" s="1132">
        <f t="shared" si="111"/>
        <v>38.943999999999996</v>
      </c>
      <c r="DE7" s="1132">
        <f t="shared" si="60"/>
        <v>20.836000000000002</v>
      </c>
      <c r="DF7" s="1132">
        <f t="shared" si="61"/>
        <v>8.9700000000000006</v>
      </c>
      <c r="DG7" s="1132">
        <f t="shared" si="62"/>
        <v>0.16800000000000001</v>
      </c>
      <c r="DH7" s="1132">
        <f t="shared" si="63"/>
        <v>4728</v>
      </c>
      <c r="DI7" s="1132">
        <f t="shared" si="64"/>
        <v>3646.5156889495224</v>
      </c>
      <c r="DJ7" s="644">
        <f t="shared" si="112"/>
        <v>56651.176224000003</v>
      </c>
      <c r="DK7" s="644">
        <f t="shared" si="113"/>
        <v>38.943999999999996</v>
      </c>
      <c r="DL7" s="644">
        <f t="shared" si="114"/>
        <v>20.836000000000002</v>
      </c>
      <c r="DM7" s="644">
        <f t="shared" si="115"/>
        <v>8.9700000000000006</v>
      </c>
      <c r="DN7" s="644">
        <f t="shared" si="116"/>
        <v>0.16800000000000001</v>
      </c>
      <c r="DO7" s="1132">
        <f t="shared" si="117"/>
        <v>4728</v>
      </c>
      <c r="DP7" s="1132">
        <f t="shared" si="118"/>
        <v>3646.5156889495224</v>
      </c>
      <c r="DQ7" s="362">
        <f>Actual!AZ53</f>
        <v>0</v>
      </c>
      <c r="DR7" s="644">
        <f t="shared" si="119"/>
        <v>0</v>
      </c>
      <c r="DS7" s="644">
        <f t="shared" si="9"/>
        <v>0</v>
      </c>
      <c r="DT7" s="644">
        <f t="shared" si="9"/>
        <v>0</v>
      </c>
      <c r="DU7" s="644">
        <f t="shared" si="9"/>
        <v>0</v>
      </c>
      <c r="DV7" s="644">
        <f t="shared" si="9"/>
        <v>0</v>
      </c>
      <c r="DW7" s="644">
        <f t="shared" si="9"/>
        <v>0</v>
      </c>
    </row>
    <row r="8" spans="1:127" ht="15">
      <c r="A8" s="1046" t="str">
        <f>'Equipment '!A11</f>
        <v>06-Sep-26</v>
      </c>
      <c r="B8" s="644">
        <f t="shared" si="0"/>
        <v>98828.664106000011</v>
      </c>
      <c r="C8" s="644">
        <f t="shared" si="10"/>
        <v>39.016136253559822</v>
      </c>
      <c r="D8" s="644">
        <f t="shared" si="11"/>
        <v>19.835153067199847</v>
      </c>
      <c r="E8" s="644">
        <f t="shared" si="12"/>
        <v>7.3449026335938337</v>
      </c>
      <c r="F8" s="644">
        <f t="shared" si="13"/>
        <v>0.14030643451478608</v>
      </c>
      <c r="G8" s="644">
        <f t="shared" si="14"/>
        <v>4907.768259027147</v>
      </c>
      <c r="H8" s="644">
        <f t="shared" si="66"/>
        <v>3733.5509183100103</v>
      </c>
      <c r="I8" s="644">
        <f t="shared" si="67"/>
        <v>98828.664106000011</v>
      </c>
      <c r="J8" s="644">
        <f t="shared" si="68"/>
        <v>39.016136253559822</v>
      </c>
      <c r="K8" s="644">
        <f t="shared" si="69"/>
        <v>19.835153067199847</v>
      </c>
      <c r="L8" s="644">
        <f t="shared" si="70"/>
        <v>7.3449026335938337</v>
      </c>
      <c r="M8" s="644">
        <f t="shared" si="71"/>
        <v>0.14030643451478608</v>
      </c>
      <c r="N8" s="644">
        <f t="shared" si="72"/>
        <v>4907.768259027147</v>
      </c>
      <c r="O8" s="644">
        <f t="shared" si="73"/>
        <v>3733.5509183100103</v>
      </c>
      <c r="P8" s="644">
        <f>Actual!AV54</f>
        <v>0</v>
      </c>
      <c r="Q8" s="1130">
        <f t="shared" ref="Q8:V8" si="123">Q7</f>
        <v>39.259692868249303</v>
      </c>
      <c r="R8" s="1130">
        <f t="shared" si="123"/>
        <v>22.233939419516801</v>
      </c>
      <c r="S8" s="1130">
        <f t="shared" si="123"/>
        <v>5.1624683361673904</v>
      </c>
      <c r="T8" s="1130">
        <f t="shared" si="123"/>
        <v>0.16306692045557394</v>
      </c>
      <c r="U8" s="1130">
        <f t="shared" si="123"/>
        <v>4982.7757437603759</v>
      </c>
      <c r="V8" s="1130">
        <f t="shared" si="123"/>
        <v>3891.8691108367598</v>
      </c>
      <c r="W8" s="644">
        <f t="shared" si="17"/>
        <v>0</v>
      </c>
      <c r="X8" s="1131">
        <f t="shared" si="18"/>
        <v>0</v>
      </c>
      <c r="Y8" s="1132">
        <f t="shared" si="19"/>
        <v>0</v>
      </c>
      <c r="Z8" s="1132">
        <f t="shared" si="20"/>
        <v>0</v>
      </c>
      <c r="AA8" s="1132">
        <f t="shared" si="21"/>
        <v>0</v>
      </c>
      <c r="AB8" s="1132">
        <f t="shared" si="22"/>
        <v>0</v>
      </c>
      <c r="AC8" s="1132">
        <f t="shared" si="23"/>
        <v>0</v>
      </c>
      <c r="AD8" s="644">
        <f t="shared" si="75"/>
        <v>0</v>
      </c>
      <c r="AE8" s="644">
        <f t="shared" si="76"/>
        <v>0</v>
      </c>
      <c r="AF8" s="644">
        <f t="shared" si="77"/>
        <v>0</v>
      </c>
      <c r="AG8" s="644">
        <f t="shared" si="78"/>
        <v>0</v>
      </c>
      <c r="AH8" s="644">
        <f t="shared" si="79"/>
        <v>0</v>
      </c>
      <c r="AI8" s="1132">
        <f t="shared" si="80"/>
        <v>0</v>
      </c>
      <c r="AJ8" s="1132">
        <f t="shared" si="81"/>
        <v>0</v>
      </c>
      <c r="AK8" s="362">
        <f>Actual!AU54</f>
        <v>0</v>
      </c>
      <c r="AL8" s="644">
        <f t="shared" si="82"/>
        <v>39.450000000000003</v>
      </c>
      <c r="AM8" s="644">
        <f t="shared" si="83"/>
        <v>17.2</v>
      </c>
      <c r="AN8" s="644">
        <f t="shared" si="84"/>
        <v>13.18</v>
      </c>
      <c r="AO8" s="644">
        <f t="shared" si="85"/>
        <v>0.13</v>
      </c>
      <c r="AP8" s="644">
        <f t="shared" si="121"/>
        <v>4789</v>
      </c>
      <c r="AQ8" s="644">
        <f t="shared" si="86"/>
        <v>3502.1008454106282</v>
      </c>
      <c r="AR8" s="644">
        <f t="shared" si="26"/>
        <v>2697.3303620000002</v>
      </c>
      <c r="AS8" s="1132">
        <f t="shared" si="87"/>
        <v>39.54</v>
      </c>
      <c r="AT8" s="1132">
        <f t="shared" si="27"/>
        <v>22.28</v>
      </c>
      <c r="AU8" s="1132">
        <f t="shared" si="28"/>
        <v>8.8800000000000008</v>
      </c>
      <c r="AV8" s="1132">
        <f t="shared" si="29"/>
        <v>0.1</v>
      </c>
      <c r="AW8" s="1132">
        <f t="shared" si="30"/>
        <v>4728</v>
      </c>
      <c r="AX8" s="1132">
        <f t="shared" si="31"/>
        <v>3678.0092640247044</v>
      </c>
      <c r="AY8" s="644">
        <f t="shared" si="88"/>
        <v>2697.3303620000002</v>
      </c>
      <c r="AZ8" s="644">
        <f t="shared" si="89"/>
        <v>39.54</v>
      </c>
      <c r="BA8" s="644">
        <f t="shared" si="90"/>
        <v>22.28</v>
      </c>
      <c r="BB8" s="644">
        <f t="shared" si="91"/>
        <v>8.8800000000000008</v>
      </c>
      <c r="BC8" s="644">
        <f t="shared" si="92"/>
        <v>0.1</v>
      </c>
      <c r="BD8" s="644">
        <f t="shared" si="93"/>
        <v>4728</v>
      </c>
      <c r="BE8" s="644">
        <f t="shared" si="94"/>
        <v>3678.0092640247044</v>
      </c>
      <c r="BF8" s="405">
        <f>Actual!AW54</f>
        <v>0</v>
      </c>
      <c r="BG8" s="1129">
        <f t="shared" si="95"/>
        <v>38.758693568593003</v>
      </c>
      <c r="BH8" s="1129">
        <f t="shared" si="95"/>
        <v>24.565816766115823</v>
      </c>
      <c r="BI8" s="1129">
        <f t="shared" si="95"/>
        <v>6.9297573448338197</v>
      </c>
      <c r="BJ8" s="1129">
        <f t="shared" si="95"/>
        <v>0.18280031980514408</v>
      </c>
      <c r="BK8" s="1129">
        <f t="shared" si="95"/>
        <v>4389.8195426817128</v>
      </c>
      <c r="BL8" s="1129">
        <f t="shared" si="95"/>
        <v>3745.45548895927</v>
      </c>
      <c r="BM8" s="644">
        <f t="shared" si="3"/>
        <v>0</v>
      </c>
      <c r="BN8" s="1132">
        <f t="shared" si="34"/>
        <v>0</v>
      </c>
      <c r="BO8" s="1132">
        <f t="shared" si="35"/>
        <v>0</v>
      </c>
      <c r="BP8" s="1132">
        <f t="shared" si="36"/>
        <v>0</v>
      </c>
      <c r="BQ8" s="1132">
        <f t="shared" si="37"/>
        <v>0</v>
      </c>
      <c r="BR8" s="1132">
        <f t="shared" si="38"/>
        <v>0</v>
      </c>
      <c r="BS8" s="1132">
        <f t="shared" si="39"/>
        <v>0</v>
      </c>
      <c r="BT8" s="644">
        <f t="shared" si="96"/>
        <v>0</v>
      </c>
      <c r="BU8" s="644">
        <f t="shared" si="97"/>
        <v>0</v>
      </c>
      <c r="BV8" s="644">
        <f t="shared" si="98"/>
        <v>0</v>
      </c>
      <c r="BW8" s="644">
        <f t="shared" si="99"/>
        <v>0</v>
      </c>
      <c r="BX8" s="644">
        <f t="shared" si="100"/>
        <v>0</v>
      </c>
      <c r="BY8" s="644">
        <f t="shared" si="101"/>
        <v>0</v>
      </c>
      <c r="BZ8" s="644">
        <f t="shared" si="102"/>
        <v>0</v>
      </c>
      <c r="CA8" s="362">
        <f>Actual!AY54</f>
        <v>0</v>
      </c>
      <c r="CB8" s="644">
        <f t="shared" si="41"/>
        <v>0</v>
      </c>
      <c r="CC8" s="644">
        <f t="shared" si="42"/>
        <v>0</v>
      </c>
      <c r="CD8" s="644">
        <f t="shared" si="43"/>
        <v>0</v>
      </c>
      <c r="CE8" s="644">
        <f t="shared" si="44"/>
        <v>0</v>
      </c>
      <c r="CF8" s="644">
        <f t="shared" si="45"/>
        <v>0</v>
      </c>
      <c r="CG8" s="644">
        <f t="shared" si="46"/>
        <v>0</v>
      </c>
      <c r="CH8" s="644">
        <f t="shared" si="6"/>
        <v>0</v>
      </c>
      <c r="CI8" s="1132">
        <f t="shared" si="47"/>
        <v>0</v>
      </c>
      <c r="CJ8" s="1132">
        <f t="shared" si="48"/>
        <v>0</v>
      </c>
      <c r="CK8" s="1132">
        <f t="shared" si="49"/>
        <v>0</v>
      </c>
      <c r="CL8" s="1132">
        <f t="shared" si="50"/>
        <v>0</v>
      </c>
      <c r="CM8" s="1132">
        <f t="shared" si="51"/>
        <v>0</v>
      </c>
      <c r="CN8" s="1132">
        <f t="shared" si="52"/>
        <v>0</v>
      </c>
      <c r="CO8" s="644">
        <f t="shared" si="103"/>
        <v>0</v>
      </c>
      <c r="CP8" s="644">
        <f t="shared" si="104"/>
        <v>0</v>
      </c>
      <c r="CQ8" s="644">
        <f t="shared" si="105"/>
        <v>0</v>
      </c>
      <c r="CR8" s="644">
        <f t="shared" si="106"/>
        <v>0</v>
      </c>
      <c r="CS8" s="644">
        <f t="shared" si="107"/>
        <v>0</v>
      </c>
      <c r="CT8" s="644">
        <f t="shared" si="108"/>
        <v>0</v>
      </c>
      <c r="CU8" s="644">
        <f t="shared" si="109"/>
        <v>0</v>
      </c>
      <c r="CV8" s="362">
        <f>Actual!AX54</f>
        <v>0</v>
      </c>
      <c r="CW8" s="644">
        <f t="shared" si="54"/>
        <v>0</v>
      </c>
      <c r="CX8" s="644">
        <f t="shared" si="55"/>
        <v>0</v>
      </c>
      <c r="CY8" s="644">
        <f t="shared" si="56"/>
        <v>0</v>
      </c>
      <c r="CZ8" s="644">
        <f t="shared" si="57"/>
        <v>0</v>
      </c>
      <c r="DA8" s="644">
        <f t="shared" si="58"/>
        <v>0</v>
      </c>
      <c r="DB8" s="644">
        <f t="shared" si="59"/>
        <v>0</v>
      </c>
      <c r="DC8" s="644">
        <f t="shared" si="110"/>
        <v>56651.176224000003</v>
      </c>
      <c r="DD8" s="1132">
        <f t="shared" si="111"/>
        <v>38.943999999999996</v>
      </c>
      <c r="DE8" s="1132">
        <f t="shared" si="60"/>
        <v>20.836000000000002</v>
      </c>
      <c r="DF8" s="1132">
        <f t="shared" si="61"/>
        <v>8.9700000000000006</v>
      </c>
      <c r="DG8" s="1132">
        <f t="shared" si="62"/>
        <v>0.16800000000000001</v>
      </c>
      <c r="DH8" s="1132">
        <f t="shared" si="63"/>
        <v>4728</v>
      </c>
      <c r="DI8" s="1132">
        <f t="shared" si="64"/>
        <v>3646.5156889495224</v>
      </c>
      <c r="DJ8" s="644">
        <f t="shared" si="112"/>
        <v>56651.176224000003</v>
      </c>
      <c r="DK8" s="644">
        <f t="shared" si="113"/>
        <v>38.943999999999996</v>
      </c>
      <c r="DL8" s="644">
        <f t="shared" si="114"/>
        <v>20.836000000000002</v>
      </c>
      <c r="DM8" s="644">
        <f t="shared" si="115"/>
        <v>8.9700000000000006</v>
      </c>
      <c r="DN8" s="644">
        <f t="shared" si="116"/>
        <v>0.16800000000000001</v>
      </c>
      <c r="DO8" s="1132">
        <f t="shared" si="117"/>
        <v>4728</v>
      </c>
      <c r="DP8" s="1132">
        <f t="shared" si="118"/>
        <v>3646.5156889495224</v>
      </c>
      <c r="DQ8" s="362">
        <f>Actual!AZ54</f>
        <v>0</v>
      </c>
      <c r="DR8" s="644">
        <f t="shared" si="119"/>
        <v>0</v>
      </c>
      <c r="DS8" s="644">
        <f t="shared" si="9"/>
        <v>0</v>
      </c>
      <c r="DT8" s="644">
        <f t="shared" si="9"/>
        <v>0</v>
      </c>
      <c r="DU8" s="644">
        <f t="shared" si="9"/>
        <v>0</v>
      </c>
      <c r="DV8" s="644">
        <f t="shared" si="9"/>
        <v>0</v>
      </c>
      <c r="DW8" s="644">
        <f t="shared" si="9"/>
        <v>0</v>
      </c>
    </row>
    <row r="9" spans="1:127" ht="15">
      <c r="A9" s="1046" t="str">
        <f>'Equipment '!A12</f>
        <v>07-Sep-26</v>
      </c>
      <c r="B9" s="644">
        <f t="shared" si="0"/>
        <v>98828.664106000011</v>
      </c>
      <c r="C9" s="644">
        <f t="shared" si="10"/>
        <v>39.016136253559822</v>
      </c>
      <c r="D9" s="644">
        <f t="shared" si="11"/>
        <v>19.835153067199847</v>
      </c>
      <c r="E9" s="644">
        <f t="shared" si="12"/>
        <v>7.3449026335938337</v>
      </c>
      <c r="F9" s="644">
        <f t="shared" si="13"/>
        <v>0.14030643451478608</v>
      </c>
      <c r="G9" s="644">
        <f t="shared" si="14"/>
        <v>4907.768259027147</v>
      </c>
      <c r="H9" s="644">
        <f t="shared" si="66"/>
        <v>3733.5509183100103</v>
      </c>
      <c r="I9" s="644">
        <f t="shared" si="67"/>
        <v>98828.664106000011</v>
      </c>
      <c r="J9" s="644">
        <f t="shared" si="68"/>
        <v>39.016136253559822</v>
      </c>
      <c r="K9" s="644">
        <f t="shared" si="69"/>
        <v>19.835153067199847</v>
      </c>
      <c r="L9" s="644">
        <f t="shared" si="70"/>
        <v>7.3449026335938337</v>
      </c>
      <c r="M9" s="644">
        <f t="shared" si="71"/>
        <v>0.14030643451478608</v>
      </c>
      <c r="N9" s="644">
        <f t="shared" si="72"/>
        <v>4907.768259027147</v>
      </c>
      <c r="O9" s="644">
        <f t="shared" si="73"/>
        <v>3733.5509183100103</v>
      </c>
      <c r="P9" s="644">
        <f>Actual!AV55</f>
        <v>0</v>
      </c>
      <c r="Q9" s="1130">
        <f t="shared" ref="Q9:V9" si="124">Q8</f>
        <v>39.259692868249303</v>
      </c>
      <c r="R9" s="1130">
        <f t="shared" si="124"/>
        <v>22.233939419516801</v>
      </c>
      <c r="S9" s="1130">
        <f t="shared" si="124"/>
        <v>5.1624683361673904</v>
      </c>
      <c r="T9" s="1130">
        <f t="shared" si="124"/>
        <v>0.16306692045557394</v>
      </c>
      <c r="U9" s="1130">
        <f t="shared" si="124"/>
        <v>4982.7757437603759</v>
      </c>
      <c r="V9" s="1130">
        <f t="shared" si="124"/>
        <v>3891.8691108367598</v>
      </c>
      <c r="W9" s="644">
        <f t="shared" si="17"/>
        <v>0</v>
      </c>
      <c r="X9" s="1131">
        <f t="shared" si="18"/>
        <v>0</v>
      </c>
      <c r="Y9" s="1132">
        <f t="shared" si="19"/>
        <v>0</v>
      </c>
      <c r="Z9" s="1132">
        <f t="shared" si="20"/>
        <v>0</v>
      </c>
      <c r="AA9" s="1132">
        <f t="shared" si="21"/>
        <v>0</v>
      </c>
      <c r="AB9" s="1132">
        <f t="shared" si="22"/>
        <v>0</v>
      </c>
      <c r="AC9" s="1132">
        <f t="shared" si="23"/>
        <v>0</v>
      </c>
      <c r="AD9" s="644">
        <f t="shared" si="75"/>
        <v>0</v>
      </c>
      <c r="AE9" s="644">
        <f t="shared" si="76"/>
        <v>0</v>
      </c>
      <c r="AF9" s="644">
        <f t="shared" si="77"/>
        <v>0</v>
      </c>
      <c r="AG9" s="644">
        <f t="shared" si="78"/>
        <v>0</v>
      </c>
      <c r="AH9" s="644">
        <f t="shared" si="79"/>
        <v>0</v>
      </c>
      <c r="AI9" s="1132">
        <f t="shared" si="80"/>
        <v>0</v>
      </c>
      <c r="AJ9" s="1132">
        <f t="shared" si="81"/>
        <v>0</v>
      </c>
      <c r="AK9" s="362">
        <f>Actual!AU55</f>
        <v>0</v>
      </c>
      <c r="AL9" s="644">
        <f t="shared" si="82"/>
        <v>39.450000000000003</v>
      </c>
      <c r="AM9" s="644">
        <f t="shared" si="83"/>
        <v>17.2</v>
      </c>
      <c r="AN9" s="644">
        <f t="shared" si="84"/>
        <v>13.18</v>
      </c>
      <c r="AO9" s="644">
        <f t="shared" si="85"/>
        <v>0.13</v>
      </c>
      <c r="AP9" s="644">
        <f t="shared" si="121"/>
        <v>4789</v>
      </c>
      <c r="AQ9" s="644">
        <f t="shared" si="86"/>
        <v>3502.1008454106282</v>
      </c>
      <c r="AR9" s="644">
        <f t="shared" si="26"/>
        <v>2697.3303620000002</v>
      </c>
      <c r="AS9" s="1132">
        <f t="shared" si="87"/>
        <v>39.54</v>
      </c>
      <c r="AT9" s="1132">
        <f t="shared" si="27"/>
        <v>22.28</v>
      </c>
      <c r="AU9" s="1132">
        <f t="shared" si="28"/>
        <v>8.8800000000000008</v>
      </c>
      <c r="AV9" s="1132">
        <f t="shared" si="29"/>
        <v>0.1</v>
      </c>
      <c r="AW9" s="1132">
        <f t="shared" si="30"/>
        <v>4728</v>
      </c>
      <c r="AX9" s="1132">
        <f t="shared" si="31"/>
        <v>3678.0092640247044</v>
      </c>
      <c r="AY9" s="644">
        <f t="shared" si="88"/>
        <v>2697.3303620000002</v>
      </c>
      <c r="AZ9" s="644">
        <f t="shared" si="89"/>
        <v>39.54</v>
      </c>
      <c r="BA9" s="644">
        <f t="shared" si="90"/>
        <v>22.28</v>
      </c>
      <c r="BB9" s="644">
        <f t="shared" si="91"/>
        <v>8.8800000000000008</v>
      </c>
      <c r="BC9" s="644">
        <f t="shared" si="92"/>
        <v>0.1</v>
      </c>
      <c r="BD9" s="644">
        <f t="shared" si="93"/>
        <v>4728</v>
      </c>
      <c r="BE9" s="644">
        <f t="shared" si="94"/>
        <v>3678.0092640247044</v>
      </c>
      <c r="BF9" s="405">
        <f>Actual!AW55</f>
        <v>0</v>
      </c>
      <c r="BG9" s="1129">
        <f t="shared" si="95"/>
        <v>38.758693568593003</v>
      </c>
      <c r="BH9" s="1129">
        <f t="shared" si="95"/>
        <v>24.565816766115823</v>
      </c>
      <c r="BI9" s="1129">
        <f t="shared" si="95"/>
        <v>6.9297573448338197</v>
      </c>
      <c r="BJ9" s="1129">
        <f t="shared" si="95"/>
        <v>0.18280031980514408</v>
      </c>
      <c r="BK9" s="1129">
        <f t="shared" si="95"/>
        <v>4389.8195426817128</v>
      </c>
      <c r="BL9" s="1129">
        <f t="shared" si="95"/>
        <v>3745.45548895927</v>
      </c>
      <c r="BM9" s="644">
        <f t="shared" si="3"/>
        <v>0</v>
      </c>
      <c r="BN9" s="1132">
        <f t="shared" si="34"/>
        <v>0</v>
      </c>
      <c r="BO9" s="1132">
        <f t="shared" si="35"/>
        <v>0</v>
      </c>
      <c r="BP9" s="1132">
        <f t="shared" si="36"/>
        <v>0</v>
      </c>
      <c r="BQ9" s="1132">
        <f t="shared" si="37"/>
        <v>0</v>
      </c>
      <c r="BR9" s="1132">
        <f t="shared" si="38"/>
        <v>0</v>
      </c>
      <c r="BS9" s="1132">
        <f t="shared" si="39"/>
        <v>0</v>
      </c>
      <c r="BT9" s="644">
        <f t="shared" si="96"/>
        <v>0</v>
      </c>
      <c r="BU9" s="644">
        <f t="shared" si="97"/>
        <v>0</v>
      </c>
      <c r="BV9" s="644">
        <f t="shared" si="98"/>
        <v>0</v>
      </c>
      <c r="BW9" s="644">
        <f t="shared" si="99"/>
        <v>0</v>
      </c>
      <c r="BX9" s="644">
        <f t="shared" si="100"/>
        <v>0</v>
      </c>
      <c r="BY9" s="644">
        <f t="shared" si="101"/>
        <v>0</v>
      </c>
      <c r="BZ9" s="644">
        <f t="shared" si="102"/>
        <v>0</v>
      </c>
      <c r="CA9" s="362">
        <f>Actual!AY55</f>
        <v>0</v>
      </c>
      <c r="CB9" s="644">
        <f t="shared" si="41"/>
        <v>0</v>
      </c>
      <c r="CC9" s="644">
        <f t="shared" si="42"/>
        <v>0</v>
      </c>
      <c r="CD9" s="644">
        <f t="shared" si="43"/>
        <v>0</v>
      </c>
      <c r="CE9" s="644">
        <f t="shared" si="44"/>
        <v>0</v>
      </c>
      <c r="CF9" s="644">
        <f t="shared" si="45"/>
        <v>0</v>
      </c>
      <c r="CG9" s="644">
        <f t="shared" si="46"/>
        <v>0</v>
      </c>
      <c r="CH9" s="644">
        <f t="shared" si="6"/>
        <v>0</v>
      </c>
      <c r="CI9" s="1132">
        <f t="shared" si="47"/>
        <v>0</v>
      </c>
      <c r="CJ9" s="1132">
        <f t="shared" si="48"/>
        <v>0</v>
      </c>
      <c r="CK9" s="1132">
        <f t="shared" si="49"/>
        <v>0</v>
      </c>
      <c r="CL9" s="1132">
        <f t="shared" si="50"/>
        <v>0</v>
      </c>
      <c r="CM9" s="1132">
        <f t="shared" si="51"/>
        <v>0</v>
      </c>
      <c r="CN9" s="1132">
        <f t="shared" si="52"/>
        <v>0</v>
      </c>
      <c r="CO9" s="644">
        <f t="shared" si="103"/>
        <v>0</v>
      </c>
      <c r="CP9" s="644">
        <f t="shared" si="104"/>
        <v>0</v>
      </c>
      <c r="CQ9" s="644">
        <f t="shared" si="105"/>
        <v>0</v>
      </c>
      <c r="CR9" s="644">
        <f t="shared" si="106"/>
        <v>0</v>
      </c>
      <c r="CS9" s="644">
        <f t="shared" si="107"/>
        <v>0</v>
      </c>
      <c r="CT9" s="644">
        <f t="shared" si="108"/>
        <v>0</v>
      </c>
      <c r="CU9" s="644">
        <f t="shared" si="109"/>
        <v>0</v>
      </c>
      <c r="CV9" s="362">
        <f>Actual!AX55</f>
        <v>0</v>
      </c>
      <c r="CW9" s="644">
        <f t="shared" si="54"/>
        <v>0</v>
      </c>
      <c r="CX9" s="644">
        <f t="shared" si="55"/>
        <v>0</v>
      </c>
      <c r="CY9" s="644">
        <f t="shared" si="56"/>
        <v>0</v>
      </c>
      <c r="CZ9" s="644">
        <f t="shared" si="57"/>
        <v>0</v>
      </c>
      <c r="DA9" s="644">
        <f t="shared" si="58"/>
        <v>0</v>
      </c>
      <c r="DB9" s="644">
        <f t="shared" si="59"/>
        <v>0</v>
      </c>
      <c r="DC9" s="644">
        <f t="shared" si="110"/>
        <v>56651.176224000003</v>
      </c>
      <c r="DD9" s="1132">
        <f t="shared" si="111"/>
        <v>38.943999999999996</v>
      </c>
      <c r="DE9" s="1132">
        <f t="shared" si="60"/>
        <v>20.836000000000002</v>
      </c>
      <c r="DF9" s="1132">
        <f t="shared" si="61"/>
        <v>8.9700000000000006</v>
      </c>
      <c r="DG9" s="1132">
        <f t="shared" si="62"/>
        <v>0.16800000000000001</v>
      </c>
      <c r="DH9" s="1132">
        <f t="shared" si="63"/>
        <v>4728</v>
      </c>
      <c r="DI9" s="1132">
        <f t="shared" si="64"/>
        <v>3646.5156889495224</v>
      </c>
      <c r="DJ9" s="644">
        <f t="shared" si="112"/>
        <v>56651.176224000003</v>
      </c>
      <c r="DK9" s="644">
        <f t="shared" si="113"/>
        <v>38.943999999999996</v>
      </c>
      <c r="DL9" s="644">
        <f t="shared" si="114"/>
        <v>20.836000000000002</v>
      </c>
      <c r="DM9" s="644">
        <f t="shared" si="115"/>
        <v>8.9700000000000006</v>
      </c>
      <c r="DN9" s="644">
        <f t="shared" si="116"/>
        <v>0.16800000000000001</v>
      </c>
      <c r="DO9" s="1132">
        <f t="shared" si="117"/>
        <v>4728</v>
      </c>
      <c r="DP9" s="1132">
        <f t="shared" si="118"/>
        <v>3646.5156889495224</v>
      </c>
      <c r="DQ9" s="362">
        <f>Actual!AZ55</f>
        <v>0</v>
      </c>
      <c r="DR9" s="644">
        <f t="shared" si="119"/>
        <v>0</v>
      </c>
      <c r="DS9" s="644">
        <f t="shared" si="9"/>
        <v>0</v>
      </c>
      <c r="DT9" s="644">
        <f t="shared" si="9"/>
        <v>0</v>
      </c>
      <c r="DU9" s="644">
        <f t="shared" si="9"/>
        <v>0</v>
      </c>
      <c r="DV9" s="644">
        <f t="shared" si="9"/>
        <v>0</v>
      </c>
      <c r="DW9" s="644">
        <f t="shared" si="9"/>
        <v>0</v>
      </c>
    </row>
    <row r="10" spans="1:127" ht="15">
      <c r="A10" s="1046" t="str">
        <f>'Equipment '!A13</f>
        <v>08-Sep-26</v>
      </c>
      <c r="B10" s="644">
        <f t="shared" si="0"/>
        <v>98828.664106000011</v>
      </c>
      <c r="C10" s="644">
        <f t="shared" si="10"/>
        <v>39.016136253559822</v>
      </c>
      <c r="D10" s="644">
        <f t="shared" si="11"/>
        <v>19.835153067199847</v>
      </c>
      <c r="E10" s="644">
        <f t="shared" si="12"/>
        <v>7.3449026335938337</v>
      </c>
      <c r="F10" s="644">
        <f t="shared" si="13"/>
        <v>0.14030643451478608</v>
      </c>
      <c r="G10" s="644">
        <f t="shared" si="14"/>
        <v>4907.768259027147</v>
      </c>
      <c r="H10" s="644">
        <f t="shared" si="66"/>
        <v>3733.5509183100103</v>
      </c>
      <c r="I10" s="644">
        <f t="shared" si="67"/>
        <v>98828.664106000011</v>
      </c>
      <c r="J10" s="644">
        <f t="shared" si="68"/>
        <v>39.016136253559822</v>
      </c>
      <c r="K10" s="644">
        <f t="shared" si="69"/>
        <v>19.835153067199847</v>
      </c>
      <c r="L10" s="644">
        <f t="shared" si="70"/>
        <v>7.3449026335938337</v>
      </c>
      <c r="M10" s="644">
        <f t="shared" si="71"/>
        <v>0.14030643451478608</v>
      </c>
      <c r="N10" s="644">
        <f t="shared" si="72"/>
        <v>4907.768259027147</v>
      </c>
      <c r="O10" s="644">
        <f t="shared" si="73"/>
        <v>3733.5509183100103</v>
      </c>
      <c r="P10" s="644">
        <f>Actual!AV56</f>
        <v>0</v>
      </c>
      <c r="Q10" s="1130">
        <f t="shared" ref="Q10:V10" si="125">Q9</f>
        <v>39.259692868249303</v>
      </c>
      <c r="R10" s="1130">
        <f t="shared" si="125"/>
        <v>22.233939419516801</v>
      </c>
      <c r="S10" s="1130">
        <f t="shared" si="125"/>
        <v>5.1624683361673904</v>
      </c>
      <c r="T10" s="1130">
        <f t="shared" si="125"/>
        <v>0.16306692045557394</v>
      </c>
      <c r="U10" s="1130">
        <f t="shared" si="125"/>
        <v>4982.7757437603759</v>
      </c>
      <c r="V10" s="1130">
        <f t="shared" si="125"/>
        <v>3891.8691108367598</v>
      </c>
      <c r="W10" s="644">
        <f t="shared" si="17"/>
        <v>0</v>
      </c>
      <c r="X10" s="1131">
        <f t="shared" si="18"/>
        <v>0</v>
      </c>
      <c r="Y10" s="1132">
        <f t="shared" si="19"/>
        <v>0</v>
      </c>
      <c r="Z10" s="1132">
        <f t="shared" si="20"/>
        <v>0</v>
      </c>
      <c r="AA10" s="1132">
        <f t="shared" si="21"/>
        <v>0</v>
      </c>
      <c r="AB10" s="1132">
        <f t="shared" si="22"/>
        <v>0</v>
      </c>
      <c r="AC10" s="1132">
        <f t="shared" si="23"/>
        <v>0</v>
      </c>
      <c r="AD10" s="644">
        <f t="shared" si="75"/>
        <v>0</v>
      </c>
      <c r="AE10" s="644">
        <f t="shared" si="76"/>
        <v>0</v>
      </c>
      <c r="AF10" s="644">
        <f t="shared" si="77"/>
        <v>0</v>
      </c>
      <c r="AG10" s="644">
        <f t="shared" si="78"/>
        <v>0</v>
      </c>
      <c r="AH10" s="644">
        <f t="shared" si="79"/>
        <v>0</v>
      </c>
      <c r="AI10" s="1132">
        <f t="shared" si="80"/>
        <v>0</v>
      </c>
      <c r="AJ10" s="1132">
        <f t="shared" si="81"/>
        <v>0</v>
      </c>
      <c r="AK10" s="362">
        <f>Actual!AU56</f>
        <v>0</v>
      </c>
      <c r="AL10" s="644">
        <f t="shared" si="82"/>
        <v>39.450000000000003</v>
      </c>
      <c r="AM10" s="644">
        <f t="shared" si="83"/>
        <v>17.2</v>
      </c>
      <c r="AN10" s="644">
        <f t="shared" si="84"/>
        <v>13.18</v>
      </c>
      <c r="AO10" s="644">
        <f t="shared" si="85"/>
        <v>0.13</v>
      </c>
      <c r="AP10" s="644">
        <f t="shared" si="121"/>
        <v>4789</v>
      </c>
      <c r="AQ10" s="644">
        <f t="shared" si="86"/>
        <v>3502.1008454106282</v>
      </c>
      <c r="AR10" s="644">
        <f t="shared" si="26"/>
        <v>2697.3303620000002</v>
      </c>
      <c r="AS10" s="1132">
        <f t="shared" si="87"/>
        <v>39.54</v>
      </c>
      <c r="AT10" s="1132">
        <f t="shared" si="27"/>
        <v>22.28</v>
      </c>
      <c r="AU10" s="1132">
        <f t="shared" si="28"/>
        <v>8.8800000000000008</v>
      </c>
      <c r="AV10" s="1132">
        <f t="shared" si="29"/>
        <v>0.1</v>
      </c>
      <c r="AW10" s="1132">
        <f t="shared" si="30"/>
        <v>4728</v>
      </c>
      <c r="AX10" s="1132">
        <f t="shared" si="31"/>
        <v>3678.0092640247044</v>
      </c>
      <c r="AY10" s="644">
        <f t="shared" si="88"/>
        <v>2697.3303620000002</v>
      </c>
      <c r="AZ10" s="644">
        <f t="shared" si="89"/>
        <v>39.54</v>
      </c>
      <c r="BA10" s="644">
        <f t="shared" si="90"/>
        <v>22.28</v>
      </c>
      <c r="BB10" s="644">
        <f t="shared" si="91"/>
        <v>8.8800000000000008</v>
      </c>
      <c r="BC10" s="644">
        <f t="shared" si="92"/>
        <v>0.1</v>
      </c>
      <c r="BD10" s="644">
        <f t="shared" si="93"/>
        <v>4728</v>
      </c>
      <c r="BE10" s="644">
        <f t="shared" si="94"/>
        <v>3678.0092640247044</v>
      </c>
      <c r="BF10" s="405">
        <f>Actual!AW56</f>
        <v>0</v>
      </c>
      <c r="BG10" s="1129">
        <f t="shared" si="95"/>
        <v>38.758693568593003</v>
      </c>
      <c r="BH10" s="1129">
        <f t="shared" si="95"/>
        <v>24.565816766115823</v>
      </c>
      <c r="BI10" s="1129">
        <f t="shared" si="95"/>
        <v>6.9297573448338197</v>
      </c>
      <c r="BJ10" s="1129">
        <f t="shared" si="95"/>
        <v>0.18280031980514408</v>
      </c>
      <c r="BK10" s="1129">
        <f t="shared" si="95"/>
        <v>4389.8195426817128</v>
      </c>
      <c r="BL10" s="1129">
        <f t="shared" si="95"/>
        <v>3745.45548895927</v>
      </c>
      <c r="BM10" s="644">
        <f t="shared" si="3"/>
        <v>0</v>
      </c>
      <c r="BN10" s="1132">
        <f t="shared" si="34"/>
        <v>0</v>
      </c>
      <c r="BO10" s="1132">
        <f t="shared" si="35"/>
        <v>0</v>
      </c>
      <c r="BP10" s="1132">
        <f t="shared" si="36"/>
        <v>0</v>
      </c>
      <c r="BQ10" s="1132">
        <f t="shared" si="37"/>
        <v>0</v>
      </c>
      <c r="BR10" s="1132">
        <f t="shared" si="38"/>
        <v>0</v>
      </c>
      <c r="BS10" s="1132">
        <f t="shared" si="39"/>
        <v>0</v>
      </c>
      <c r="BT10" s="644">
        <f t="shared" si="96"/>
        <v>0</v>
      </c>
      <c r="BU10" s="644">
        <f t="shared" si="97"/>
        <v>0</v>
      </c>
      <c r="BV10" s="644">
        <f t="shared" si="98"/>
        <v>0</v>
      </c>
      <c r="BW10" s="644">
        <f t="shared" si="99"/>
        <v>0</v>
      </c>
      <c r="BX10" s="644">
        <f t="shared" si="100"/>
        <v>0</v>
      </c>
      <c r="BY10" s="644">
        <f t="shared" si="101"/>
        <v>0</v>
      </c>
      <c r="BZ10" s="644">
        <f t="shared" si="102"/>
        <v>0</v>
      </c>
      <c r="CA10" s="362">
        <f>Actual!AY56</f>
        <v>0</v>
      </c>
      <c r="CB10" s="644">
        <f t="shared" si="41"/>
        <v>0</v>
      </c>
      <c r="CC10" s="644">
        <f t="shared" si="42"/>
        <v>0</v>
      </c>
      <c r="CD10" s="644">
        <f t="shared" si="43"/>
        <v>0</v>
      </c>
      <c r="CE10" s="644">
        <f t="shared" si="44"/>
        <v>0</v>
      </c>
      <c r="CF10" s="644">
        <f t="shared" si="45"/>
        <v>0</v>
      </c>
      <c r="CG10" s="644">
        <f t="shared" si="46"/>
        <v>0</v>
      </c>
      <c r="CH10" s="1225">
        <f t="shared" si="6"/>
        <v>0</v>
      </c>
      <c r="CI10" s="1132">
        <f t="shared" si="47"/>
        <v>0</v>
      </c>
      <c r="CJ10" s="1132">
        <f t="shared" si="48"/>
        <v>0</v>
      </c>
      <c r="CK10" s="1132">
        <f t="shared" si="49"/>
        <v>0</v>
      </c>
      <c r="CL10" s="1132">
        <f t="shared" si="50"/>
        <v>0</v>
      </c>
      <c r="CM10" s="1132">
        <f t="shared" si="51"/>
        <v>0</v>
      </c>
      <c r="CN10" s="1132">
        <f t="shared" si="52"/>
        <v>0</v>
      </c>
      <c r="CO10" s="644">
        <f t="shared" si="103"/>
        <v>0</v>
      </c>
      <c r="CP10" s="644">
        <f t="shared" si="104"/>
        <v>0</v>
      </c>
      <c r="CQ10" s="644">
        <f t="shared" si="105"/>
        <v>0</v>
      </c>
      <c r="CR10" s="644">
        <f t="shared" si="106"/>
        <v>0</v>
      </c>
      <c r="CS10" s="644">
        <f t="shared" si="107"/>
        <v>0</v>
      </c>
      <c r="CT10" s="644">
        <f t="shared" si="108"/>
        <v>0</v>
      </c>
      <c r="CU10" s="644">
        <f t="shared" si="109"/>
        <v>0</v>
      </c>
      <c r="CV10" s="362">
        <f>Actual!AX56</f>
        <v>0</v>
      </c>
      <c r="CW10" s="644">
        <f t="shared" si="54"/>
        <v>0</v>
      </c>
      <c r="CX10" s="644">
        <f t="shared" si="55"/>
        <v>0</v>
      </c>
      <c r="CY10" s="644">
        <f t="shared" si="56"/>
        <v>0</v>
      </c>
      <c r="CZ10" s="644">
        <f t="shared" si="57"/>
        <v>0</v>
      </c>
      <c r="DA10" s="644">
        <f t="shared" si="58"/>
        <v>0</v>
      </c>
      <c r="DB10" s="644">
        <f t="shared" si="59"/>
        <v>0</v>
      </c>
      <c r="DC10" s="644">
        <f t="shared" si="110"/>
        <v>56651.176224000003</v>
      </c>
      <c r="DD10" s="1132">
        <f t="shared" si="111"/>
        <v>38.943999999999996</v>
      </c>
      <c r="DE10" s="1132">
        <f t="shared" si="60"/>
        <v>20.836000000000002</v>
      </c>
      <c r="DF10" s="1132">
        <f t="shared" si="61"/>
        <v>8.9700000000000006</v>
      </c>
      <c r="DG10" s="1132">
        <f t="shared" si="62"/>
        <v>0.16800000000000001</v>
      </c>
      <c r="DH10" s="1132">
        <f t="shared" si="63"/>
        <v>4728</v>
      </c>
      <c r="DI10" s="1132">
        <f t="shared" si="64"/>
        <v>3646.5156889495224</v>
      </c>
      <c r="DJ10" s="644">
        <f t="shared" si="112"/>
        <v>56651.176224000003</v>
      </c>
      <c r="DK10" s="644">
        <f t="shared" si="113"/>
        <v>38.943999999999996</v>
      </c>
      <c r="DL10" s="644">
        <f t="shared" si="114"/>
        <v>20.836000000000002</v>
      </c>
      <c r="DM10" s="644">
        <f t="shared" si="115"/>
        <v>8.9700000000000006</v>
      </c>
      <c r="DN10" s="644">
        <f t="shared" si="116"/>
        <v>0.16800000000000001</v>
      </c>
      <c r="DO10" s="1132">
        <f t="shared" si="117"/>
        <v>4728</v>
      </c>
      <c r="DP10" s="1132">
        <f t="shared" si="118"/>
        <v>3646.5156889495224</v>
      </c>
      <c r="DQ10" s="362">
        <f>Actual!AZ56</f>
        <v>0</v>
      </c>
      <c r="DR10" s="644">
        <f t="shared" si="119"/>
        <v>0</v>
      </c>
      <c r="DS10" s="644">
        <f t="shared" si="9"/>
        <v>0</v>
      </c>
      <c r="DT10" s="644">
        <f t="shared" si="9"/>
        <v>0</v>
      </c>
      <c r="DU10" s="644">
        <f t="shared" si="9"/>
        <v>0</v>
      </c>
      <c r="DV10" s="644">
        <f t="shared" si="9"/>
        <v>0</v>
      </c>
      <c r="DW10" s="644">
        <f t="shared" si="9"/>
        <v>0</v>
      </c>
    </row>
    <row r="11" spans="1:127" ht="15">
      <c r="A11" s="1046" t="str">
        <f>'Equipment '!A14</f>
        <v>09-Sep-26</v>
      </c>
      <c r="B11" s="644">
        <f t="shared" si="0"/>
        <v>98828.664106000011</v>
      </c>
      <c r="C11" s="644">
        <f t="shared" si="10"/>
        <v>39.016136253559822</v>
      </c>
      <c r="D11" s="644">
        <f t="shared" si="11"/>
        <v>19.835153067199847</v>
      </c>
      <c r="E11" s="644">
        <f t="shared" si="12"/>
        <v>7.3449026335938337</v>
      </c>
      <c r="F11" s="644">
        <f t="shared" si="13"/>
        <v>0.14030643451478608</v>
      </c>
      <c r="G11" s="644">
        <f t="shared" si="14"/>
        <v>4907.768259027147</v>
      </c>
      <c r="H11" s="644">
        <f t="shared" si="66"/>
        <v>3733.5509183100103</v>
      </c>
      <c r="I11" s="644">
        <f t="shared" si="67"/>
        <v>98828.664106000011</v>
      </c>
      <c r="J11" s="644">
        <f t="shared" si="68"/>
        <v>39.016136253559822</v>
      </c>
      <c r="K11" s="644">
        <f t="shared" si="69"/>
        <v>19.835153067199847</v>
      </c>
      <c r="L11" s="644">
        <f t="shared" si="70"/>
        <v>7.3449026335938337</v>
      </c>
      <c r="M11" s="644">
        <f t="shared" si="71"/>
        <v>0.14030643451478608</v>
      </c>
      <c r="N11" s="644">
        <f t="shared" si="72"/>
        <v>4907.768259027147</v>
      </c>
      <c r="O11" s="644">
        <f t="shared" si="73"/>
        <v>3733.5509183100103</v>
      </c>
      <c r="P11" s="644">
        <f>Actual!AV57</f>
        <v>0</v>
      </c>
      <c r="Q11" s="1130">
        <f t="shared" ref="Q11:V11" si="126">Q10</f>
        <v>39.259692868249303</v>
      </c>
      <c r="R11" s="1130">
        <f t="shared" si="126"/>
        <v>22.233939419516801</v>
      </c>
      <c r="S11" s="1130">
        <f t="shared" si="126"/>
        <v>5.1624683361673904</v>
      </c>
      <c r="T11" s="1130">
        <f t="shared" si="126"/>
        <v>0.16306692045557394</v>
      </c>
      <c r="U11" s="1130">
        <f t="shared" si="126"/>
        <v>4982.7757437603759</v>
      </c>
      <c r="V11" s="1130">
        <f t="shared" si="126"/>
        <v>3891.8691108367598</v>
      </c>
      <c r="W11" s="644">
        <f t="shared" si="17"/>
        <v>0</v>
      </c>
      <c r="X11" s="1131">
        <f t="shared" si="18"/>
        <v>0</v>
      </c>
      <c r="Y11" s="1132">
        <f t="shared" si="19"/>
        <v>0</v>
      </c>
      <c r="Z11" s="1132">
        <f t="shared" si="20"/>
        <v>0</v>
      </c>
      <c r="AA11" s="1132">
        <f t="shared" si="21"/>
        <v>0</v>
      </c>
      <c r="AB11" s="1132">
        <f t="shared" si="22"/>
        <v>0</v>
      </c>
      <c r="AC11" s="1132">
        <f t="shared" si="23"/>
        <v>0</v>
      </c>
      <c r="AD11" s="644">
        <f t="shared" si="75"/>
        <v>0</v>
      </c>
      <c r="AE11" s="644">
        <f t="shared" si="76"/>
        <v>0</v>
      </c>
      <c r="AF11" s="644">
        <f t="shared" si="77"/>
        <v>0</v>
      </c>
      <c r="AG11" s="644">
        <f t="shared" si="78"/>
        <v>0</v>
      </c>
      <c r="AH11" s="644">
        <f t="shared" si="79"/>
        <v>0</v>
      </c>
      <c r="AI11" s="1132">
        <f t="shared" si="80"/>
        <v>0</v>
      </c>
      <c r="AJ11" s="1132">
        <f t="shared" si="81"/>
        <v>0</v>
      </c>
      <c r="AK11" s="362">
        <f>Actual!AU57</f>
        <v>0</v>
      </c>
      <c r="AL11" s="644">
        <f t="shared" si="82"/>
        <v>39.450000000000003</v>
      </c>
      <c r="AM11" s="644">
        <f t="shared" si="83"/>
        <v>17.2</v>
      </c>
      <c r="AN11" s="644">
        <f t="shared" si="84"/>
        <v>13.18</v>
      </c>
      <c r="AO11" s="644">
        <f t="shared" si="85"/>
        <v>0.13</v>
      </c>
      <c r="AP11" s="644">
        <f t="shared" si="121"/>
        <v>4789</v>
      </c>
      <c r="AQ11" s="644">
        <f t="shared" si="86"/>
        <v>3502.1008454106282</v>
      </c>
      <c r="AR11" s="644">
        <f t="shared" si="26"/>
        <v>2697.3303620000002</v>
      </c>
      <c r="AS11" s="1132">
        <f t="shared" si="87"/>
        <v>39.54</v>
      </c>
      <c r="AT11" s="1132">
        <f t="shared" si="27"/>
        <v>22.28</v>
      </c>
      <c r="AU11" s="1132">
        <f t="shared" si="28"/>
        <v>8.8800000000000008</v>
      </c>
      <c r="AV11" s="1132">
        <f t="shared" si="29"/>
        <v>0.1</v>
      </c>
      <c r="AW11" s="1132">
        <f t="shared" si="30"/>
        <v>4728</v>
      </c>
      <c r="AX11" s="1132">
        <f t="shared" si="31"/>
        <v>3678.0092640247044</v>
      </c>
      <c r="AY11" s="644">
        <f t="shared" si="88"/>
        <v>2697.3303620000002</v>
      </c>
      <c r="AZ11" s="644">
        <f t="shared" si="89"/>
        <v>39.54</v>
      </c>
      <c r="BA11" s="644">
        <f t="shared" si="90"/>
        <v>22.28</v>
      </c>
      <c r="BB11" s="644">
        <f t="shared" si="91"/>
        <v>8.8800000000000008</v>
      </c>
      <c r="BC11" s="644">
        <f t="shared" si="92"/>
        <v>0.1</v>
      </c>
      <c r="BD11" s="644">
        <f t="shared" si="93"/>
        <v>4728</v>
      </c>
      <c r="BE11" s="644">
        <f t="shared" si="94"/>
        <v>3678.0092640247044</v>
      </c>
      <c r="BF11" s="405">
        <f>Actual!AW57</f>
        <v>0</v>
      </c>
      <c r="BG11" s="1129">
        <f t="shared" si="95"/>
        <v>38.758693568593003</v>
      </c>
      <c r="BH11" s="1129">
        <f t="shared" si="95"/>
        <v>24.565816766115823</v>
      </c>
      <c r="BI11" s="1129">
        <f t="shared" si="95"/>
        <v>6.9297573448338197</v>
      </c>
      <c r="BJ11" s="1129">
        <f t="shared" si="95"/>
        <v>0.18280031980514408</v>
      </c>
      <c r="BK11" s="1129">
        <f t="shared" si="95"/>
        <v>4389.8195426817128</v>
      </c>
      <c r="BL11" s="1129">
        <f t="shared" si="95"/>
        <v>3745.45548895927</v>
      </c>
      <c r="BM11" s="644">
        <f t="shared" si="3"/>
        <v>0</v>
      </c>
      <c r="BN11" s="1132">
        <f t="shared" si="34"/>
        <v>0</v>
      </c>
      <c r="BO11" s="1132">
        <f t="shared" si="35"/>
        <v>0</v>
      </c>
      <c r="BP11" s="1132">
        <f t="shared" si="36"/>
        <v>0</v>
      </c>
      <c r="BQ11" s="1132">
        <f t="shared" si="37"/>
        <v>0</v>
      </c>
      <c r="BR11" s="1132">
        <f t="shared" si="38"/>
        <v>0</v>
      </c>
      <c r="BS11" s="1132">
        <f t="shared" si="39"/>
        <v>0</v>
      </c>
      <c r="BT11" s="644">
        <f t="shared" si="96"/>
        <v>0</v>
      </c>
      <c r="BU11" s="644">
        <f t="shared" si="97"/>
        <v>0</v>
      </c>
      <c r="BV11" s="644">
        <f t="shared" si="98"/>
        <v>0</v>
      </c>
      <c r="BW11" s="644">
        <f t="shared" si="99"/>
        <v>0</v>
      </c>
      <c r="BX11" s="644">
        <f t="shared" si="100"/>
        <v>0</v>
      </c>
      <c r="BY11" s="644">
        <f t="shared" si="101"/>
        <v>0</v>
      </c>
      <c r="BZ11" s="644">
        <f t="shared" si="102"/>
        <v>0</v>
      </c>
      <c r="CA11" s="362">
        <f>Actual!AY57</f>
        <v>0</v>
      </c>
      <c r="CB11" s="644">
        <f t="shared" si="41"/>
        <v>0</v>
      </c>
      <c r="CC11" s="644">
        <f t="shared" si="42"/>
        <v>0</v>
      </c>
      <c r="CD11" s="644">
        <f t="shared" si="43"/>
        <v>0</v>
      </c>
      <c r="CE11" s="644">
        <f t="shared" si="44"/>
        <v>0</v>
      </c>
      <c r="CF11" s="644">
        <f t="shared" si="45"/>
        <v>0</v>
      </c>
      <c r="CG11" s="644">
        <f t="shared" si="46"/>
        <v>0</v>
      </c>
      <c r="CH11" s="1132">
        <f t="shared" si="6"/>
        <v>0</v>
      </c>
      <c r="CI11" s="1132">
        <f t="shared" si="47"/>
        <v>0</v>
      </c>
      <c r="CJ11" s="1132">
        <f t="shared" si="48"/>
        <v>0</v>
      </c>
      <c r="CK11" s="1132">
        <f t="shared" si="49"/>
        <v>0</v>
      </c>
      <c r="CL11" s="1132">
        <f t="shared" si="50"/>
        <v>0</v>
      </c>
      <c r="CM11" s="1132">
        <f t="shared" si="51"/>
        <v>0</v>
      </c>
      <c r="CN11" s="1132">
        <f t="shared" si="52"/>
        <v>0</v>
      </c>
      <c r="CO11" s="1225">
        <f t="shared" si="103"/>
        <v>0</v>
      </c>
      <c r="CP11" s="644">
        <f t="shared" ref="CP11:CP33" si="127">CI10</f>
        <v>0</v>
      </c>
      <c r="CQ11" s="644">
        <f t="shared" ref="CQ11:CQ33" si="128">CJ10</f>
        <v>0</v>
      </c>
      <c r="CR11" s="644">
        <f t="shared" ref="CR11:CR33" si="129">CK10</f>
        <v>0</v>
      </c>
      <c r="CS11" s="644">
        <f t="shared" ref="CS11:CS33" si="130">CL10</f>
        <v>0</v>
      </c>
      <c r="CT11" s="644">
        <f t="shared" ref="CT11:CT33" si="131">CM10</f>
        <v>0</v>
      </c>
      <c r="CU11" s="644">
        <f t="shared" ref="CU11:CU33" si="132">CN10</f>
        <v>0</v>
      </c>
      <c r="CV11" s="362">
        <f>Actual!AX57</f>
        <v>0</v>
      </c>
      <c r="CW11" s="644">
        <f t="shared" si="54"/>
        <v>0</v>
      </c>
      <c r="CX11" s="644">
        <f t="shared" si="55"/>
        <v>0</v>
      </c>
      <c r="CY11" s="644">
        <f t="shared" si="56"/>
        <v>0</v>
      </c>
      <c r="CZ11" s="644">
        <f t="shared" si="57"/>
        <v>0</v>
      </c>
      <c r="DA11" s="644">
        <f t="shared" si="58"/>
        <v>0</v>
      </c>
      <c r="DB11" s="644">
        <f t="shared" si="59"/>
        <v>0</v>
      </c>
      <c r="DC11" s="644">
        <f t="shared" si="110"/>
        <v>56651.176224000003</v>
      </c>
      <c r="DD11" s="1132">
        <f t="shared" si="111"/>
        <v>38.943999999999996</v>
      </c>
      <c r="DE11" s="1132">
        <f t="shared" si="60"/>
        <v>20.836000000000002</v>
      </c>
      <c r="DF11" s="1132">
        <f t="shared" si="61"/>
        <v>8.9700000000000006</v>
      </c>
      <c r="DG11" s="1132">
        <f t="shared" si="62"/>
        <v>0.16800000000000001</v>
      </c>
      <c r="DH11" s="1132">
        <f t="shared" si="63"/>
        <v>4728</v>
      </c>
      <c r="DI11" s="1132">
        <f t="shared" si="64"/>
        <v>3646.5156889495224</v>
      </c>
      <c r="DJ11" s="644">
        <f t="shared" si="112"/>
        <v>56651.176224000003</v>
      </c>
      <c r="DK11" s="644">
        <f t="shared" si="113"/>
        <v>38.943999999999996</v>
      </c>
      <c r="DL11" s="644">
        <f t="shared" si="114"/>
        <v>20.836000000000002</v>
      </c>
      <c r="DM11" s="644">
        <f t="shared" si="115"/>
        <v>8.9700000000000006</v>
      </c>
      <c r="DN11" s="644">
        <f t="shared" si="116"/>
        <v>0.16800000000000001</v>
      </c>
      <c r="DO11" s="1132">
        <f t="shared" si="117"/>
        <v>4728</v>
      </c>
      <c r="DP11" s="1132">
        <f t="shared" si="118"/>
        <v>3646.5156889495224</v>
      </c>
      <c r="DQ11" s="362">
        <f>Actual!AZ57</f>
        <v>0</v>
      </c>
      <c r="DR11" s="644">
        <f t="shared" si="119"/>
        <v>0</v>
      </c>
      <c r="DS11" s="644">
        <f t="shared" si="9"/>
        <v>0</v>
      </c>
      <c r="DT11" s="644">
        <f t="shared" si="9"/>
        <v>0</v>
      </c>
      <c r="DU11" s="644">
        <f t="shared" si="9"/>
        <v>0</v>
      </c>
      <c r="DV11" s="644">
        <f t="shared" si="9"/>
        <v>0</v>
      </c>
      <c r="DW11" s="644">
        <f t="shared" si="9"/>
        <v>0</v>
      </c>
    </row>
    <row r="12" spans="1:127" ht="15">
      <c r="A12" s="1046" t="str">
        <f>'Equipment '!A15</f>
        <v>10-Sep-26</v>
      </c>
      <c r="B12" s="644">
        <f t="shared" si="0"/>
        <v>98828.664106000011</v>
      </c>
      <c r="C12" s="644">
        <f t="shared" si="10"/>
        <v>39.016136253559822</v>
      </c>
      <c r="D12" s="644">
        <f t="shared" si="11"/>
        <v>19.835153067199847</v>
      </c>
      <c r="E12" s="644">
        <f t="shared" si="12"/>
        <v>7.3449026335938337</v>
      </c>
      <c r="F12" s="644">
        <f t="shared" si="13"/>
        <v>0.14030643451478608</v>
      </c>
      <c r="G12" s="644">
        <f t="shared" si="14"/>
        <v>4907.768259027147</v>
      </c>
      <c r="H12" s="644">
        <f t="shared" si="66"/>
        <v>3733.5509183100103</v>
      </c>
      <c r="I12" s="644">
        <f t="shared" si="67"/>
        <v>98828.664106000011</v>
      </c>
      <c r="J12" s="644">
        <f t="shared" si="68"/>
        <v>39.016136253559822</v>
      </c>
      <c r="K12" s="644">
        <f t="shared" si="69"/>
        <v>19.835153067199847</v>
      </c>
      <c r="L12" s="644">
        <f t="shared" si="70"/>
        <v>7.3449026335938337</v>
      </c>
      <c r="M12" s="644">
        <f t="shared" si="71"/>
        <v>0.14030643451478608</v>
      </c>
      <c r="N12" s="644">
        <f t="shared" si="72"/>
        <v>4907.768259027147</v>
      </c>
      <c r="O12" s="644">
        <f t="shared" si="73"/>
        <v>3733.5509183100103</v>
      </c>
      <c r="P12" s="644">
        <f>Actual!AV58</f>
        <v>0</v>
      </c>
      <c r="Q12" s="1130">
        <f t="shared" ref="Q12:V12" si="133">Q11</f>
        <v>39.259692868249303</v>
      </c>
      <c r="R12" s="1130">
        <f t="shared" si="133"/>
        <v>22.233939419516801</v>
      </c>
      <c r="S12" s="1130">
        <f t="shared" si="133"/>
        <v>5.1624683361673904</v>
      </c>
      <c r="T12" s="1130">
        <f t="shared" si="133"/>
        <v>0.16306692045557394</v>
      </c>
      <c r="U12" s="1130">
        <f t="shared" si="133"/>
        <v>4982.7757437603759</v>
      </c>
      <c r="V12" s="1130">
        <f t="shared" si="133"/>
        <v>3891.8691108367598</v>
      </c>
      <c r="W12" s="644">
        <f t="shared" si="17"/>
        <v>0</v>
      </c>
      <c r="X12" s="1131">
        <f t="shared" si="18"/>
        <v>0</v>
      </c>
      <c r="Y12" s="1132">
        <f t="shared" si="19"/>
        <v>0</v>
      </c>
      <c r="Z12" s="1132">
        <f t="shared" si="20"/>
        <v>0</v>
      </c>
      <c r="AA12" s="1132">
        <f t="shared" si="21"/>
        <v>0</v>
      </c>
      <c r="AB12" s="1132">
        <f t="shared" si="22"/>
        <v>0</v>
      </c>
      <c r="AC12" s="1132">
        <f t="shared" si="23"/>
        <v>0</v>
      </c>
      <c r="AD12" s="644">
        <f t="shared" si="75"/>
        <v>0</v>
      </c>
      <c r="AE12" s="644">
        <f t="shared" si="76"/>
        <v>0</v>
      </c>
      <c r="AF12" s="644">
        <f t="shared" si="77"/>
        <v>0</v>
      </c>
      <c r="AG12" s="644">
        <f t="shared" si="78"/>
        <v>0</v>
      </c>
      <c r="AH12" s="644">
        <f t="shared" si="79"/>
        <v>0</v>
      </c>
      <c r="AI12" s="1132">
        <f t="shared" si="80"/>
        <v>0</v>
      </c>
      <c r="AJ12" s="1132">
        <f t="shared" si="81"/>
        <v>0</v>
      </c>
      <c r="AK12" s="362">
        <f>Actual!AU58</f>
        <v>0</v>
      </c>
      <c r="AL12" s="644">
        <f t="shared" si="82"/>
        <v>39.450000000000003</v>
      </c>
      <c r="AM12" s="644">
        <f t="shared" si="83"/>
        <v>17.2</v>
      </c>
      <c r="AN12" s="644">
        <f t="shared" si="84"/>
        <v>13.18</v>
      </c>
      <c r="AO12" s="644">
        <f t="shared" si="85"/>
        <v>0.13</v>
      </c>
      <c r="AP12" s="644">
        <f t="shared" si="121"/>
        <v>4789</v>
      </c>
      <c r="AQ12" s="644">
        <f t="shared" si="86"/>
        <v>3502.1008454106282</v>
      </c>
      <c r="AR12" s="644">
        <f t="shared" si="26"/>
        <v>2697.3303620000002</v>
      </c>
      <c r="AS12" s="1132">
        <f t="shared" si="87"/>
        <v>39.54</v>
      </c>
      <c r="AT12" s="1132">
        <f t="shared" si="27"/>
        <v>22.28</v>
      </c>
      <c r="AU12" s="1132">
        <f t="shared" si="28"/>
        <v>8.8800000000000008</v>
      </c>
      <c r="AV12" s="1132">
        <f t="shared" si="29"/>
        <v>0.1</v>
      </c>
      <c r="AW12" s="1132">
        <f t="shared" si="30"/>
        <v>4728</v>
      </c>
      <c r="AX12" s="1132">
        <f t="shared" si="31"/>
        <v>3678.0092640247044</v>
      </c>
      <c r="AY12" s="644">
        <f t="shared" si="88"/>
        <v>2697.3303620000002</v>
      </c>
      <c r="AZ12" s="644">
        <f t="shared" si="89"/>
        <v>39.54</v>
      </c>
      <c r="BA12" s="644">
        <f t="shared" si="90"/>
        <v>22.28</v>
      </c>
      <c r="BB12" s="644">
        <f t="shared" si="91"/>
        <v>8.8800000000000008</v>
      </c>
      <c r="BC12" s="644">
        <f t="shared" si="92"/>
        <v>0.1</v>
      </c>
      <c r="BD12" s="644">
        <f t="shared" si="93"/>
        <v>4728</v>
      </c>
      <c r="BE12" s="644">
        <f t="shared" si="94"/>
        <v>3678.0092640247044</v>
      </c>
      <c r="BF12" s="405">
        <f>Actual!AW58</f>
        <v>0</v>
      </c>
      <c r="BG12" s="1129">
        <f t="shared" si="95"/>
        <v>38.758693568593003</v>
      </c>
      <c r="BH12" s="1129">
        <f t="shared" si="95"/>
        <v>24.565816766115823</v>
      </c>
      <c r="BI12" s="1129">
        <f t="shared" si="95"/>
        <v>6.9297573448338197</v>
      </c>
      <c r="BJ12" s="1129">
        <f t="shared" si="95"/>
        <v>0.18280031980514408</v>
      </c>
      <c r="BK12" s="1129">
        <f t="shared" si="95"/>
        <v>4389.8195426817128</v>
      </c>
      <c r="BL12" s="1129">
        <f t="shared" si="95"/>
        <v>3745.45548895927</v>
      </c>
      <c r="BM12" s="644">
        <f t="shared" si="3"/>
        <v>0</v>
      </c>
      <c r="BN12" s="1132">
        <f t="shared" si="34"/>
        <v>0</v>
      </c>
      <c r="BO12" s="1132">
        <f t="shared" si="35"/>
        <v>0</v>
      </c>
      <c r="BP12" s="1132">
        <f t="shared" si="36"/>
        <v>0</v>
      </c>
      <c r="BQ12" s="1132">
        <f t="shared" si="37"/>
        <v>0</v>
      </c>
      <c r="BR12" s="1132">
        <f t="shared" si="38"/>
        <v>0</v>
      </c>
      <c r="BS12" s="1132">
        <f t="shared" si="39"/>
        <v>0</v>
      </c>
      <c r="BT12" s="644">
        <f t="shared" si="96"/>
        <v>0</v>
      </c>
      <c r="BU12" s="644">
        <f t="shared" si="97"/>
        <v>0</v>
      </c>
      <c r="BV12" s="644">
        <f t="shared" si="98"/>
        <v>0</v>
      </c>
      <c r="BW12" s="644">
        <f t="shared" si="99"/>
        <v>0</v>
      </c>
      <c r="BX12" s="644">
        <f t="shared" si="100"/>
        <v>0</v>
      </c>
      <c r="BY12" s="644">
        <f t="shared" si="101"/>
        <v>0</v>
      </c>
      <c r="BZ12" s="644">
        <f t="shared" si="102"/>
        <v>0</v>
      </c>
      <c r="CA12" s="362">
        <f>Actual!AY58</f>
        <v>0</v>
      </c>
      <c r="CB12" s="644">
        <f t="shared" si="41"/>
        <v>0</v>
      </c>
      <c r="CC12" s="644">
        <f t="shared" si="42"/>
        <v>0</v>
      </c>
      <c r="CD12" s="644">
        <f t="shared" si="43"/>
        <v>0</v>
      </c>
      <c r="CE12" s="644">
        <f t="shared" si="44"/>
        <v>0</v>
      </c>
      <c r="CF12" s="644">
        <f t="shared" si="45"/>
        <v>0</v>
      </c>
      <c r="CG12" s="644">
        <f t="shared" si="46"/>
        <v>0</v>
      </c>
      <c r="CH12" s="1132">
        <f t="shared" si="6"/>
        <v>0</v>
      </c>
      <c r="CI12" s="1132">
        <f t="shared" si="47"/>
        <v>0</v>
      </c>
      <c r="CJ12" s="1132">
        <f t="shared" si="48"/>
        <v>0</v>
      </c>
      <c r="CK12" s="1132">
        <f t="shared" si="49"/>
        <v>0</v>
      </c>
      <c r="CL12" s="1132">
        <f t="shared" si="50"/>
        <v>0</v>
      </c>
      <c r="CM12" s="1132">
        <f t="shared" si="51"/>
        <v>0</v>
      </c>
      <c r="CN12" s="1132">
        <f t="shared" si="52"/>
        <v>0</v>
      </c>
      <c r="CO12" s="1132">
        <f t="shared" si="103"/>
        <v>0</v>
      </c>
      <c r="CP12" s="644">
        <f t="shared" si="127"/>
        <v>0</v>
      </c>
      <c r="CQ12" s="644">
        <f t="shared" si="128"/>
        <v>0</v>
      </c>
      <c r="CR12" s="644">
        <f t="shared" si="129"/>
        <v>0</v>
      </c>
      <c r="CS12" s="644">
        <f t="shared" si="130"/>
        <v>0</v>
      </c>
      <c r="CT12" s="644">
        <f t="shared" si="131"/>
        <v>0</v>
      </c>
      <c r="CU12" s="644">
        <f t="shared" si="132"/>
        <v>0</v>
      </c>
      <c r="CV12" s="362">
        <f>Actual!AX58</f>
        <v>0</v>
      </c>
      <c r="CW12" s="644">
        <f t="shared" si="54"/>
        <v>0</v>
      </c>
      <c r="CX12" s="644">
        <f t="shared" si="55"/>
        <v>0</v>
      </c>
      <c r="CY12" s="644">
        <f t="shared" si="56"/>
        <v>0</v>
      </c>
      <c r="CZ12" s="644">
        <f t="shared" si="57"/>
        <v>0</v>
      </c>
      <c r="DA12" s="644">
        <f t="shared" si="58"/>
        <v>0</v>
      </c>
      <c r="DB12" s="644">
        <f t="shared" si="59"/>
        <v>0</v>
      </c>
      <c r="DC12" s="644">
        <f t="shared" si="110"/>
        <v>56651.176224000003</v>
      </c>
      <c r="DD12" s="1132">
        <f t="shared" si="111"/>
        <v>38.943999999999996</v>
      </c>
      <c r="DE12" s="1132">
        <f t="shared" si="60"/>
        <v>20.836000000000002</v>
      </c>
      <c r="DF12" s="1132">
        <f t="shared" si="61"/>
        <v>8.9700000000000006</v>
      </c>
      <c r="DG12" s="1132">
        <f t="shared" si="62"/>
        <v>0.16800000000000001</v>
      </c>
      <c r="DH12" s="1132">
        <f t="shared" si="63"/>
        <v>4728</v>
      </c>
      <c r="DI12" s="1132">
        <f t="shared" si="64"/>
        <v>3646.5156889495224</v>
      </c>
      <c r="DJ12" s="644">
        <f t="shared" si="112"/>
        <v>56651.176224000003</v>
      </c>
      <c r="DK12" s="644">
        <f t="shared" si="113"/>
        <v>38.943999999999996</v>
      </c>
      <c r="DL12" s="644">
        <f t="shared" si="114"/>
        <v>20.836000000000002</v>
      </c>
      <c r="DM12" s="644">
        <f t="shared" si="115"/>
        <v>8.9700000000000006</v>
      </c>
      <c r="DN12" s="644">
        <f t="shared" si="116"/>
        <v>0.16800000000000001</v>
      </c>
      <c r="DO12" s="1132">
        <f t="shared" si="117"/>
        <v>4728</v>
      </c>
      <c r="DP12" s="1132">
        <f t="shared" si="118"/>
        <v>3646.5156889495224</v>
      </c>
      <c r="DQ12" s="362">
        <f>Actual!AZ58</f>
        <v>0</v>
      </c>
      <c r="DR12" s="644">
        <f t="shared" si="119"/>
        <v>0</v>
      </c>
      <c r="DS12" s="644">
        <f t="shared" si="9"/>
        <v>0</v>
      </c>
      <c r="DT12" s="644">
        <f t="shared" si="9"/>
        <v>0</v>
      </c>
      <c r="DU12" s="644">
        <f t="shared" si="9"/>
        <v>0</v>
      </c>
      <c r="DV12" s="644">
        <f t="shared" si="9"/>
        <v>0</v>
      </c>
      <c r="DW12" s="644">
        <f t="shared" si="9"/>
        <v>0</v>
      </c>
    </row>
    <row r="13" spans="1:127" ht="15">
      <c r="A13" s="1046" t="str">
        <f>'Equipment '!A16</f>
        <v>11-Sep-26</v>
      </c>
      <c r="B13" s="644">
        <f t="shared" si="0"/>
        <v>98828.664106000011</v>
      </c>
      <c r="C13" s="644">
        <f t="shared" si="10"/>
        <v>39.016136253559822</v>
      </c>
      <c r="D13" s="644">
        <f t="shared" si="11"/>
        <v>19.835153067199847</v>
      </c>
      <c r="E13" s="644">
        <f t="shared" si="12"/>
        <v>7.3449026335938337</v>
      </c>
      <c r="F13" s="644">
        <f t="shared" si="13"/>
        <v>0.14030643451478608</v>
      </c>
      <c r="G13" s="644">
        <f t="shared" si="14"/>
        <v>4907.768259027147</v>
      </c>
      <c r="H13" s="644">
        <f t="shared" si="66"/>
        <v>3733.5509183100103</v>
      </c>
      <c r="I13" s="644">
        <f t="shared" si="67"/>
        <v>98828.664106000011</v>
      </c>
      <c r="J13" s="644">
        <f t="shared" si="68"/>
        <v>39.016136253559822</v>
      </c>
      <c r="K13" s="644">
        <f t="shared" si="69"/>
        <v>19.835153067199847</v>
      </c>
      <c r="L13" s="644">
        <f t="shared" si="70"/>
        <v>7.3449026335938337</v>
      </c>
      <c r="M13" s="644">
        <f t="shared" si="71"/>
        <v>0.14030643451478608</v>
      </c>
      <c r="N13" s="644">
        <f t="shared" si="72"/>
        <v>4907.768259027147</v>
      </c>
      <c r="O13" s="644">
        <f t="shared" si="73"/>
        <v>3733.5509183100103</v>
      </c>
      <c r="P13" s="644">
        <f>Actual!AV59</f>
        <v>0</v>
      </c>
      <c r="Q13" s="1130">
        <f t="shared" ref="Q13:V13" si="134">Q12</f>
        <v>39.259692868249303</v>
      </c>
      <c r="R13" s="1130">
        <f t="shared" si="134"/>
        <v>22.233939419516801</v>
      </c>
      <c r="S13" s="1130">
        <f t="shared" si="134"/>
        <v>5.1624683361673904</v>
      </c>
      <c r="T13" s="1130">
        <f t="shared" si="134"/>
        <v>0.16306692045557394</v>
      </c>
      <c r="U13" s="1130">
        <f t="shared" si="134"/>
        <v>4982.7757437603759</v>
      </c>
      <c r="V13" s="1130">
        <f t="shared" si="134"/>
        <v>3891.8691108367598</v>
      </c>
      <c r="W13" s="644">
        <f t="shared" si="17"/>
        <v>0</v>
      </c>
      <c r="X13" s="1131">
        <f t="shared" si="18"/>
        <v>0</v>
      </c>
      <c r="Y13" s="1132">
        <f t="shared" si="19"/>
        <v>0</v>
      </c>
      <c r="Z13" s="1132">
        <f t="shared" si="20"/>
        <v>0</v>
      </c>
      <c r="AA13" s="1132">
        <f t="shared" si="21"/>
        <v>0</v>
      </c>
      <c r="AB13" s="1132">
        <f t="shared" si="22"/>
        <v>0</v>
      </c>
      <c r="AC13" s="1132">
        <f t="shared" si="23"/>
        <v>0</v>
      </c>
      <c r="AD13" s="644">
        <f t="shared" si="75"/>
        <v>0</v>
      </c>
      <c r="AE13" s="644">
        <f t="shared" si="76"/>
        <v>0</v>
      </c>
      <c r="AF13" s="644">
        <f t="shared" si="77"/>
        <v>0</v>
      </c>
      <c r="AG13" s="644">
        <f t="shared" si="78"/>
        <v>0</v>
      </c>
      <c r="AH13" s="644">
        <f t="shared" si="79"/>
        <v>0</v>
      </c>
      <c r="AI13" s="1132">
        <f t="shared" si="80"/>
        <v>0</v>
      </c>
      <c r="AJ13" s="1132">
        <f t="shared" si="81"/>
        <v>0</v>
      </c>
      <c r="AK13" s="362">
        <f>Actual!AU59</f>
        <v>0</v>
      </c>
      <c r="AL13" s="644">
        <f t="shared" si="82"/>
        <v>39.450000000000003</v>
      </c>
      <c r="AM13" s="644">
        <f t="shared" si="83"/>
        <v>17.2</v>
      </c>
      <c r="AN13" s="644">
        <f t="shared" si="84"/>
        <v>13.18</v>
      </c>
      <c r="AO13" s="644">
        <f t="shared" si="85"/>
        <v>0.13</v>
      </c>
      <c r="AP13" s="644">
        <f t="shared" si="121"/>
        <v>4789</v>
      </c>
      <c r="AQ13" s="644">
        <f t="shared" si="86"/>
        <v>3502.1008454106282</v>
      </c>
      <c r="AR13" s="644">
        <f t="shared" si="26"/>
        <v>2697.3303620000002</v>
      </c>
      <c r="AS13" s="1132">
        <f t="shared" si="87"/>
        <v>39.54</v>
      </c>
      <c r="AT13" s="1132">
        <f t="shared" si="27"/>
        <v>22.28</v>
      </c>
      <c r="AU13" s="1132">
        <f t="shared" si="28"/>
        <v>8.8800000000000008</v>
      </c>
      <c r="AV13" s="1132">
        <f t="shared" si="29"/>
        <v>0.1</v>
      </c>
      <c r="AW13" s="1132">
        <f t="shared" si="30"/>
        <v>4728</v>
      </c>
      <c r="AX13" s="1132">
        <f t="shared" si="31"/>
        <v>3678.0092640247044</v>
      </c>
      <c r="AY13" s="644">
        <f t="shared" si="88"/>
        <v>2697.3303620000002</v>
      </c>
      <c r="AZ13" s="644">
        <f t="shared" si="89"/>
        <v>39.54</v>
      </c>
      <c r="BA13" s="644">
        <f t="shared" si="90"/>
        <v>22.28</v>
      </c>
      <c r="BB13" s="644">
        <f t="shared" si="91"/>
        <v>8.8800000000000008</v>
      </c>
      <c r="BC13" s="644">
        <f t="shared" si="92"/>
        <v>0.1</v>
      </c>
      <c r="BD13" s="644">
        <f t="shared" si="93"/>
        <v>4728</v>
      </c>
      <c r="BE13" s="644">
        <f t="shared" si="94"/>
        <v>3678.0092640247044</v>
      </c>
      <c r="BF13" s="405">
        <f>Actual!AW59</f>
        <v>0</v>
      </c>
      <c r="BG13" s="1129">
        <f t="shared" si="95"/>
        <v>38.758693568593003</v>
      </c>
      <c r="BH13" s="1129">
        <f t="shared" si="95"/>
        <v>24.565816766115823</v>
      </c>
      <c r="BI13" s="1129">
        <f t="shared" si="95"/>
        <v>6.9297573448338197</v>
      </c>
      <c r="BJ13" s="1129">
        <f t="shared" si="95"/>
        <v>0.18280031980514408</v>
      </c>
      <c r="BK13" s="1129">
        <f t="shared" si="95"/>
        <v>4389.8195426817128</v>
      </c>
      <c r="BL13" s="1129">
        <f t="shared" si="95"/>
        <v>3745.45548895927</v>
      </c>
      <c r="BM13" s="644">
        <f t="shared" si="3"/>
        <v>0</v>
      </c>
      <c r="BN13" s="1132">
        <f t="shared" si="34"/>
        <v>0</v>
      </c>
      <c r="BO13" s="1132">
        <f t="shared" si="35"/>
        <v>0</v>
      </c>
      <c r="BP13" s="1132">
        <f t="shared" si="36"/>
        <v>0</v>
      </c>
      <c r="BQ13" s="1132">
        <f t="shared" si="37"/>
        <v>0</v>
      </c>
      <c r="BR13" s="1132">
        <f t="shared" si="38"/>
        <v>0</v>
      </c>
      <c r="BS13" s="1132">
        <f t="shared" si="39"/>
        <v>0</v>
      </c>
      <c r="BT13" s="644">
        <f t="shared" si="96"/>
        <v>0</v>
      </c>
      <c r="BU13" s="644">
        <f t="shared" si="97"/>
        <v>0</v>
      </c>
      <c r="BV13" s="644">
        <f t="shared" si="98"/>
        <v>0</v>
      </c>
      <c r="BW13" s="644">
        <f t="shared" si="99"/>
        <v>0</v>
      </c>
      <c r="BX13" s="644">
        <f t="shared" si="100"/>
        <v>0</v>
      </c>
      <c r="BY13" s="644">
        <f t="shared" si="101"/>
        <v>0</v>
      </c>
      <c r="BZ13" s="644">
        <f t="shared" si="102"/>
        <v>0</v>
      </c>
      <c r="CA13" s="362">
        <f>Actual!AY59</f>
        <v>0</v>
      </c>
      <c r="CB13" s="644">
        <f t="shared" si="41"/>
        <v>0</v>
      </c>
      <c r="CC13" s="644">
        <f t="shared" si="42"/>
        <v>0</v>
      </c>
      <c r="CD13" s="644">
        <f t="shared" si="43"/>
        <v>0</v>
      </c>
      <c r="CE13" s="644">
        <f t="shared" si="44"/>
        <v>0</v>
      </c>
      <c r="CF13" s="644">
        <f t="shared" si="45"/>
        <v>0</v>
      </c>
      <c r="CG13" s="644">
        <f t="shared" si="46"/>
        <v>0</v>
      </c>
      <c r="CH13" s="1132">
        <f t="shared" si="6"/>
        <v>0</v>
      </c>
      <c r="CI13" s="1132">
        <f t="shared" si="47"/>
        <v>0</v>
      </c>
      <c r="CJ13" s="1132">
        <f t="shared" si="48"/>
        <v>0</v>
      </c>
      <c r="CK13" s="1132">
        <f t="shared" si="49"/>
        <v>0</v>
      </c>
      <c r="CL13" s="1132">
        <f t="shared" si="50"/>
        <v>0</v>
      </c>
      <c r="CM13" s="1132">
        <f t="shared" si="51"/>
        <v>0</v>
      </c>
      <c r="CN13" s="1132">
        <f t="shared" si="52"/>
        <v>0</v>
      </c>
      <c r="CO13" s="1132">
        <f t="shared" si="103"/>
        <v>0</v>
      </c>
      <c r="CP13" s="644">
        <f t="shared" si="127"/>
        <v>0</v>
      </c>
      <c r="CQ13" s="644">
        <f t="shared" si="128"/>
        <v>0</v>
      </c>
      <c r="CR13" s="644">
        <f t="shared" si="129"/>
        <v>0</v>
      </c>
      <c r="CS13" s="644">
        <f t="shared" si="130"/>
        <v>0</v>
      </c>
      <c r="CT13" s="644">
        <f t="shared" si="131"/>
        <v>0</v>
      </c>
      <c r="CU13" s="644">
        <f t="shared" si="132"/>
        <v>0</v>
      </c>
      <c r="CV13" s="362">
        <f>Actual!AX59</f>
        <v>0</v>
      </c>
      <c r="CW13" s="644">
        <f t="shared" si="54"/>
        <v>0</v>
      </c>
      <c r="CX13" s="644">
        <f t="shared" si="55"/>
        <v>0</v>
      </c>
      <c r="CY13" s="644">
        <f t="shared" si="56"/>
        <v>0</v>
      </c>
      <c r="CZ13" s="644">
        <f t="shared" si="57"/>
        <v>0</v>
      </c>
      <c r="DA13" s="644">
        <f t="shared" si="58"/>
        <v>0</v>
      </c>
      <c r="DB13" s="644">
        <f t="shared" si="59"/>
        <v>0</v>
      </c>
      <c r="DC13" s="644">
        <f t="shared" si="110"/>
        <v>56651.176224000003</v>
      </c>
      <c r="DD13" s="1132">
        <f t="shared" si="111"/>
        <v>38.943999999999996</v>
      </c>
      <c r="DE13" s="1132">
        <f t="shared" si="60"/>
        <v>20.836000000000002</v>
      </c>
      <c r="DF13" s="1132">
        <f t="shared" si="61"/>
        <v>8.9700000000000006</v>
      </c>
      <c r="DG13" s="1132">
        <f t="shared" si="62"/>
        <v>0.16800000000000001</v>
      </c>
      <c r="DH13" s="1132">
        <f t="shared" si="63"/>
        <v>4728</v>
      </c>
      <c r="DI13" s="1132">
        <f t="shared" si="64"/>
        <v>3646.5156889495224</v>
      </c>
      <c r="DJ13" s="644">
        <f t="shared" si="112"/>
        <v>56651.176224000003</v>
      </c>
      <c r="DK13" s="644">
        <f t="shared" si="113"/>
        <v>38.943999999999996</v>
      </c>
      <c r="DL13" s="644">
        <f t="shared" si="114"/>
        <v>20.836000000000002</v>
      </c>
      <c r="DM13" s="644">
        <f t="shared" si="115"/>
        <v>8.9700000000000006</v>
      </c>
      <c r="DN13" s="644">
        <f t="shared" si="116"/>
        <v>0.16800000000000001</v>
      </c>
      <c r="DO13" s="1132">
        <f t="shared" si="117"/>
        <v>4728</v>
      </c>
      <c r="DP13" s="1132">
        <f t="shared" si="118"/>
        <v>3646.5156889495224</v>
      </c>
      <c r="DQ13" s="362">
        <f>Actual!AZ59</f>
        <v>0</v>
      </c>
      <c r="DR13" s="644">
        <f t="shared" si="119"/>
        <v>0</v>
      </c>
      <c r="DS13" s="644">
        <f t="shared" si="9"/>
        <v>0</v>
      </c>
      <c r="DT13" s="644">
        <f t="shared" si="9"/>
        <v>0</v>
      </c>
      <c r="DU13" s="644">
        <f t="shared" si="9"/>
        <v>0</v>
      </c>
      <c r="DV13" s="644">
        <f t="shared" si="9"/>
        <v>0</v>
      </c>
      <c r="DW13" s="644">
        <f t="shared" si="9"/>
        <v>0</v>
      </c>
    </row>
    <row r="14" spans="1:127" ht="15">
      <c r="A14" s="1046" t="str">
        <f>'Equipment '!A17</f>
        <v>12-Sep-26</v>
      </c>
      <c r="B14" s="644">
        <f t="shared" si="0"/>
        <v>98828.664106000011</v>
      </c>
      <c r="C14" s="644">
        <f t="shared" si="10"/>
        <v>39.016136253559822</v>
      </c>
      <c r="D14" s="644">
        <f t="shared" si="11"/>
        <v>19.835153067199847</v>
      </c>
      <c r="E14" s="644">
        <f t="shared" si="12"/>
        <v>7.3449026335938337</v>
      </c>
      <c r="F14" s="644">
        <f t="shared" si="13"/>
        <v>0.14030643451478608</v>
      </c>
      <c r="G14" s="644">
        <f t="shared" si="14"/>
        <v>4907.768259027147</v>
      </c>
      <c r="H14" s="644">
        <f t="shared" si="66"/>
        <v>3733.5509183100103</v>
      </c>
      <c r="I14" s="644">
        <f t="shared" si="67"/>
        <v>98828.664106000011</v>
      </c>
      <c r="J14" s="644">
        <f t="shared" si="68"/>
        <v>39.016136253559822</v>
      </c>
      <c r="K14" s="644">
        <f t="shared" si="69"/>
        <v>19.835153067199847</v>
      </c>
      <c r="L14" s="644">
        <f t="shared" si="70"/>
        <v>7.3449026335938337</v>
      </c>
      <c r="M14" s="644">
        <f t="shared" si="71"/>
        <v>0.14030643451478608</v>
      </c>
      <c r="N14" s="644">
        <f t="shared" si="72"/>
        <v>4907.768259027147</v>
      </c>
      <c r="O14" s="644">
        <f t="shared" si="73"/>
        <v>3733.5509183100103</v>
      </c>
      <c r="P14" s="644">
        <f>Actual!AV60</f>
        <v>0</v>
      </c>
      <c r="Q14" s="1130">
        <f t="shared" ref="Q14:V14" si="135">Q13</f>
        <v>39.259692868249303</v>
      </c>
      <c r="R14" s="1130">
        <f t="shared" si="135"/>
        <v>22.233939419516801</v>
      </c>
      <c r="S14" s="1130">
        <f t="shared" si="135"/>
        <v>5.1624683361673904</v>
      </c>
      <c r="T14" s="1130">
        <f t="shared" si="135"/>
        <v>0.16306692045557394</v>
      </c>
      <c r="U14" s="1130">
        <f t="shared" si="135"/>
        <v>4982.7757437603759</v>
      </c>
      <c r="V14" s="1130">
        <f t="shared" si="135"/>
        <v>3891.8691108367598</v>
      </c>
      <c r="W14" s="644">
        <f t="shared" si="17"/>
        <v>0</v>
      </c>
      <c r="X14" s="1131">
        <f t="shared" si="18"/>
        <v>0</v>
      </c>
      <c r="Y14" s="1132">
        <f t="shared" si="19"/>
        <v>0</v>
      </c>
      <c r="Z14" s="1132">
        <f t="shared" si="20"/>
        <v>0</v>
      </c>
      <c r="AA14" s="1132">
        <f t="shared" si="21"/>
        <v>0</v>
      </c>
      <c r="AB14" s="1132">
        <f t="shared" si="22"/>
        <v>0</v>
      </c>
      <c r="AC14" s="1132">
        <f t="shared" si="23"/>
        <v>0</v>
      </c>
      <c r="AD14" s="644">
        <f t="shared" si="75"/>
        <v>0</v>
      </c>
      <c r="AE14" s="644">
        <f t="shared" si="76"/>
        <v>0</v>
      </c>
      <c r="AF14" s="644">
        <f t="shared" si="77"/>
        <v>0</v>
      </c>
      <c r="AG14" s="644">
        <f t="shared" si="78"/>
        <v>0</v>
      </c>
      <c r="AH14" s="644">
        <f t="shared" si="79"/>
        <v>0</v>
      </c>
      <c r="AI14" s="1132">
        <f t="shared" si="80"/>
        <v>0</v>
      </c>
      <c r="AJ14" s="1132">
        <f t="shared" si="81"/>
        <v>0</v>
      </c>
      <c r="AK14" s="362">
        <f>Actual!AU60</f>
        <v>0</v>
      </c>
      <c r="AL14" s="644">
        <f t="shared" si="82"/>
        <v>39.450000000000003</v>
      </c>
      <c r="AM14" s="644">
        <f t="shared" si="83"/>
        <v>17.2</v>
      </c>
      <c r="AN14" s="644">
        <f t="shared" si="84"/>
        <v>13.18</v>
      </c>
      <c r="AO14" s="644">
        <f t="shared" si="85"/>
        <v>0.13</v>
      </c>
      <c r="AP14" s="644">
        <f t="shared" si="121"/>
        <v>4789</v>
      </c>
      <c r="AQ14" s="644">
        <f t="shared" si="86"/>
        <v>3502.1008454106282</v>
      </c>
      <c r="AR14" s="644">
        <f t="shared" si="26"/>
        <v>2697.3303620000002</v>
      </c>
      <c r="AS14" s="1132">
        <f t="shared" si="87"/>
        <v>39.54</v>
      </c>
      <c r="AT14" s="1132">
        <f t="shared" si="27"/>
        <v>22.28</v>
      </c>
      <c r="AU14" s="1132">
        <f t="shared" si="28"/>
        <v>8.8800000000000008</v>
      </c>
      <c r="AV14" s="1132">
        <f t="shared" si="29"/>
        <v>0.1</v>
      </c>
      <c r="AW14" s="1132">
        <f t="shared" si="30"/>
        <v>4728</v>
      </c>
      <c r="AX14" s="1132">
        <f t="shared" si="31"/>
        <v>3678.0092640247044</v>
      </c>
      <c r="AY14" s="644">
        <f t="shared" si="88"/>
        <v>2697.3303620000002</v>
      </c>
      <c r="AZ14" s="644">
        <f t="shared" si="89"/>
        <v>39.54</v>
      </c>
      <c r="BA14" s="644">
        <f t="shared" si="90"/>
        <v>22.28</v>
      </c>
      <c r="BB14" s="644">
        <f t="shared" si="91"/>
        <v>8.8800000000000008</v>
      </c>
      <c r="BC14" s="644">
        <f t="shared" si="92"/>
        <v>0.1</v>
      </c>
      <c r="BD14" s="644">
        <f t="shared" si="93"/>
        <v>4728</v>
      </c>
      <c r="BE14" s="644">
        <f t="shared" si="94"/>
        <v>3678.0092640247044</v>
      </c>
      <c r="BF14" s="405">
        <f>Actual!AW60</f>
        <v>0</v>
      </c>
      <c r="BG14" s="1129">
        <f t="shared" si="95"/>
        <v>38.758693568593003</v>
      </c>
      <c r="BH14" s="1129">
        <f t="shared" si="95"/>
        <v>24.565816766115823</v>
      </c>
      <c r="BI14" s="1129">
        <f t="shared" si="95"/>
        <v>6.9297573448338197</v>
      </c>
      <c r="BJ14" s="1129">
        <f t="shared" si="95"/>
        <v>0.18280031980514408</v>
      </c>
      <c r="BK14" s="1129">
        <f t="shared" si="95"/>
        <v>4389.8195426817128</v>
      </c>
      <c r="BL14" s="1129">
        <f t="shared" si="95"/>
        <v>3745.45548895927</v>
      </c>
      <c r="BM14" s="644">
        <f t="shared" si="3"/>
        <v>0</v>
      </c>
      <c r="BN14" s="1132">
        <f t="shared" si="34"/>
        <v>0</v>
      </c>
      <c r="BO14" s="1132">
        <f t="shared" si="35"/>
        <v>0</v>
      </c>
      <c r="BP14" s="1132">
        <f t="shared" si="36"/>
        <v>0</v>
      </c>
      <c r="BQ14" s="1132">
        <f t="shared" si="37"/>
        <v>0</v>
      </c>
      <c r="BR14" s="1132">
        <f t="shared" si="38"/>
        <v>0</v>
      </c>
      <c r="BS14" s="1132">
        <f t="shared" si="39"/>
        <v>0</v>
      </c>
      <c r="BT14" s="644">
        <f t="shared" si="96"/>
        <v>0</v>
      </c>
      <c r="BU14" s="644">
        <f t="shared" si="97"/>
        <v>0</v>
      </c>
      <c r="BV14" s="644">
        <f t="shared" si="98"/>
        <v>0</v>
      </c>
      <c r="BW14" s="644">
        <f t="shared" si="99"/>
        <v>0</v>
      </c>
      <c r="BX14" s="644">
        <f t="shared" si="100"/>
        <v>0</v>
      </c>
      <c r="BY14" s="644">
        <f t="shared" si="101"/>
        <v>0</v>
      </c>
      <c r="BZ14" s="644">
        <f t="shared" si="102"/>
        <v>0</v>
      </c>
      <c r="CA14" s="362">
        <f>Actual!AY60</f>
        <v>0</v>
      </c>
      <c r="CB14" s="644">
        <f t="shared" si="41"/>
        <v>0</v>
      </c>
      <c r="CC14" s="644">
        <f t="shared" si="42"/>
        <v>0</v>
      </c>
      <c r="CD14" s="644">
        <f t="shared" si="43"/>
        <v>0</v>
      </c>
      <c r="CE14" s="644">
        <f t="shared" si="44"/>
        <v>0</v>
      </c>
      <c r="CF14" s="644">
        <f t="shared" si="45"/>
        <v>0</v>
      </c>
      <c r="CG14" s="644">
        <f t="shared" si="46"/>
        <v>0</v>
      </c>
      <c r="CH14" s="1132">
        <f t="shared" si="6"/>
        <v>0</v>
      </c>
      <c r="CI14" s="1132">
        <f t="shared" si="47"/>
        <v>0</v>
      </c>
      <c r="CJ14" s="1132">
        <f t="shared" si="48"/>
        <v>0</v>
      </c>
      <c r="CK14" s="1132">
        <f t="shared" si="49"/>
        <v>0</v>
      </c>
      <c r="CL14" s="1132">
        <f t="shared" si="50"/>
        <v>0</v>
      </c>
      <c r="CM14" s="1132">
        <f t="shared" si="51"/>
        <v>0</v>
      </c>
      <c r="CN14" s="1132">
        <f t="shared" si="52"/>
        <v>0</v>
      </c>
      <c r="CO14" s="1132">
        <f t="shared" si="103"/>
        <v>0</v>
      </c>
      <c r="CP14" s="644">
        <f t="shared" si="127"/>
        <v>0</v>
      </c>
      <c r="CQ14" s="644">
        <f t="shared" si="128"/>
        <v>0</v>
      </c>
      <c r="CR14" s="644">
        <f t="shared" si="129"/>
        <v>0</v>
      </c>
      <c r="CS14" s="644">
        <f t="shared" si="130"/>
        <v>0</v>
      </c>
      <c r="CT14" s="644">
        <f t="shared" si="131"/>
        <v>0</v>
      </c>
      <c r="CU14" s="644">
        <f t="shared" si="132"/>
        <v>0</v>
      </c>
      <c r="CV14" s="362">
        <f>Actual!AX60</f>
        <v>0</v>
      </c>
      <c r="CW14" s="644">
        <f t="shared" si="54"/>
        <v>0</v>
      </c>
      <c r="CX14" s="644">
        <f t="shared" si="55"/>
        <v>0</v>
      </c>
      <c r="CY14" s="644">
        <f t="shared" si="56"/>
        <v>0</v>
      </c>
      <c r="CZ14" s="644">
        <f t="shared" si="57"/>
        <v>0</v>
      </c>
      <c r="DA14" s="644">
        <f t="shared" si="58"/>
        <v>0</v>
      </c>
      <c r="DB14" s="644">
        <f t="shared" si="59"/>
        <v>0</v>
      </c>
      <c r="DC14" s="644">
        <f t="shared" si="110"/>
        <v>56651.176224000003</v>
      </c>
      <c r="DD14" s="1132">
        <f t="shared" si="111"/>
        <v>38.943999999999996</v>
      </c>
      <c r="DE14" s="1132">
        <f t="shared" si="60"/>
        <v>20.836000000000002</v>
      </c>
      <c r="DF14" s="1132">
        <f t="shared" si="61"/>
        <v>8.9700000000000006</v>
      </c>
      <c r="DG14" s="1132">
        <f t="shared" si="62"/>
        <v>0.16800000000000001</v>
      </c>
      <c r="DH14" s="1132">
        <f t="shared" si="63"/>
        <v>4728</v>
      </c>
      <c r="DI14" s="1132">
        <f t="shared" si="64"/>
        <v>3646.5156889495224</v>
      </c>
      <c r="DJ14" s="644">
        <f t="shared" si="112"/>
        <v>56651.176224000003</v>
      </c>
      <c r="DK14" s="644">
        <f t="shared" si="113"/>
        <v>38.943999999999996</v>
      </c>
      <c r="DL14" s="644">
        <f t="shared" si="114"/>
        <v>20.836000000000002</v>
      </c>
      <c r="DM14" s="644">
        <f t="shared" si="115"/>
        <v>8.9700000000000006</v>
      </c>
      <c r="DN14" s="644">
        <f t="shared" si="116"/>
        <v>0.16800000000000001</v>
      </c>
      <c r="DO14" s="1132">
        <f t="shared" si="117"/>
        <v>4728</v>
      </c>
      <c r="DP14" s="1132">
        <f t="shared" si="118"/>
        <v>3646.5156889495224</v>
      </c>
      <c r="DQ14" s="362">
        <f>Actual!AZ60</f>
        <v>0</v>
      </c>
      <c r="DR14" s="644">
        <f t="shared" si="119"/>
        <v>0</v>
      </c>
      <c r="DS14" s="644">
        <f t="shared" si="9"/>
        <v>0</v>
      </c>
      <c r="DT14" s="644">
        <f t="shared" si="9"/>
        <v>0</v>
      </c>
      <c r="DU14" s="644">
        <f t="shared" si="9"/>
        <v>0</v>
      </c>
      <c r="DV14" s="644">
        <f t="shared" si="9"/>
        <v>0</v>
      </c>
      <c r="DW14" s="644">
        <f t="shared" si="9"/>
        <v>0</v>
      </c>
    </row>
    <row r="15" spans="1:127" ht="15">
      <c r="A15" s="1046" t="str">
        <f>'Equipment '!A18</f>
        <v>13-Sep-26</v>
      </c>
      <c r="B15" s="644">
        <f t="shared" si="0"/>
        <v>98828.664106000011</v>
      </c>
      <c r="C15" s="644">
        <f t="shared" si="10"/>
        <v>39.016136253559822</v>
      </c>
      <c r="D15" s="644">
        <f t="shared" si="11"/>
        <v>19.835153067199847</v>
      </c>
      <c r="E15" s="644">
        <f t="shared" si="12"/>
        <v>7.3449026335938337</v>
      </c>
      <c r="F15" s="644">
        <f t="shared" si="13"/>
        <v>0.14030643451478608</v>
      </c>
      <c r="G15" s="644">
        <f t="shared" si="14"/>
        <v>4907.768259027147</v>
      </c>
      <c r="H15" s="644">
        <f t="shared" si="66"/>
        <v>3733.5509183100103</v>
      </c>
      <c r="I15" s="644">
        <f t="shared" si="67"/>
        <v>98828.664106000011</v>
      </c>
      <c r="J15" s="644">
        <f t="shared" si="68"/>
        <v>39.016136253559822</v>
      </c>
      <c r="K15" s="644">
        <f t="shared" si="69"/>
        <v>19.835153067199847</v>
      </c>
      <c r="L15" s="644">
        <f t="shared" si="70"/>
        <v>7.3449026335938337</v>
      </c>
      <c r="M15" s="644">
        <f t="shared" si="71"/>
        <v>0.14030643451478608</v>
      </c>
      <c r="N15" s="644">
        <f t="shared" si="72"/>
        <v>4907.768259027147</v>
      </c>
      <c r="O15" s="644">
        <f t="shared" si="73"/>
        <v>3733.5509183100103</v>
      </c>
      <c r="P15" s="644">
        <f>Actual!AV61</f>
        <v>0</v>
      </c>
      <c r="Q15" s="1130">
        <f t="shared" ref="Q15:V15" si="136">Q14</f>
        <v>39.259692868249303</v>
      </c>
      <c r="R15" s="1130">
        <f t="shared" si="136"/>
        <v>22.233939419516801</v>
      </c>
      <c r="S15" s="1130">
        <f t="shared" si="136"/>
        <v>5.1624683361673904</v>
      </c>
      <c r="T15" s="1130">
        <f t="shared" si="136"/>
        <v>0.16306692045557394</v>
      </c>
      <c r="U15" s="1130">
        <f t="shared" si="136"/>
        <v>4982.7757437603759</v>
      </c>
      <c r="V15" s="1130">
        <f t="shared" si="136"/>
        <v>3891.8691108367598</v>
      </c>
      <c r="W15" s="644">
        <f t="shared" si="17"/>
        <v>0</v>
      </c>
      <c r="X15" s="1131">
        <f t="shared" si="18"/>
        <v>0</v>
      </c>
      <c r="Y15" s="1132">
        <f t="shared" si="19"/>
        <v>0</v>
      </c>
      <c r="Z15" s="1132">
        <f t="shared" si="20"/>
        <v>0</v>
      </c>
      <c r="AA15" s="1132">
        <f t="shared" si="21"/>
        <v>0</v>
      </c>
      <c r="AB15" s="1132">
        <f t="shared" si="22"/>
        <v>0</v>
      </c>
      <c r="AC15" s="1132">
        <f t="shared" si="23"/>
        <v>0</v>
      </c>
      <c r="AD15" s="644">
        <f t="shared" si="75"/>
        <v>0</v>
      </c>
      <c r="AE15" s="644">
        <f t="shared" si="76"/>
        <v>0</v>
      </c>
      <c r="AF15" s="644">
        <f t="shared" si="77"/>
        <v>0</v>
      </c>
      <c r="AG15" s="644">
        <f t="shared" si="78"/>
        <v>0</v>
      </c>
      <c r="AH15" s="644">
        <f t="shared" si="79"/>
        <v>0</v>
      </c>
      <c r="AI15" s="1132">
        <f t="shared" si="80"/>
        <v>0</v>
      </c>
      <c r="AJ15" s="1132">
        <f t="shared" si="81"/>
        <v>0</v>
      </c>
      <c r="AK15" s="362">
        <f>Actual!AU61</f>
        <v>0</v>
      </c>
      <c r="AL15" s="644">
        <f t="shared" si="82"/>
        <v>39.450000000000003</v>
      </c>
      <c r="AM15" s="644">
        <f t="shared" si="83"/>
        <v>17.2</v>
      </c>
      <c r="AN15" s="644">
        <f t="shared" si="84"/>
        <v>13.18</v>
      </c>
      <c r="AO15" s="644">
        <f t="shared" si="85"/>
        <v>0.13</v>
      </c>
      <c r="AP15" s="644">
        <f t="shared" si="121"/>
        <v>4789</v>
      </c>
      <c r="AQ15" s="644">
        <f t="shared" si="86"/>
        <v>3502.1008454106282</v>
      </c>
      <c r="AR15" s="644">
        <f t="shared" si="26"/>
        <v>2697.3303620000002</v>
      </c>
      <c r="AS15" s="1132">
        <f t="shared" si="87"/>
        <v>39.54</v>
      </c>
      <c r="AT15" s="1132">
        <f t="shared" si="27"/>
        <v>22.28</v>
      </c>
      <c r="AU15" s="1132">
        <f t="shared" si="28"/>
        <v>8.8800000000000008</v>
      </c>
      <c r="AV15" s="1132">
        <f t="shared" si="29"/>
        <v>0.1</v>
      </c>
      <c r="AW15" s="1132">
        <f t="shared" si="30"/>
        <v>4728</v>
      </c>
      <c r="AX15" s="1132">
        <f t="shared" si="31"/>
        <v>3678.0092640247044</v>
      </c>
      <c r="AY15" s="644">
        <f t="shared" si="88"/>
        <v>2697.3303620000002</v>
      </c>
      <c r="AZ15" s="644">
        <f t="shared" si="89"/>
        <v>39.54</v>
      </c>
      <c r="BA15" s="644">
        <f t="shared" si="90"/>
        <v>22.28</v>
      </c>
      <c r="BB15" s="644">
        <f t="shared" si="91"/>
        <v>8.8800000000000008</v>
      </c>
      <c r="BC15" s="644">
        <f t="shared" si="92"/>
        <v>0.1</v>
      </c>
      <c r="BD15" s="644">
        <f t="shared" si="93"/>
        <v>4728</v>
      </c>
      <c r="BE15" s="644">
        <f t="shared" si="94"/>
        <v>3678.0092640247044</v>
      </c>
      <c r="BF15" s="405">
        <f>Actual!AW61</f>
        <v>0</v>
      </c>
      <c r="BG15" s="1129">
        <f t="shared" si="95"/>
        <v>38.758693568593003</v>
      </c>
      <c r="BH15" s="1129">
        <f t="shared" si="95"/>
        <v>24.565816766115823</v>
      </c>
      <c r="BI15" s="1129">
        <f t="shared" si="95"/>
        <v>6.9297573448338197</v>
      </c>
      <c r="BJ15" s="1129">
        <f t="shared" si="95"/>
        <v>0.18280031980514408</v>
      </c>
      <c r="BK15" s="1129">
        <f t="shared" si="95"/>
        <v>4389.8195426817128</v>
      </c>
      <c r="BL15" s="1129">
        <f t="shared" si="95"/>
        <v>3745.45548895927</v>
      </c>
      <c r="BM15" s="644">
        <f t="shared" si="3"/>
        <v>0</v>
      </c>
      <c r="BN15" s="1132">
        <f t="shared" si="34"/>
        <v>0</v>
      </c>
      <c r="BO15" s="1132">
        <f t="shared" si="35"/>
        <v>0</v>
      </c>
      <c r="BP15" s="1132">
        <f t="shared" si="36"/>
        <v>0</v>
      </c>
      <c r="BQ15" s="1132">
        <f t="shared" si="37"/>
        <v>0</v>
      </c>
      <c r="BR15" s="1132">
        <f t="shared" si="38"/>
        <v>0</v>
      </c>
      <c r="BS15" s="1132">
        <f t="shared" si="39"/>
        <v>0</v>
      </c>
      <c r="BT15" s="644">
        <f t="shared" si="96"/>
        <v>0</v>
      </c>
      <c r="BU15" s="644">
        <f t="shared" si="97"/>
        <v>0</v>
      </c>
      <c r="BV15" s="644">
        <f t="shared" si="98"/>
        <v>0</v>
      </c>
      <c r="BW15" s="644">
        <f t="shared" si="99"/>
        <v>0</v>
      </c>
      <c r="BX15" s="644">
        <f t="shared" si="100"/>
        <v>0</v>
      </c>
      <c r="BY15" s="644">
        <f t="shared" si="101"/>
        <v>0</v>
      </c>
      <c r="BZ15" s="644">
        <f t="shared" si="102"/>
        <v>0</v>
      </c>
      <c r="CA15" s="362">
        <f>Actual!AY61</f>
        <v>0</v>
      </c>
      <c r="CB15" s="644">
        <f t="shared" si="41"/>
        <v>0</v>
      </c>
      <c r="CC15" s="644">
        <f t="shared" si="42"/>
        <v>0</v>
      </c>
      <c r="CD15" s="644">
        <f t="shared" si="43"/>
        <v>0</v>
      </c>
      <c r="CE15" s="644">
        <f t="shared" si="44"/>
        <v>0</v>
      </c>
      <c r="CF15" s="644">
        <f t="shared" si="45"/>
        <v>0</v>
      </c>
      <c r="CG15" s="644">
        <f t="shared" si="46"/>
        <v>0</v>
      </c>
      <c r="CH15" s="1132">
        <f t="shared" si="6"/>
        <v>0</v>
      </c>
      <c r="CI15" s="1132">
        <f t="shared" si="47"/>
        <v>0</v>
      </c>
      <c r="CJ15" s="1132">
        <f t="shared" si="48"/>
        <v>0</v>
      </c>
      <c r="CK15" s="1132">
        <f t="shared" si="49"/>
        <v>0</v>
      </c>
      <c r="CL15" s="1132">
        <f t="shared" si="50"/>
        <v>0</v>
      </c>
      <c r="CM15" s="1132">
        <f t="shared" si="51"/>
        <v>0</v>
      </c>
      <c r="CN15" s="1132">
        <f t="shared" si="52"/>
        <v>0</v>
      </c>
      <c r="CO15" s="1132">
        <f t="shared" si="103"/>
        <v>0</v>
      </c>
      <c r="CP15" s="644">
        <f t="shared" si="127"/>
        <v>0</v>
      </c>
      <c r="CQ15" s="644">
        <f t="shared" si="128"/>
        <v>0</v>
      </c>
      <c r="CR15" s="644">
        <f t="shared" si="129"/>
        <v>0</v>
      </c>
      <c r="CS15" s="644">
        <f t="shared" si="130"/>
        <v>0</v>
      </c>
      <c r="CT15" s="644">
        <f t="shared" si="131"/>
        <v>0</v>
      </c>
      <c r="CU15" s="644">
        <f t="shared" si="132"/>
        <v>0</v>
      </c>
      <c r="CV15" s="362">
        <f>Actual!AX61</f>
        <v>0</v>
      </c>
      <c r="CW15" s="644">
        <f t="shared" si="54"/>
        <v>0</v>
      </c>
      <c r="CX15" s="644">
        <f t="shared" si="55"/>
        <v>0</v>
      </c>
      <c r="CY15" s="644">
        <f t="shared" si="56"/>
        <v>0</v>
      </c>
      <c r="CZ15" s="644">
        <f t="shared" si="57"/>
        <v>0</v>
      </c>
      <c r="DA15" s="644">
        <f t="shared" si="58"/>
        <v>0</v>
      </c>
      <c r="DB15" s="644">
        <f t="shared" si="59"/>
        <v>0</v>
      </c>
      <c r="DC15" s="644">
        <f t="shared" si="110"/>
        <v>56651.176224000003</v>
      </c>
      <c r="DD15" s="1132">
        <f t="shared" si="111"/>
        <v>38.943999999999996</v>
      </c>
      <c r="DE15" s="1132">
        <f t="shared" si="60"/>
        <v>20.836000000000002</v>
      </c>
      <c r="DF15" s="1132">
        <f t="shared" si="61"/>
        <v>8.9700000000000006</v>
      </c>
      <c r="DG15" s="1132">
        <f t="shared" si="62"/>
        <v>0.16800000000000001</v>
      </c>
      <c r="DH15" s="1132">
        <f t="shared" si="63"/>
        <v>4728</v>
      </c>
      <c r="DI15" s="1132">
        <f t="shared" si="64"/>
        <v>3646.5156889495224</v>
      </c>
      <c r="DJ15" s="644">
        <f t="shared" si="112"/>
        <v>56651.176224000003</v>
      </c>
      <c r="DK15" s="644">
        <f t="shared" si="113"/>
        <v>38.943999999999996</v>
      </c>
      <c r="DL15" s="644">
        <f t="shared" si="114"/>
        <v>20.836000000000002</v>
      </c>
      <c r="DM15" s="644">
        <f t="shared" si="115"/>
        <v>8.9700000000000006</v>
      </c>
      <c r="DN15" s="644">
        <f t="shared" si="116"/>
        <v>0.16800000000000001</v>
      </c>
      <c r="DO15" s="1132">
        <f t="shared" si="117"/>
        <v>4728</v>
      </c>
      <c r="DP15" s="1132">
        <f t="shared" si="118"/>
        <v>3646.5156889495224</v>
      </c>
      <c r="DQ15" s="362">
        <f>Actual!AZ61</f>
        <v>0</v>
      </c>
      <c r="DR15" s="644">
        <f t="shared" si="119"/>
        <v>0</v>
      </c>
      <c r="DS15" s="644">
        <f t="shared" si="9"/>
        <v>0</v>
      </c>
      <c r="DT15" s="644">
        <f t="shared" si="9"/>
        <v>0</v>
      </c>
      <c r="DU15" s="644">
        <f t="shared" si="9"/>
        <v>0</v>
      </c>
      <c r="DV15" s="644">
        <f t="shared" si="9"/>
        <v>0</v>
      </c>
      <c r="DW15" s="644">
        <f t="shared" si="9"/>
        <v>0</v>
      </c>
    </row>
    <row r="16" spans="1:127" ht="15">
      <c r="A16" s="1046" t="str">
        <f>'Equipment '!A19</f>
        <v>14-Sep-26</v>
      </c>
      <c r="B16" s="1207">
        <f t="shared" si="0"/>
        <v>98828.664106000011</v>
      </c>
      <c r="C16" s="1207">
        <f t="shared" si="10"/>
        <v>39.0128571428572</v>
      </c>
      <c r="D16" s="1207">
        <f t="shared" si="11"/>
        <v>19.8028571428571</v>
      </c>
      <c r="E16" s="1207">
        <f t="shared" si="12"/>
        <v>7.3742857142857092</v>
      </c>
      <c r="F16" s="1207">
        <f t="shared" si="13"/>
        <v>0.13999999999999999</v>
      </c>
      <c r="G16" s="1207">
        <f t="shared" si="14"/>
        <v>4906.7583999999997</v>
      </c>
      <c r="H16" s="1207">
        <f t="shared" si="66"/>
        <v>3731.4194102818005</v>
      </c>
      <c r="I16" s="1207">
        <f t="shared" si="67"/>
        <v>98828.664106000011</v>
      </c>
      <c r="J16" s="644">
        <v>39.0128571428572</v>
      </c>
      <c r="K16" s="644">
        <v>19.8028571428571</v>
      </c>
      <c r="L16" s="644">
        <v>7.3742857142857101</v>
      </c>
      <c r="M16" s="644">
        <v>0.13999999999999999</v>
      </c>
      <c r="N16" s="644">
        <v>4906.7583999999997</v>
      </c>
      <c r="O16" s="644">
        <v>3731.4194102818001</v>
      </c>
      <c r="P16" s="1207">
        <f>Actual!AV62</f>
        <v>0</v>
      </c>
      <c r="Q16" s="1130">
        <f t="shared" ref="Q16:V16" si="137">Q15</f>
        <v>39.259692868249303</v>
      </c>
      <c r="R16" s="1130">
        <f t="shared" si="137"/>
        <v>22.233939419516801</v>
      </c>
      <c r="S16" s="1130">
        <f t="shared" si="137"/>
        <v>5.1624683361673904</v>
      </c>
      <c r="T16" s="1130">
        <f t="shared" si="137"/>
        <v>0.16306692045557394</v>
      </c>
      <c r="U16" s="1130">
        <f t="shared" si="137"/>
        <v>4982.7757437603759</v>
      </c>
      <c r="V16" s="1130">
        <f t="shared" si="137"/>
        <v>3891.8691108367598</v>
      </c>
      <c r="W16" s="1207">
        <f t="shared" si="17"/>
        <v>0</v>
      </c>
      <c r="X16" s="1208">
        <f t="shared" si="18"/>
        <v>0</v>
      </c>
      <c r="Y16" s="1209">
        <f t="shared" si="19"/>
        <v>0</v>
      </c>
      <c r="Z16" s="1209">
        <f t="shared" si="20"/>
        <v>0</v>
      </c>
      <c r="AA16" s="1209">
        <f t="shared" si="21"/>
        <v>0</v>
      </c>
      <c r="AB16" s="1209">
        <f t="shared" si="22"/>
        <v>0</v>
      </c>
      <c r="AC16" s="1209">
        <f t="shared" si="23"/>
        <v>0</v>
      </c>
      <c r="AD16" s="1207">
        <f t="shared" si="75"/>
        <v>0</v>
      </c>
      <c r="AE16" s="1207">
        <f t="shared" si="76"/>
        <v>0</v>
      </c>
      <c r="AF16" s="1207">
        <f t="shared" si="77"/>
        <v>0</v>
      </c>
      <c r="AG16" s="1207">
        <f t="shared" si="78"/>
        <v>0</v>
      </c>
      <c r="AH16" s="1207">
        <f t="shared" si="79"/>
        <v>0</v>
      </c>
      <c r="AI16" s="1209">
        <f t="shared" si="80"/>
        <v>0</v>
      </c>
      <c r="AJ16" s="1209">
        <f t="shared" si="81"/>
        <v>0</v>
      </c>
      <c r="AK16" s="1210">
        <f>Actual!AU62</f>
        <v>0</v>
      </c>
      <c r="AL16" s="644">
        <f t="shared" si="82"/>
        <v>39.450000000000003</v>
      </c>
      <c r="AM16" s="644">
        <f t="shared" si="83"/>
        <v>17.2</v>
      </c>
      <c r="AN16" s="644">
        <f t="shared" si="84"/>
        <v>13.18</v>
      </c>
      <c r="AO16" s="644">
        <f t="shared" si="85"/>
        <v>0.13</v>
      </c>
      <c r="AP16" s="644">
        <f t="shared" si="121"/>
        <v>4789</v>
      </c>
      <c r="AQ16" s="644">
        <f t="shared" si="86"/>
        <v>3502.1008454106282</v>
      </c>
      <c r="AR16" s="644">
        <f t="shared" si="26"/>
        <v>2697.3303620000002</v>
      </c>
      <c r="AS16" s="1209">
        <f t="shared" si="87"/>
        <v>39.54</v>
      </c>
      <c r="AT16" s="1209">
        <f t="shared" si="27"/>
        <v>22.28</v>
      </c>
      <c r="AU16" s="1209">
        <f t="shared" si="28"/>
        <v>8.8800000000000008</v>
      </c>
      <c r="AV16" s="1209">
        <f t="shared" si="29"/>
        <v>0.1</v>
      </c>
      <c r="AW16" s="1209">
        <f t="shared" si="30"/>
        <v>4728</v>
      </c>
      <c r="AX16" s="1209">
        <f t="shared" si="31"/>
        <v>3678.0092640247044</v>
      </c>
      <c r="AY16" s="1207">
        <f t="shared" si="88"/>
        <v>2697.3303620000002</v>
      </c>
      <c r="AZ16" s="644">
        <v>39.54</v>
      </c>
      <c r="BA16" s="644">
        <v>22.28</v>
      </c>
      <c r="BB16" s="644">
        <v>8.8800000000000008</v>
      </c>
      <c r="BC16" s="644">
        <v>0.1</v>
      </c>
      <c r="BD16" s="644">
        <v>4728</v>
      </c>
      <c r="BE16" s="644">
        <v>3678.009264024704</v>
      </c>
      <c r="BF16" s="1211">
        <f>Actual!AW62</f>
        <v>0</v>
      </c>
      <c r="BG16" s="1129">
        <f t="shared" si="95"/>
        <v>38.758693568593003</v>
      </c>
      <c r="BH16" s="1129">
        <f t="shared" si="95"/>
        <v>24.565816766115823</v>
      </c>
      <c r="BI16" s="1129">
        <f t="shared" si="95"/>
        <v>6.9297573448338197</v>
      </c>
      <c r="BJ16" s="1129">
        <f t="shared" si="95"/>
        <v>0.18280031980514408</v>
      </c>
      <c r="BK16" s="1129">
        <f t="shared" si="95"/>
        <v>4389.8195426817128</v>
      </c>
      <c r="BL16" s="1129">
        <f t="shared" si="95"/>
        <v>3745.45548895927</v>
      </c>
      <c r="BM16" s="1207">
        <f t="shared" si="3"/>
        <v>0</v>
      </c>
      <c r="BN16" s="1209">
        <f t="shared" si="34"/>
        <v>0</v>
      </c>
      <c r="BO16" s="1209">
        <f t="shared" si="35"/>
        <v>0</v>
      </c>
      <c r="BP16" s="1209">
        <f t="shared" si="36"/>
        <v>0</v>
      </c>
      <c r="BQ16" s="1209">
        <f t="shared" si="37"/>
        <v>0</v>
      </c>
      <c r="BR16" s="1209">
        <f t="shared" si="38"/>
        <v>0</v>
      </c>
      <c r="BS16" s="1209">
        <f t="shared" si="39"/>
        <v>0</v>
      </c>
      <c r="BT16" s="1207">
        <f t="shared" si="96"/>
        <v>0</v>
      </c>
      <c r="BU16" s="1207">
        <f t="shared" si="97"/>
        <v>0</v>
      </c>
      <c r="BV16" s="1207">
        <f t="shared" si="98"/>
        <v>0</v>
      </c>
      <c r="BW16" s="1207">
        <f t="shared" si="99"/>
        <v>0</v>
      </c>
      <c r="BX16" s="1207">
        <f t="shared" si="100"/>
        <v>0</v>
      </c>
      <c r="BY16" s="1207">
        <f t="shared" si="101"/>
        <v>0</v>
      </c>
      <c r="BZ16" s="1207">
        <f t="shared" si="102"/>
        <v>0</v>
      </c>
      <c r="CA16" s="1210">
        <f>Actual!AY62</f>
        <v>0</v>
      </c>
      <c r="CB16" s="1207">
        <f t="shared" si="41"/>
        <v>0</v>
      </c>
      <c r="CC16" s="1207">
        <f t="shared" si="42"/>
        <v>0</v>
      </c>
      <c r="CD16" s="1207">
        <f t="shared" si="43"/>
        <v>0</v>
      </c>
      <c r="CE16" s="1207">
        <f t="shared" si="44"/>
        <v>0</v>
      </c>
      <c r="CF16" s="1207">
        <f t="shared" si="45"/>
        <v>0</v>
      </c>
      <c r="CG16" s="1207">
        <f t="shared" si="46"/>
        <v>0</v>
      </c>
      <c r="CH16" s="1132">
        <f t="shared" si="6"/>
        <v>0</v>
      </c>
      <c r="CI16" s="1209">
        <f t="shared" si="47"/>
        <v>0</v>
      </c>
      <c r="CJ16" s="1209">
        <f t="shared" si="48"/>
        <v>0</v>
      </c>
      <c r="CK16" s="1209">
        <f t="shared" si="49"/>
        <v>0</v>
      </c>
      <c r="CL16" s="1209">
        <f t="shared" si="50"/>
        <v>0</v>
      </c>
      <c r="CM16" s="1209">
        <f t="shared" si="51"/>
        <v>0</v>
      </c>
      <c r="CN16" s="1209">
        <f t="shared" si="52"/>
        <v>0</v>
      </c>
      <c r="CO16" s="1132">
        <f t="shared" si="103"/>
        <v>0</v>
      </c>
      <c r="CP16" s="644">
        <f t="shared" si="127"/>
        <v>0</v>
      </c>
      <c r="CQ16" s="644">
        <f t="shared" si="128"/>
        <v>0</v>
      </c>
      <c r="CR16" s="644">
        <f t="shared" si="129"/>
        <v>0</v>
      </c>
      <c r="CS16" s="644">
        <f t="shared" si="130"/>
        <v>0</v>
      </c>
      <c r="CT16" s="644">
        <f t="shared" si="131"/>
        <v>0</v>
      </c>
      <c r="CU16" s="644">
        <f t="shared" si="132"/>
        <v>0</v>
      </c>
      <c r="CV16" s="1210">
        <f>Actual!AX62</f>
        <v>0</v>
      </c>
      <c r="CW16" s="1207">
        <f t="shared" si="54"/>
        <v>0</v>
      </c>
      <c r="CX16" s="1207">
        <f t="shared" si="55"/>
        <v>0</v>
      </c>
      <c r="CY16" s="1207">
        <f t="shared" si="56"/>
        <v>0</v>
      </c>
      <c r="CZ16" s="1207">
        <f t="shared" si="57"/>
        <v>0</v>
      </c>
      <c r="DA16" s="1207">
        <f t="shared" si="58"/>
        <v>0</v>
      </c>
      <c r="DB16" s="1207">
        <f t="shared" si="59"/>
        <v>0</v>
      </c>
      <c r="DC16" s="1207">
        <f t="shared" si="110"/>
        <v>56651.176224000003</v>
      </c>
      <c r="DD16" s="1209">
        <f t="shared" si="111"/>
        <v>38.944000000000003</v>
      </c>
      <c r="DE16" s="1209">
        <f t="shared" si="60"/>
        <v>20.835999999999999</v>
      </c>
      <c r="DF16" s="1209">
        <f t="shared" si="61"/>
        <v>8.9700000000000006</v>
      </c>
      <c r="DG16" s="1209">
        <f t="shared" si="62"/>
        <v>0.16800000000000001</v>
      </c>
      <c r="DH16" s="1209">
        <f t="shared" si="63"/>
        <v>4728</v>
      </c>
      <c r="DI16" s="1209">
        <f t="shared" si="64"/>
        <v>3646.5156889495224</v>
      </c>
      <c r="DJ16" s="1207">
        <f t="shared" si="112"/>
        <v>56651.176224000003</v>
      </c>
      <c r="DK16" s="644">
        <v>38.944000000000003</v>
      </c>
      <c r="DL16" s="644">
        <v>20.835999999999999</v>
      </c>
      <c r="DM16" s="644">
        <v>8.9700000000000006</v>
      </c>
      <c r="DN16" s="644">
        <v>0.16800000000000001</v>
      </c>
      <c r="DO16" s="1132">
        <v>4728</v>
      </c>
      <c r="DP16" s="1132">
        <v>3646.5156889495224</v>
      </c>
      <c r="DQ16" s="1210">
        <f>Actual!AZ62</f>
        <v>0</v>
      </c>
      <c r="DR16" s="1207">
        <f t="shared" si="119"/>
        <v>0</v>
      </c>
      <c r="DS16" s="1207">
        <f t="shared" si="9"/>
        <v>0</v>
      </c>
      <c r="DT16" s="1207">
        <f t="shared" si="9"/>
        <v>0</v>
      </c>
      <c r="DU16" s="1207">
        <f t="shared" si="9"/>
        <v>0</v>
      </c>
      <c r="DV16" s="1207">
        <f t="shared" si="9"/>
        <v>0</v>
      </c>
      <c r="DW16" s="1207">
        <f t="shared" si="9"/>
        <v>0</v>
      </c>
    </row>
    <row r="17" spans="1:127" ht="15">
      <c r="A17" s="1046" t="str">
        <f>'Equipment '!A20</f>
        <v>15-Sep-26</v>
      </c>
      <c r="B17" s="644">
        <f t="shared" si="0"/>
        <v>98828.664106000011</v>
      </c>
      <c r="C17" s="644">
        <f t="shared" si="10"/>
        <v>39.0128571428572</v>
      </c>
      <c r="D17" s="644">
        <f t="shared" si="11"/>
        <v>19.8028571428571</v>
      </c>
      <c r="E17" s="644">
        <f t="shared" si="12"/>
        <v>7.3742857142857092</v>
      </c>
      <c r="F17" s="644">
        <f t="shared" si="13"/>
        <v>0.13999999999999999</v>
      </c>
      <c r="G17" s="644">
        <f t="shared" si="14"/>
        <v>4906.7583999999997</v>
      </c>
      <c r="H17" s="644">
        <f t="shared" si="66"/>
        <v>3731.4194102818005</v>
      </c>
      <c r="I17" s="644">
        <f t="shared" si="67"/>
        <v>98828.664106000011</v>
      </c>
      <c r="J17" s="644">
        <f t="shared" si="68"/>
        <v>39.0128571428572</v>
      </c>
      <c r="K17" s="644">
        <f t="shared" si="69"/>
        <v>19.8028571428571</v>
      </c>
      <c r="L17" s="644">
        <f t="shared" si="70"/>
        <v>7.3742857142857092</v>
      </c>
      <c r="M17" s="644">
        <f t="shared" si="71"/>
        <v>0.13999999999999999</v>
      </c>
      <c r="N17" s="644">
        <f t="shared" si="72"/>
        <v>4906.7583999999997</v>
      </c>
      <c r="O17" s="644">
        <f t="shared" si="73"/>
        <v>3731.4194102818005</v>
      </c>
      <c r="P17" s="644">
        <f>Actual!AV63</f>
        <v>0</v>
      </c>
      <c r="Q17" s="1130">
        <f t="shared" ref="Q17:V17" si="138">Q16</f>
        <v>39.259692868249303</v>
      </c>
      <c r="R17" s="1130">
        <f t="shared" si="138"/>
        <v>22.233939419516801</v>
      </c>
      <c r="S17" s="1130">
        <f t="shared" si="138"/>
        <v>5.1624683361673904</v>
      </c>
      <c r="T17" s="1130">
        <f t="shared" si="138"/>
        <v>0.16306692045557394</v>
      </c>
      <c r="U17" s="1130">
        <f t="shared" si="138"/>
        <v>4982.7757437603759</v>
      </c>
      <c r="V17" s="1130">
        <f t="shared" si="138"/>
        <v>3891.8691108367598</v>
      </c>
      <c r="W17" s="644">
        <f t="shared" si="17"/>
        <v>0</v>
      </c>
      <c r="X17" s="1131">
        <f t="shared" si="18"/>
        <v>0</v>
      </c>
      <c r="Y17" s="1132">
        <f t="shared" si="19"/>
        <v>0</v>
      </c>
      <c r="Z17" s="1132">
        <f t="shared" si="20"/>
        <v>0</v>
      </c>
      <c r="AA17" s="1132">
        <f t="shared" si="21"/>
        <v>0</v>
      </c>
      <c r="AB17" s="1132">
        <f t="shared" si="22"/>
        <v>0</v>
      </c>
      <c r="AC17" s="1132">
        <f t="shared" si="23"/>
        <v>0</v>
      </c>
      <c r="AD17" s="644">
        <f t="shared" si="75"/>
        <v>0</v>
      </c>
      <c r="AE17" s="644">
        <f t="shared" si="76"/>
        <v>0</v>
      </c>
      <c r="AF17" s="644">
        <f t="shared" si="77"/>
        <v>0</v>
      </c>
      <c r="AG17" s="644">
        <f t="shared" si="78"/>
        <v>0</v>
      </c>
      <c r="AH17" s="644">
        <f t="shared" si="79"/>
        <v>0</v>
      </c>
      <c r="AI17" s="1132">
        <f t="shared" si="80"/>
        <v>0</v>
      </c>
      <c r="AJ17" s="1132">
        <f t="shared" si="81"/>
        <v>0</v>
      </c>
      <c r="AK17" s="362">
        <f>Actual!AU63</f>
        <v>0</v>
      </c>
      <c r="AL17" s="644">
        <f t="shared" si="82"/>
        <v>39.450000000000003</v>
      </c>
      <c r="AM17" s="644">
        <f t="shared" si="83"/>
        <v>17.2</v>
      </c>
      <c r="AN17" s="644">
        <f t="shared" si="84"/>
        <v>13.18</v>
      </c>
      <c r="AO17" s="644">
        <f t="shared" si="85"/>
        <v>0.13</v>
      </c>
      <c r="AP17" s="644">
        <f t="shared" si="121"/>
        <v>4789</v>
      </c>
      <c r="AQ17" s="644">
        <f t="shared" si="86"/>
        <v>3502.1008454106282</v>
      </c>
      <c r="AR17" s="644">
        <f t="shared" si="26"/>
        <v>2697.3303620000002</v>
      </c>
      <c r="AS17" s="1132">
        <f t="shared" si="87"/>
        <v>39.54</v>
      </c>
      <c r="AT17" s="1132">
        <f t="shared" si="27"/>
        <v>22.28</v>
      </c>
      <c r="AU17" s="1132">
        <f t="shared" si="28"/>
        <v>8.8800000000000008</v>
      </c>
      <c r="AV17" s="1132">
        <f t="shared" si="29"/>
        <v>0.1</v>
      </c>
      <c r="AW17" s="1132">
        <f t="shared" si="30"/>
        <v>4728</v>
      </c>
      <c r="AX17" s="1132">
        <f t="shared" si="31"/>
        <v>3678.0092640247044</v>
      </c>
      <c r="AY17" s="644">
        <f t="shared" si="88"/>
        <v>2697.3303620000002</v>
      </c>
      <c r="AZ17" s="644">
        <f t="shared" si="89"/>
        <v>39.54</v>
      </c>
      <c r="BA17" s="644">
        <f t="shared" si="90"/>
        <v>22.28</v>
      </c>
      <c r="BB17" s="644">
        <f t="shared" si="91"/>
        <v>8.8800000000000008</v>
      </c>
      <c r="BC17" s="644">
        <f t="shared" si="92"/>
        <v>0.1</v>
      </c>
      <c r="BD17" s="644">
        <f t="shared" si="93"/>
        <v>4728</v>
      </c>
      <c r="BE17" s="644">
        <f t="shared" si="94"/>
        <v>3678.0092640247044</v>
      </c>
      <c r="BF17" s="405">
        <f>Actual!AW63</f>
        <v>0</v>
      </c>
      <c r="BG17" s="1129">
        <f t="shared" si="95"/>
        <v>38.758693568593003</v>
      </c>
      <c r="BH17" s="1129">
        <f t="shared" si="95"/>
        <v>24.565816766115823</v>
      </c>
      <c r="BI17" s="1129">
        <f t="shared" si="95"/>
        <v>6.9297573448338197</v>
      </c>
      <c r="BJ17" s="1129">
        <f t="shared" si="95"/>
        <v>0.18280031980514408</v>
      </c>
      <c r="BK17" s="1129">
        <f t="shared" si="95"/>
        <v>4389.8195426817128</v>
      </c>
      <c r="BL17" s="1129">
        <f t="shared" si="95"/>
        <v>3745.45548895927</v>
      </c>
      <c r="BM17" s="644">
        <f t="shared" si="3"/>
        <v>0</v>
      </c>
      <c r="BN17" s="1132">
        <f t="shared" si="34"/>
        <v>0</v>
      </c>
      <c r="BO17" s="1132">
        <f t="shared" si="35"/>
        <v>0</v>
      </c>
      <c r="BP17" s="1132">
        <f t="shared" si="36"/>
        <v>0</v>
      </c>
      <c r="BQ17" s="1132">
        <f t="shared" si="37"/>
        <v>0</v>
      </c>
      <c r="BR17" s="1132">
        <f t="shared" si="38"/>
        <v>0</v>
      </c>
      <c r="BS17" s="1132">
        <f t="shared" si="39"/>
        <v>0</v>
      </c>
      <c r="BT17" s="644">
        <f t="shared" si="96"/>
        <v>0</v>
      </c>
      <c r="BU17" s="644">
        <f t="shared" si="97"/>
        <v>0</v>
      </c>
      <c r="BV17" s="644">
        <f t="shared" si="98"/>
        <v>0</v>
      </c>
      <c r="BW17" s="644">
        <f t="shared" si="99"/>
        <v>0</v>
      </c>
      <c r="BX17" s="644">
        <f t="shared" si="100"/>
        <v>0</v>
      </c>
      <c r="BY17" s="644">
        <f t="shared" si="101"/>
        <v>0</v>
      </c>
      <c r="BZ17" s="644">
        <f t="shared" si="102"/>
        <v>0</v>
      </c>
      <c r="CA17" s="362">
        <f>Actual!AY63</f>
        <v>0</v>
      </c>
      <c r="CB17" s="644">
        <f t="shared" si="41"/>
        <v>0</v>
      </c>
      <c r="CC17" s="644">
        <f t="shared" si="42"/>
        <v>0</v>
      </c>
      <c r="CD17" s="644">
        <f t="shared" si="43"/>
        <v>0</v>
      </c>
      <c r="CE17" s="644">
        <f t="shared" si="44"/>
        <v>0</v>
      </c>
      <c r="CF17" s="644">
        <f t="shared" si="45"/>
        <v>0</v>
      </c>
      <c r="CG17" s="644">
        <f t="shared" si="46"/>
        <v>0</v>
      </c>
      <c r="CH17" s="1132">
        <f t="shared" si="6"/>
        <v>0</v>
      </c>
      <c r="CI17" s="1132">
        <f t="shared" si="47"/>
        <v>0</v>
      </c>
      <c r="CJ17" s="1132">
        <f t="shared" si="48"/>
        <v>0</v>
      </c>
      <c r="CK17" s="1132">
        <f t="shared" si="49"/>
        <v>0</v>
      </c>
      <c r="CL17" s="1132">
        <f t="shared" si="50"/>
        <v>0</v>
      </c>
      <c r="CM17" s="1132">
        <f t="shared" si="51"/>
        <v>0</v>
      </c>
      <c r="CN17" s="1132">
        <f t="shared" si="52"/>
        <v>0</v>
      </c>
      <c r="CO17" s="1132">
        <f t="shared" si="103"/>
        <v>0</v>
      </c>
      <c r="CP17" s="644">
        <f t="shared" si="127"/>
        <v>0</v>
      </c>
      <c r="CQ17" s="644">
        <f t="shared" si="128"/>
        <v>0</v>
      </c>
      <c r="CR17" s="644">
        <f t="shared" si="129"/>
        <v>0</v>
      </c>
      <c r="CS17" s="644">
        <f t="shared" si="130"/>
        <v>0</v>
      </c>
      <c r="CT17" s="644">
        <f t="shared" si="131"/>
        <v>0</v>
      </c>
      <c r="CU17" s="644">
        <f t="shared" si="132"/>
        <v>0</v>
      </c>
      <c r="CV17" s="362">
        <f>Actual!AX63</f>
        <v>0</v>
      </c>
      <c r="CW17" s="644">
        <f t="shared" si="54"/>
        <v>0</v>
      </c>
      <c r="CX17" s="644">
        <f t="shared" si="55"/>
        <v>0</v>
      </c>
      <c r="CY17" s="644">
        <f t="shared" si="56"/>
        <v>0</v>
      </c>
      <c r="CZ17" s="644">
        <f t="shared" si="57"/>
        <v>0</v>
      </c>
      <c r="DA17" s="644">
        <f t="shared" si="58"/>
        <v>0</v>
      </c>
      <c r="DB17" s="644">
        <f t="shared" si="59"/>
        <v>0</v>
      </c>
      <c r="DC17" s="644">
        <f t="shared" si="110"/>
        <v>56651.176224000003</v>
      </c>
      <c r="DD17" s="1132">
        <f t="shared" si="111"/>
        <v>38.944000000000003</v>
      </c>
      <c r="DE17" s="1132">
        <f t="shared" si="60"/>
        <v>20.835999999999999</v>
      </c>
      <c r="DF17" s="1132">
        <f t="shared" si="61"/>
        <v>8.9700000000000006</v>
      </c>
      <c r="DG17" s="1132">
        <f t="shared" si="62"/>
        <v>0.16800000000000001</v>
      </c>
      <c r="DH17" s="1132">
        <f t="shared" si="63"/>
        <v>4728</v>
      </c>
      <c r="DI17" s="1132">
        <f t="shared" si="64"/>
        <v>3646.5156889495224</v>
      </c>
      <c r="DJ17" s="644">
        <f t="shared" si="112"/>
        <v>56651.176224000003</v>
      </c>
      <c r="DK17" s="644">
        <f t="shared" si="113"/>
        <v>38.944000000000003</v>
      </c>
      <c r="DL17" s="644">
        <f t="shared" si="114"/>
        <v>20.835999999999999</v>
      </c>
      <c r="DM17" s="644">
        <f t="shared" si="115"/>
        <v>8.9700000000000006</v>
      </c>
      <c r="DN17" s="644">
        <f t="shared" si="116"/>
        <v>0.16800000000000001</v>
      </c>
      <c r="DO17" s="1132">
        <f t="shared" si="117"/>
        <v>4728</v>
      </c>
      <c r="DP17" s="1132">
        <f t="shared" si="118"/>
        <v>3646.5156889495224</v>
      </c>
      <c r="DQ17" s="362">
        <f>Actual!AZ63</f>
        <v>0</v>
      </c>
      <c r="DR17" s="644">
        <f t="shared" si="119"/>
        <v>0</v>
      </c>
      <c r="DS17" s="644">
        <f t="shared" si="9"/>
        <v>0</v>
      </c>
      <c r="DT17" s="644">
        <f t="shared" si="9"/>
        <v>0</v>
      </c>
      <c r="DU17" s="644">
        <f t="shared" si="9"/>
        <v>0</v>
      </c>
      <c r="DV17" s="644">
        <f t="shared" si="9"/>
        <v>0</v>
      </c>
      <c r="DW17" s="644">
        <f t="shared" si="9"/>
        <v>0</v>
      </c>
    </row>
    <row r="18" spans="1:127" ht="15">
      <c r="A18" s="1046" t="str">
        <f>'Equipment '!A21</f>
        <v>16-Sep-26</v>
      </c>
      <c r="B18" s="644">
        <f t="shared" si="0"/>
        <v>98828.664106000011</v>
      </c>
      <c r="C18" s="644">
        <f t="shared" si="10"/>
        <v>39.0128571428572</v>
      </c>
      <c r="D18" s="644">
        <f t="shared" si="11"/>
        <v>19.8028571428571</v>
      </c>
      <c r="E18" s="644">
        <f t="shared" si="12"/>
        <v>7.3742857142857092</v>
      </c>
      <c r="F18" s="644">
        <f t="shared" si="13"/>
        <v>0.13999999999999999</v>
      </c>
      <c r="G18" s="644">
        <f t="shared" si="14"/>
        <v>4906.7583999999997</v>
      </c>
      <c r="H18" s="644">
        <f t="shared" si="66"/>
        <v>3731.4194102818005</v>
      </c>
      <c r="I18" s="644">
        <f t="shared" si="67"/>
        <v>98828.664106000011</v>
      </c>
      <c r="J18" s="644">
        <f t="shared" si="68"/>
        <v>39.0128571428572</v>
      </c>
      <c r="K18" s="644">
        <f t="shared" si="69"/>
        <v>19.8028571428571</v>
      </c>
      <c r="L18" s="644">
        <f t="shared" si="70"/>
        <v>7.3742857142857092</v>
      </c>
      <c r="M18" s="644">
        <f t="shared" si="71"/>
        <v>0.13999999999999999</v>
      </c>
      <c r="N18" s="644">
        <f t="shared" si="72"/>
        <v>4906.7583999999997</v>
      </c>
      <c r="O18" s="644">
        <f t="shared" si="73"/>
        <v>3731.4194102818005</v>
      </c>
      <c r="P18" s="644">
        <f>Actual!AV64</f>
        <v>0</v>
      </c>
      <c r="Q18" s="1130">
        <f t="shared" ref="Q18:V18" si="139">Q17</f>
        <v>39.259692868249303</v>
      </c>
      <c r="R18" s="1130">
        <f t="shared" si="139"/>
        <v>22.233939419516801</v>
      </c>
      <c r="S18" s="1130">
        <f t="shared" si="139"/>
        <v>5.1624683361673904</v>
      </c>
      <c r="T18" s="1130">
        <f t="shared" si="139"/>
        <v>0.16306692045557394</v>
      </c>
      <c r="U18" s="1130">
        <f t="shared" si="139"/>
        <v>4982.7757437603759</v>
      </c>
      <c r="V18" s="1130">
        <f t="shared" si="139"/>
        <v>3891.8691108367598</v>
      </c>
      <c r="W18" s="644">
        <f t="shared" si="17"/>
        <v>0</v>
      </c>
      <c r="X18" s="1131">
        <f t="shared" si="18"/>
        <v>0</v>
      </c>
      <c r="Y18" s="1132">
        <f t="shared" si="19"/>
        <v>0</v>
      </c>
      <c r="Z18" s="1132">
        <f t="shared" si="20"/>
        <v>0</v>
      </c>
      <c r="AA18" s="1132">
        <f t="shared" si="21"/>
        <v>0</v>
      </c>
      <c r="AB18" s="1132">
        <f t="shared" si="22"/>
        <v>0</v>
      </c>
      <c r="AC18" s="1132">
        <f t="shared" si="23"/>
        <v>0</v>
      </c>
      <c r="AD18" s="644">
        <f t="shared" si="75"/>
        <v>0</v>
      </c>
      <c r="AE18" s="644">
        <f t="shared" si="76"/>
        <v>0</v>
      </c>
      <c r="AF18" s="644">
        <f t="shared" si="77"/>
        <v>0</v>
      </c>
      <c r="AG18" s="644">
        <f t="shared" si="78"/>
        <v>0</v>
      </c>
      <c r="AH18" s="644">
        <f t="shared" si="79"/>
        <v>0</v>
      </c>
      <c r="AI18" s="1132">
        <f t="shared" si="80"/>
        <v>0</v>
      </c>
      <c r="AJ18" s="1132">
        <f t="shared" si="81"/>
        <v>0</v>
      </c>
      <c r="AK18" s="362">
        <f>Actual!AU64</f>
        <v>0</v>
      </c>
      <c r="AL18" s="644">
        <f t="shared" si="82"/>
        <v>39.450000000000003</v>
      </c>
      <c r="AM18" s="644">
        <f t="shared" si="83"/>
        <v>17.2</v>
      </c>
      <c r="AN18" s="644">
        <f t="shared" si="84"/>
        <v>13.18</v>
      </c>
      <c r="AO18" s="644">
        <f t="shared" si="85"/>
        <v>0.13</v>
      </c>
      <c r="AP18" s="644">
        <f t="shared" si="121"/>
        <v>4789</v>
      </c>
      <c r="AQ18" s="644">
        <f t="shared" si="86"/>
        <v>3502.1008454106282</v>
      </c>
      <c r="AR18" s="644">
        <f t="shared" si="26"/>
        <v>2697.3303620000002</v>
      </c>
      <c r="AS18" s="1132">
        <f t="shared" si="87"/>
        <v>39.54</v>
      </c>
      <c r="AT18" s="1132">
        <f t="shared" si="27"/>
        <v>22.28</v>
      </c>
      <c r="AU18" s="1132">
        <f t="shared" si="28"/>
        <v>8.8800000000000008</v>
      </c>
      <c r="AV18" s="1132">
        <f t="shared" si="29"/>
        <v>0.1</v>
      </c>
      <c r="AW18" s="1132">
        <f t="shared" si="30"/>
        <v>4728</v>
      </c>
      <c r="AX18" s="1132">
        <f t="shared" si="31"/>
        <v>3678.0092640247044</v>
      </c>
      <c r="AY18" s="644">
        <f t="shared" si="88"/>
        <v>2697.3303620000002</v>
      </c>
      <c r="AZ18" s="644">
        <f t="shared" si="89"/>
        <v>39.54</v>
      </c>
      <c r="BA18" s="644">
        <f t="shared" si="90"/>
        <v>22.28</v>
      </c>
      <c r="BB18" s="644">
        <f t="shared" si="91"/>
        <v>8.8800000000000008</v>
      </c>
      <c r="BC18" s="644">
        <f t="shared" si="92"/>
        <v>0.1</v>
      </c>
      <c r="BD18" s="644">
        <f t="shared" si="93"/>
        <v>4728</v>
      </c>
      <c r="BE18" s="644">
        <f t="shared" si="94"/>
        <v>3678.0092640247044</v>
      </c>
      <c r="BF18" s="405">
        <f>Actual!AW64</f>
        <v>0</v>
      </c>
      <c r="BG18" s="1129">
        <f t="shared" si="95"/>
        <v>38.758693568593003</v>
      </c>
      <c r="BH18" s="1129">
        <f t="shared" si="95"/>
        <v>24.565816766115823</v>
      </c>
      <c r="BI18" s="1129">
        <f t="shared" si="95"/>
        <v>6.9297573448338197</v>
      </c>
      <c r="BJ18" s="1129">
        <f t="shared" si="95"/>
        <v>0.18280031980514408</v>
      </c>
      <c r="BK18" s="1129">
        <f t="shared" si="95"/>
        <v>4389.8195426817128</v>
      </c>
      <c r="BL18" s="1129">
        <f t="shared" si="95"/>
        <v>3745.45548895927</v>
      </c>
      <c r="BM18" s="644">
        <f t="shared" si="3"/>
        <v>0</v>
      </c>
      <c r="BN18" s="1132">
        <f t="shared" si="34"/>
        <v>0</v>
      </c>
      <c r="BO18" s="1132">
        <f t="shared" si="35"/>
        <v>0</v>
      </c>
      <c r="BP18" s="1132">
        <f t="shared" si="36"/>
        <v>0</v>
      </c>
      <c r="BQ18" s="1132">
        <f t="shared" si="37"/>
        <v>0</v>
      </c>
      <c r="BR18" s="1132">
        <f t="shared" si="38"/>
        <v>0</v>
      </c>
      <c r="BS18" s="1132">
        <f t="shared" si="39"/>
        <v>0</v>
      </c>
      <c r="BT18" s="644">
        <f t="shared" si="96"/>
        <v>0</v>
      </c>
      <c r="BU18" s="644">
        <f t="shared" si="97"/>
        <v>0</v>
      </c>
      <c r="BV18" s="644">
        <f t="shared" si="98"/>
        <v>0</v>
      </c>
      <c r="BW18" s="644">
        <f t="shared" si="99"/>
        <v>0</v>
      </c>
      <c r="BX18" s="644">
        <f t="shared" si="100"/>
        <v>0</v>
      </c>
      <c r="BY18" s="644">
        <f t="shared" si="101"/>
        <v>0</v>
      </c>
      <c r="BZ18" s="644">
        <f t="shared" si="102"/>
        <v>0</v>
      </c>
      <c r="CA18" s="362">
        <f>Actual!AY64</f>
        <v>0</v>
      </c>
      <c r="CB18" s="644">
        <f t="shared" si="41"/>
        <v>0</v>
      </c>
      <c r="CC18" s="644">
        <f t="shared" si="42"/>
        <v>0</v>
      </c>
      <c r="CD18" s="644">
        <f t="shared" si="43"/>
        <v>0</v>
      </c>
      <c r="CE18" s="644">
        <f t="shared" si="44"/>
        <v>0</v>
      </c>
      <c r="CF18" s="644">
        <f t="shared" si="45"/>
        <v>0</v>
      </c>
      <c r="CG18" s="644">
        <f t="shared" si="46"/>
        <v>0</v>
      </c>
      <c r="CH18" s="1132">
        <f t="shared" si="6"/>
        <v>0</v>
      </c>
      <c r="CI18" s="1132">
        <f t="shared" si="47"/>
        <v>0</v>
      </c>
      <c r="CJ18" s="1132">
        <f t="shared" si="48"/>
        <v>0</v>
      </c>
      <c r="CK18" s="1132">
        <f t="shared" si="49"/>
        <v>0</v>
      </c>
      <c r="CL18" s="1132">
        <f t="shared" si="50"/>
        <v>0</v>
      </c>
      <c r="CM18" s="1132">
        <f t="shared" si="51"/>
        <v>0</v>
      </c>
      <c r="CN18" s="1132">
        <f t="shared" si="52"/>
        <v>0</v>
      </c>
      <c r="CO18" s="1132">
        <f t="shared" si="103"/>
        <v>0</v>
      </c>
      <c r="CP18" s="644">
        <f t="shared" si="127"/>
        <v>0</v>
      </c>
      <c r="CQ18" s="644">
        <f t="shared" si="128"/>
        <v>0</v>
      </c>
      <c r="CR18" s="644">
        <f t="shared" si="129"/>
        <v>0</v>
      </c>
      <c r="CS18" s="644">
        <f t="shared" si="130"/>
        <v>0</v>
      </c>
      <c r="CT18" s="644">
        <f t="shared" si="131"/>
        <v>0</v>
      </c>
      <c r="CU18" s="644">
        <f t="shared" si="132"/>
        <v>0</v>
      </c>
      <c r="CV18" s="362">
        <f>Actual!AX64</f>
        <v>0</v>
      </c>
      <c r="CW18" s="644">
        <f t="shared" si="54"/>
        <v>0</v>
      </c>
      <c r="CX18" s="644">
        <f t="shared" si="55"/>
        <v>0</v>
      </c>
      <c r="CY18" s="644">
        <f t="shared" si="56"/>
        <v>0</v>
      </c>
      <c r="CZ18" s="644">
        <f t="shared" si="57"/>
        <v>0</v>
      </c>
      <c r="DA18" s="644">
        <f t="shared" si="58"/>
        <v>0</v>
      </c>
      <c r="DB18" s="644">
        <f t="shared" si="59"/>
        <v>0</v>
      </c>
      <c r="DC18" s="644">
        <f t="shared" si="110"/>
        <v>56651.176224000003</v>
      </c>
      <c r="DD18" s="1132">
        <f t="shared" si="111"/>
        <v>38.944000000000003</v>
      </c>
      <c r="DE18" s="1132">
        <f t="shared" si="60"/>
        <v>20.835999999999999</v>
      </c>
      <c r="DF18" s="1132">
        <f t="shared" si="61"/>
        <v>8.9700000000000006</v>
      </c>
      <c r="DG18" s="1132">
        <f t="shared" si="62"/>
        <v>0.16800000000000001</v>
      </c>
      <c r="DH18" s="1132">
        <f t="shared" si="63"/>
        <v>4728</v>
      </c>
      <c r="DI18" s="1132">
        <f t="shared" si="64"/>
        <v>3646.5156889495224</v>
      </c>
      <c r="DJ18" s="644">
        <f t="shared" si="112"/>
        <v>56651.176224000003</v>
      </c>
      <c r="DK18" s="644">
        <f t="shared" si="113"/>
        <v>38.944000000000003</v>
      </c>
      <c r="DL18" s="644">
        <f t="shared" si="114"/>
        <v>20.835999999999999</v>
      </c>
      <c r="DM18" s="644">
        <f t="shared" si="115"/>
        <v>8.9700000000000006</v>
      </c>
      <c r="DN18" s="644">
        <f t="shared" si="116"/>
        <v>0.16800000000000001</v>
      </c>
      <c r="DO18" s="1132">
        <f t="shared" si="117"/>
        <v>4728</v>
      </c>
      <c r="DP18" s="1132">
        <f t="shared" si="118"/>
        <v>3646.5156889495224</v>
      </c>
      <c r="DQ18" s="362">
        <f>Actual!AZ64</f>
        <v>0</v>
      </c>
      <c r="DR18" s="644">
        <f t="shared" si="119"/>
        <v>0</v>
      </c>
      <c r="DS18" s="644">
        <f t="shared" si="9"/>
        <v>0</v>
      </c>
      <c r="DT18" s="644">
        <f t="shared" si="9"/>
        <v>0</v>
      </c>
      <c r="DU18" s="644">
        <f t="shared" si="9"/>
        <v>0</v>
      </c>
      <c r="DV18" s="644">
        <f t="shared" si="9"/>
        <v>0</v>
      </c>
      <c r="DW18" s="644">
        <f t="shared" si="9"/>
        <v>0</v>
      </c>
    </row>
    <row r="19" spans="1:127" ht="15">
      <c r="A19" s="1046" t="str">
        <f>'Equipment '!A22</f>
        <v>17-Sep-26</v>
      </c>
      <c r="B19" s="644">
        <f t="shared" si="0"/>
        <v>98828.664106000011</v>
      </c>
      <c r="C19" s="644">
        <f t="shared" si="10"/>
        <v>39.0128571428572</v>
      </c>
      <c r="D19" s="644">
        <f t="shared" si="11"/>
        <v>19.8028571428571</v>
      </c>
      <c r="E19" s="644">
        <f t="shared" si="12"/>
        <v>7.3742857142857092</v>
      </c>
      <c r="F19" s="644">
        <f t="shared" si="13"/>
        <v>0.13999999999999999</v>
      </c>
      <c r="G19" s="644">
        <f t="shared" si="14"/>
        <v>4906.7583999999997</v>
      </c>
      <c r="H19" s="644">
        <f t="shared" si="66"/>
        <v>3731.4194102818005</v>
      </c>
      <c r="I19" s="644">
        <f t="shared" si="67"/>
        <v>98828.664106000011</v>
      </c>
      <c r="J19" s="644">
        <f t="shared" si="68"/>
        <v>39.0128571428572</v>
      </c>
      <c r="K19" s="644">
        <f t="shared" si="69"/>
        <v>19.8028571428571</v>
      </c>
      <c r="L19" s="644">
        <f t="shared" si="70"/>
        <v>7.3742857142857092</v>
      </c>
      <c r="M19" s="644">
        <f t="shared" si="71"/>
        <v>0.13999999999999999</v>
      </c>
      <c r="N19" s="644">
        <f t="shared" si="72"/>
        <v>4906.7583999999997</v>
      </c>
      <c r="O19" s="644">
        <f t="shared" si="73"/>
        <v>3731.4194102818005</v>
      </c>
      <c r="P19" s="644">
        <f>Actual!AV65</f>
        <v>0</v>
      </c>
      <c r="Q19" s="1130">
        <f t="shared" ref="Q19:V19" si="140">Q18</f>
        <v>39.259692868249303</v>
      </c>
      <c r="R19" s="1130">
        <f t="shared" si="140"/>
        <v>22.233939419516801</v>
      </c>
      <c r="S19" s="1130">
        <f t="shared" si="140"/>
        <v>5.1624683361673904</v>
      </c>
      <c r="T19" s="1130">
        <f t="shared" si="140"/>
        <v>0.16306692045557394</v>
      </c>
      <c r="U19" s="1130">
        <f t="shared" si="140"/>
        <v>4982.7757437603759</v>
      </c>
      <c r="V19" s="1130">
        <f t="shared" si="140"/>
        <v>3891.8691108367598</v>
      </c>
      <c r="W19" s="644">
        <f t="shared" si="17"/>
        <v>0</v>
      </c>
      <c r="X19" s="1131">
        <f t="shared" si="18"/>
        <v>0</v>
      </c>
      <c r="Y19" s="1132">
        <f t="shared" si="19"/>
        <v>0</v>
      </c>
      <c r="Z19" s="1132">
        <f t="shared" si="20"/>
        <v>0</v>
      </c>
      <c r="AA19" s="1132">
        <f t="shared" si="21"/>
        <v>0</v>
      </c>
      <c r="AB19" s="1132">
        <f t="shared" si="22"/>
        <v>0</v>
      </c>
      <c r="AC19" s="1132">
        <f t="shared" si="23"/>
        <v>0</v>
      </c>
      <c r="AD19" s="644">
        <f t="shared" si="75"/>
        <v>0</v>
      </c>
      <c r="AE19" s="644">
        <f t="shared" si="76"/>
        <v>0</v>
      </c>
      <c r="AF19" s="644">
        <f t="shared" si="77"/>
        <v>0</v>
      </c>
      <c r="AG19" s="644">
        <f t="shared" si="78"/>
        <v>0</v>
      </c>
      <c r="AH19" s="644">
        <f t="shared" si="79"/>
        <v>0</v>
      </c>
      <c r="AI19" s="1132">
        <f t="shared" si="80"/>
        <v>0</v>
      </c>
      <c r="AJ19" s="1132">
        <f t="shared" si="81"/>
        <v>0</v>
      </c>
      <c r="AK19" s="362">
        <f>Actual!AU65</f>
        <v>0</v>
      </c>
      <c r="AL19" s="644">
        <f t="shared" si="82"/>
        <v>39.450000000000003</v>
      </c>
      <c r="AM19" s="644">
        <f t="shared" si="83"/>
        <v>17.2</v>
      </c>
      <c r="AN19" s="644">
        <f t="shared" si="84"/>
        <v>13.18</v>
      </c>
      <c r="AO19" s="644">
        <f t="shared" si="85"/>
        <v>0.13</v>
      </c>
      <c r="AP19" s="644">
        <f t="shared" si="121"/>
        <v>4789</v>
      </c>
      <c r="AQ19" s="644">
        <f t="shared" si="86"/>
        <v>3502.1008454106282</v>
      </c>
      <c r="AR19" s="644">
        <f t="shared" si="26"/>
        <v>2697.3303620000002</v>
      </c>
      <c r="AS19" s="1132">
        <f t="shared" si="87"/>
        <v>39.54</v>
      </c>
      <c r="AT19" s="1132">
        <f t="shared" si="27"/>
        <v>22.28</v>
      </c>
      <c r="AU19" s="1132">
        <f t="shared" si="28"/>
        <v>8.8800000000000008</v>
      </c>
      <c r="AV19" s="1132">
        <f t="shared" si="29"/>
        <v>0.1</v>
      </c>
      <c r="AW19" s="1132">
        <f t="shared" si="30"/>
        <v>4728</v>
      </c>
      <c r="AX19" s="1132">
        <f t="shared" si="31"/>
        <v>3678.0092640247044</v>
      </c>
      <c r="AY19" s="644">
        <f t="shared" si="88"/>
        <v>2697.3303620000002</v>
      </c>
      <c r="AZ19" s="644">
        <f t="shared" si="89"/>
        <v>39.54</v>
      </c>
      <c r="BA19" s="644">
        <f t="shared" si="90"/>
        <v>22.28</v>
      </c>
      <c r="BB19" s="644">
        <f t="shared" si="91"/>
        <v>8.8800000000000008</v>
      </c>
      <c r="BC19" s="644">
        <f t="shared" si="92"/>
        <v>0.1</v>
      </c>
      <c r="BD19" s="644">
        <f t="shared" si="93"/>
        <v>4728</v>
      </c>
      <c r="BE19" s="644">
        <f t="shared" si="94"/>
        <v>3678.0092640247044</v>
      </c>
      <c r="BF19" s="405">
        <f>Actual!AW65</f>
        <v>0</v>
      </c>
      <c r="BG19" s="1129">
        <f t="shared" si="95"/>
        <v>38.758693568593003</v>
      </c>
      <c r="BH19" s="1129">
        <f t="shared" si="95"/>
        <v>24.565816766115823</v>
      </c>
      <c r="BI19" s="1129">
        <f t="shared" si="95"/>
        <v>6.9297573448338197</v>
      </c>
      <c r="BJ19" s="1129">
        <f t="shared" si="95"/>
        <v>0.18280031980514408</v>
      </c>
      <c r="BK19" s="1129">
        <f t="shared" si="95"/>
        <v>4389.8195426817128</v>
      </c>
      <c r="BL19" s="1129">
        <f t="shared" si="95"/>
        <v>3745.45548895927</v>
      </c>
      <c r="BM19" s="644">
        <f t="shared" si="3"/>
        <v>0</v>
      </c>
      <c r="BN19" s="1132">
        <f t="shared" si="34"/>
        <v>0</v>
      </c>
      <c r="BO19" s="1132">
        <f t="shared" si="35"/>
        <v>0</v>
      </c>
      <c r="BP19" s="1132">
        <f t="shared" si="36"/>
        <v>0</v>
      </c>
      <c r="BQ19" s="1132">
        <f t="shared" si="37"/>
        <v>0</v>
      </c>
      <c r="BR19" s="1132">
        <f t="shared" si="38"/>
        <v>0</v>
      </c>
      <c r="BS19" s="1132">
        <f t="shared" si="39"/>
        <v>0</v>
      </c>
      <c r="BT19" s="644">
        <f t="shared" si="96"/>
        <v>0</v>
      </c>
      <c r="BU19" s="644">
        <f t="shared" si="97"/>
        <v>0</v>
      </c>
      <c r="BV19" s="644">
        <f t="shared" si="98"/>
        <v>0</v>
      </c>
      <c r="BW19" s="644">
        <f t="shared" si="99"/>
        <v>0</v>
      </c>
      <c r="BX19" s="644">
        <f t="shared" si="100"/>
        <v>0</v>
      </c>
      <c r="BY19" s="644">
        <f t="shared" si="101"/>
        <v>0</v>
      </c>
      <c r="BZ19" s="644">
        <f t="shared" si="102"/>
        <v>0</v>
      </c>
      <c r="CA19" s="362">
        <f>Actual!AY65</f>
        <v>0</v>
      </c>
      <c r="CB19" s="644">
        <f t="shared" si="41"/>
        <v>0</v>
      </c>
      <c r="CC19" s="644">
        <f t="shared" si="42"/>
        <v>0</v>
      </c>
      <c r="CD19" s="644">
        <f t="shared" si="43"/>
        <v>0</v>
      </c>
      <c r="CE19" s="644">
        <f t="shared" si="44"/>
        <v>0</v>
      </c>
      <c r="CF19" s="644">
        <f t="shared" si="45"/>
        <v>0</v>
      </c>
      <c r="CG19" s="644">
        <f t="shared" si="46"/>
        <v>0</v>
      </c>
      <c r="CH19" s="1132">
        <f t="shared" si="6"/>
        <v>0</v>
      </c>
      <c r="CI19" s="1132">
        <f t="shared" si="47"/>
        <v>0</v>
      </c>
      <c r="CJ19" s="1132">
        <f t="shared" si="48"/>
        <v>0</v>
      </c>
      <c r="CK19" s="1132">
        <f t="shared" si="49"/>
        <v>0</v>
      </c>
      <c r="CL19" s="1132">
        <f t="shared" si="50"/>
        <v>0</v>
      </c>
      <c r="CM19" s="1132">
        <f t="shared" si="51"/>
        <v>0</v>
      </c>
      <c r="CN19" s="1132">
        <f t="shared" si="52"/>
        <v>0</v>
      </c>
      <c r="CO19" s="1132">
        <f t="shared" si="103"/>
        <v>0</v>
      </c>
      <c r="CP19" s="644">
        <f t="shared" si="127"/>
        <v>0</v>
      </c>
      <c r="CQ19" s="644">
        <f t="shared" si="128"/>
        <v>0</v>
      </c>
      <c r="CR19" s="644">
        <f t="shared" si="129"/>
        <v>0</v>
      </c>
      <c r="CS19" s="644">
        <f t="shared" si="130"/>
        <v>0</v>
      </c>
      <c r="CT19" s="644">
        <f t="shared" si="131"/>
        <v>0</v>
      </c>
      <c r="CU19" s="644">
        <f t="shared" si="132"/>
        <v>0</v>
      </c>
      <c r="CV19" s="362">
        <f>Actual!AX65</f>
        <v>0</v>
      </c>
      <c r="CW19" s="644">
        <f t="shared" si="54"/>
        <v>0</v>
      </c>
      <c r="CX19" s="644">
        <f t="shared" si="55"/>
        <v>0</v>
      </c>
      <c r="CY19" s="644">
        <f t="shared" si="56"/>
        <v>0</v>
      </c>
      <c r="CZ19" s="644">
        <f t="shared" si="57"/>
        <v>0</v>
      </c>
      <c r="DA19" s="644">
        <f t="shared" si="58"/>
        <v>0</v>
      </c>
      <c r="DB19" s="644">
        <f t="shared" si="59"/>
        <v>0</v>
      </c>
      <c r="DC19" s="644">
        <f t="shared" si="110"/>
        <v>56651.176224000003</v>
      </c>
      <c r="DD19" s="1132">
        <f t="shared" si="111"/>
        <v>38.944000000000003</v>
      </c>
      <c r="DE19" s="1132">
        <f t="shared" si="60"/>
        <v>20.835999999999999</v>
      </c>
      <c r="DF19" s="1132">
        <f t="shared" si="61"/>
        <v>8.9700000000000006</v>
      </c>
      <c r="DG19" s="1132">
        <f t="shared" si="62"/>
        <v>0.16800000000000001</v>
      </c>
      <c r="DH19" s="1132">
        <f t="shared" si="63"/>
        <v>4728</v>
      </c>
      <c r="DI19" s="1132">
        <f t="shared" si="64"/>
        <v>3646.5156889495224</v>
      </c>
      <c r="DJ19" s="644">
        <f t="shared" si="112"/>
        <v>56651.176224000003</v>
      </c>
      <c r="DK19" s="644">
        <f t="shared" si="113"/>
        <v>38.944000000000003</v>
      </c>
      <c r="DL19" s="644">
        <f t="shared" si="114"/>
        <v>20.835999999999999</v>
      </c>
      <c r="DM19" s="644">
        <f t="shared" si="115"/>
        <v>8.9700000000000006</v>
      </c>
      <c r="DN19" s="644">
        <f t="shared" si="116"/>
        <v>0.16800000000000001</v>
      </c>
      <c r="DO19" s="1132">
        <f t="shared" si="117"/>
        <v>4728</v>
      </c>
      <c r="DP19" s="1132">
        <f t="shared" si="118"/>
        <v>3646.5156889495224</v>
      </c>
      <c r="DQ19" s="362">
        <f>Actual!AZ65</f>
        <v>0</v>
      </c>
      <c r="DR19" s="644">
        <f t="shared" si="119"/>
        <v>0</v>
      </c>
      <c r="DS19" s="644">
        <f t="shared" si="119"/>
        <v>0</v>
      </c>
      <c r="DT19" s="644">
        <f t="shared" si="119"/>
        <v>0</v>
      </c>
      <c r="DU19" s="644">
        <f t="shared" si="119"/>
        <v>0</v>
      </c>
      <c r="DV19" s="644">
        <f t="shared" si="119"/>
        <v>0</v>
      </c>
      <c r="DW19" s="644">
        <f t="shared" si="119"/>
        <v>0</v>
      </c>
    </row>
    <row r="20" spans="1:127" ht="15">
      <c r="A20" s="1046" t="str">
        <f>'Equipment '!A23</f>
        <v>18-Sep-26</v>
      </c>
      <c r="B20" s="644">
        <f t="shared" si="0"/>
        <v>98828.664106000011</v>
      </c>
      <c r="C20" s="644">
        <f t="shared" si="10"/>
        <v>39.0128571428572</v>
      </c>
      <c r="D20" s="644">
        <f t="shared" si="11"/>
        <v>19.8028571428571</v>
      </c>
      <c r="E20" s="644">
        <f t="shared" si="12"/>
        <v>7.3742857142857092</v>
      </c>
      <c r="F20" s="644">
        <f t="shared" si="13"/>
        <v>0.13999999999999999</v>
      </c>
      <c r="G20" s="644">
        <f t="shared" si="14"/>
        <v>4906.7583999999997</v>
      </c>
      <c r="H20" s="644">
        <f t="shared" si="66"/>
        <v>3731.4194102818005</v>
      </c>
      <c r="I20" s="644">
        <f t="shared" si="67"/>
        <v>98828.664106000011</v>
      </c>
      <c r="J20" s="644">
        <f t="shared" si="68"/>
        <v>39.0128571428572</v>
      </c>
      <c r="K20" s="644">
        <f t="shared" si="69"/>
        <v>19.8028571428571</v>
      </c>
      <c r="L20" s="644">
        <f t="shared" si="70"/>
        <v>7.3742857142857092</v>
      </c>
      <c r="M20" s="644">
        <f t="shared" si="71"/>
        <v>0.13999999999999999</v>
      </c>
      <c r="N20" s="644">
        <f t="shared" si="72"/>
        <v>4906.7583999999997</v>
      </c>
      <c r="O20" s="644">
        <f t="shared" si="73"/>
        <v>3731.4194102818005</v>
      </c>
      <c r="P20" s="644">
        <f>Actual!AV66</f>
        <v>0</v>
      </c>
      <c r="Q20" s="1130">
        <f t="shared" ref="Q20:V20" si="141">Q19</f>
        <v>39.259692868249303</v>
      </c>
      <c r="R20" s="1130">
        <f t="shared" si="141"/>
        <v>22.233939419516801</v>
      </c>
      <c r="S20" s="1130">
        <f t="shared" si="141"/>
        <v>5.1624683361673904</v>
      </c>
      <c r="T20" s="1130">
        <f t="shared" si="141"/>
        <v>0.16306692045557394</v>
      </c>
      <c r="U20" s="1130">
        <f t="shared" si="141"/>
        <v>4982.7757437603759</v>
      </c>
      <c r="V20" s="1130">
        <f t="shared" si="141"/>
        <v>3891.8691108367598</v>
      </c>
      <c r="W20" s="644">
        <f t="shared" si="17"/>
        <v>0</v>
      </c>
      <c r="X20" s="1131">
        <f t="shared" si="18"/>
        <v>0</v>
      </c>
      <c r="Y20" s="1132">
        <f t="shared" si="19"/>
        <v>0</v>
      </c>
      <c r="Z20" s="1132">
        <f t="shared" si="20"/>
        <v>0</v>
      </c>
      <c r="AA20" s="1132">
        <f t="shared" si="21"/>
        <v>0</v>
      </c>
      <c r="AB20" s="1132">
        <f t="shared" si="22"/>
        <v>0</v>
      </c>
      <c r="AC20" s="1132">
        <f t="shared" si="23"/>
        <v>0</v>
      </c>
      <c r="AD20" s="644">
        <f t="shared" si="75"/>
        <v>0</v>
      </c>
      <c r="AE20" s="644">
        <f t="shared" si="76"/>
        <v>0</v>
      </c>
      <c r="AF20" s="644">
        <f t="shared" si="77"/>
        <v>0</v>
      </c>
      <c r="AG20" s="644">
        <f t="shared" si="78"/>
        <v>0</v>
      </c>
      <c r="AH20" s="644">
        <f t="shared" si="79"/>
        <v>0</v>
      </c>
      <c r="AI20" s="1132">
        <f t="shared" si="80"/>
        <v>0</v>
      </c>
      <c r="AJ20" s="1132">
        <f t="shared" si="81"/>
        <v>0</v>
      </c>
      <c r="AK20" s="362">
        <f>Actual!AU66</f>
        <v>0</v>
      </c>
      <c r="AL20" s="644">
        <f t="shared" si="82"/>
        <v>39.450000000000003</v>
      </c>
      <c r="AM20" s="644">
        <f t="shared" si="83"/>
        <v>17.2</v>
      </c>
      <c r="AN20" s="644">
        <f t="shared" si="84"/>
        <v>13.18</v>
      </c>
      <c r="AO20" s="644">
        <f t="shared" si="85"/>
        <v>0.13</v>
      </c>
      <c r="AP20" s="644">
        <f t="shared" si="121"/>
        <v>4789</v>
      </c>
      <c r="AQ20" s="644">
        <f t="shared" si="86"/>
        <v>3502.1008454106282</v>
      </c>
      <c r="AR20" s="644">
        <f t="shared" si="26"/>
        <v>2697.3303620000002</v>
      </c>
      <c r="AS20" s="1132">
        <f t="shared" si="87"/>
        <v>39.54</v>
      </c>
      <c r="AT20" s="1132">
        <f t="shared" si="27"/>
        <v>22.28</v>
      </c>
      <c r="AU20" s="1132">
        <f t="shared" si="28"/>
        <v>8.8800000000000008</v>
      </c>
      <c r="AV20" s="1132">
        <f t="shared" si="29"/>
        <v>0.1</v>
      </c>
      <c r="AW20" s="1132">
        <f t="shared" si="30"/>
        <v>4728</v>
      </c>
      <c r="AX20" s="1132">
        <f t="shared" si="31"/>
        <v>3678.0092640247044</v>
      </c>
      <c r="AY20" s="644">
        <f t="shared" si="88"/>
        <v>2697.3303620000002</v>
      </c>
      <c r="AZ20" s="644">
        <f t="shared" si="89"/>
        <v>39.54</v>
      </c>
      <c r="BA20" s="644">
        <f t="shared" si="90"/>
        <v>22.28</v>
      </c>
      <c r="BB20" s="644">
        <f t="shared" si="91"/>
        <v>8.8800000000000008</v>
      </c>
      <c r="BC20" s="644">
        <f t="shared" si="92"/>
        <v>0.1</v>
      </c>
      <c r="BD20" s="644">
        <f t="shared" si="93"/>
        <v>4728</v>
      </c>
      <c r="BE20" s="644">
        <f t="shared" si="94"/>
        <v>3678.0092640247044</v>
      </c>
      <c r="BF20" s="405">
        <f>Actual!AW66</f>
        <v>0</v>
      </c>
      <c r="BG20" s="1129">
        <f t="shared" si="95"/>
        <v>38.758693568593003</v>
      </c>
      <c r="BH20" s="1129">
        <f t="shared" si="95"/>
        <v>24.565816766115823</v>
      </c>
      <c r="BI20" s="1129">
        <f t="shared" si="95"/>
        <v>6.9297573448338197</v>
      </c>
      <c r="BJ20" s="1129">
        <f t="shared" si="95"/>
        <v>0.18280031980514408</v>
      </c>
      <c r="BK20" s="1129">
        <f t="shared" si="95"/>
        <v>4389.8195426817128</v>
      </c>
      <c r="BL20" s="1129">
        <f t="shared" si="95"/>
        <v>3745.45548895927</v>
      </c>
      <c r="BM20" s="644">
        <f t="shared" si="3"/>
        <v>0</v>
      </c>
      <c r="BN20" s="1132">
        <f t="shared" si="34"/>
        <v>0</v>
      </c>
      <c r="BO20" s="1132">
        <f t="shared" si="35"/>
        <v>0</v>
      </c>
      <c r="BP20" s="1132">
        <f t="shared" si="36"/>
        <v>0</v>
      </c>
      <c r="BQ20" s="1132">
        <f t="shared" si="37"/>
        <v>0</v>
      </c>
      <c r="BR20" s="1132">
        <f t="shared" si="38"/>
        <v>0</v>
      </c>
      <c r="BS20" s="1132">
        <f t="shared" si="39"/>
        <v>0</v>
      </c>
      <c r="BT20" s="644">
        <f t="shared" si="96"/>
        <v>0</v>
      </c>
      <c r="BU20" s="644">
        <f t="shared" si="97"/>
        <v>0</v>
      </c>
      <c r="BV20" s="644">
        <f t="shared" si="98"/>
        <v>0</v>
      </c>
      <c r="BW20" s="644">
        <f t="shared" si="99"/>
        <v>0</v>
      </c>
      <c r="BX20" s="644">
        <f t="shared" si="100"/>
        <v>0</v>
      </c>
      <c r="BY20" s="644">
        <f t="shared" si="101"/>
        <v>0</v>
      </c>
      <c r="BZ20" s="644">
        <f t="shared" si="102"/>
        <v>0</v>
      </c>
      <c r="CA20" s="362">
        <f>Actual!AY66</f>
        <v>0</v>
      </c>
      <c r="CB20" s="644">
        <f t="shared" si="41"/>
        <v>0</v>
      </c>
      <c r="CC20" s="644">
        <f t="shared" si="42"/>
        <v>0</v>
      </c>
      <c r="CD20" s="644">
        <f t="shared" si="43"/>
        <v>0</v>
      </c>
      <c r="CE20" s="644">
        <f t="shared" si="44"/>
        <v>0</v>
      </c>
      <c r="CF20" s="644">
        <f t="shared" si="45"/>
        <v>0</v>
      </c>
      <c r="CG20" s="644">
        <f t="shared" si="46"/>
        <v>0</v>
      </c>
      <c r="CH20" s="1132">
        <f t="shared" si="6"/>
        <v>0</v>
      </c>
      <c r="CI20" s="1132">
        <f t="shared" si="47"/>
        <v>0</v>
      </c>
      <c r="CJ20" s="1132">
        <f t="shared" si="48"/>
        <v>0</v>
      </c>
      <c r="CK20" s="1132">
        <f t="shared" si="49"/>
        <v>0</v>
      </c>
      <c r="CL20" s="1132">
        <f t="shared" si="50"/>
        <v>0</v>
      </c>
      <c r="CM20" s="1132">
        <f t="shared" si="51"/>
        <v>0</v>
      </c>
      <c r="CN20" s="1132">
        <f t="shared" si="52"/>
        <v>0</v>
      </c>
      <c r="CO20" s="1132">
        <f t="shared" si="103"/>
        <v>0</v>
      </c>
      <c r="CP20" s="644">
        <f t="shared" si="127"/>
        <v>0</v>
      </c>
      <c r="CQ20" s="644">
        <f t="shared" si="128"/>
        <v>0</v>
      </c>
      <c r="CR20" s="644">
        <f t="shared" si="129"/>
        <v>0</v>
      </c>
      <c r="CS20" s="644">
        <f t="shared" si="130"/>
        <v>0</v>
      </c>
      <c r="CT20" s="644">
        <f t="shared" si="131"/>
        <v>0</v>
      </c>
      <c r="CU20" s="644">
        <f t="shared" si="132"/>
        <v>0</v>
      </c>
      <c r="CV20" s="362">
        <f>Actual!AX66</f>
        <v>0</v>
      </c>
      <c r="CW20" s="644">
        <f t="shared" si="54"/>
        <v>0</v>
      </c>
      <c r="CX20" s="644">
        <f t="shared" si="55"/>
        <v>0</v>
      </c>
      <c r="CY20" s="644">
        <f t="shared" si="56"/>
        <v>0</v>
      </c>
      <c r="CZ20" s="644">
        <f t="shared" si="57"/>
        <v>0</v>
      </c>
      <c r="DA20" s="644">
        <f t="shared" si="58"/>
        <v>0</v>
      </c>
      <c r="DB20" s="644">
        <f t="shared" si="59"/>
        <v>0</v>
      </c>
      <c r="DC20" s="644">
        <f t="shared" si="110"/>
        <v>56651.176224000003</v>
      </c>
      <c r="DD20" s="1132">
        <f t="shared" si="111"/>
        <v>38.944000000000003</v>
      </c>
      <c r="DE20" s="1132">
        <f t="shared" si="60"/>
        <v>20.835999999999999</v>
      </c>
      <c r="DF20" s="1132">
        <f t="shared" si="61"/>
        <v>8.9700000000000006</v>
      </c>
      <c r="DG20" s="1132">
        <f t="shared" si="62"/>
        <v>0.16800000000000001</v>
      </c>
      <c r="DH20" s="1132">
        <f t="shared" si="63"/>
        <v>4728</v>
      </c>
      <c r="DI20" s="1132">
        <f t="shared" si="64"/>
        <v>3646.5156889495224</v>
      </c>
      <c r="DJ20" s="644">
        <f t="shared" si="112"/>
        <v>56651.176224000003</v>
      </c>
      <c r="DK20" s="644">
        <f t="shared" si="113"/>
        <v>38.944000000000003</v>
      </c>
      <c r="DL20" s="644">
        <f t="shared" si="114"/>
        <v>20.835999999999999</v>
      </c>
      <c r="DM20" s="644">
        <f t="shared" si="115"/>
        <v>8.9700000000000006</v>
      </c>
      <c r="DN20" s="644">
        <f t="shared" si="116"/>
        <v>0.16800000000000001</v>
      </c>
      <c r="DO20" s="1132">
        <f t="shared" si="117"/>
        <v>4728</v>
      </c>
      <c r="DP20" s="1132">
        <f t="shared" si="118"/>
        <v>3646.5156889495224</v>
      </c>
      <c r="DQ20" s="362">
        <f>Actual!AZ66</f>
        <v>0</v>
      </c>
      <c r="DR20" s="644">
        <f t="shared" si="119"/>
        <v>0</v>
      </c>
      <c r="DS20" s="644">
        <f t="shared" si="119"/>
        <v>0</v>
      </c>
      <c r="DT20" s="644">
        <f t="shared" si="119"/>
        <v>0</v>
      </c>
      <c r="DU20" s="644">
        <f t="shared" si="119"/>
        <v>0</v>
      </c>
      <c r="DV20" s="644">
        <f t="shared" si="119"/>
        <v>0</v>
      </c>
      <c r="DW20" s="644">
        <f t="shared" si="119"/>
        <v>0</v>
      </c>
    </row>
    <row r="21" spans="1:127" ht="15">
      <c r="A21" s="1046" t="str">
        <f>'Equipment '!A24</f>
        <v>19-Sep-26</v>
      </c>
      <c r="B21" s="644">
        <f t="shared" si="0"/>
        <v>98828.664106000011</v>
      </c>
      <c r="C21" s="644">
        <f t="shared" si="10"/>
        <v>39.0128571428572</v>
      </c>
      <c r="D21" s="644">
        <f t="shared" si="11"/>
        <v>19.8028571428571</v>
      </c>
      <c r="E21" s="644">
        <f t="shared" si="12"/>
        <v>7.3742857142857092</v>
      </c>
      <c r="F21" s="644">
        <f t="shared" si="13"/>
        <v>0.13999999999999999</v>
      </c>
      <c r="G21" s="644">
        <f t="shared" si="14"/>
        <v>4906.7583999999997</v>
      </c>
      <c r="H21" s="644">
        <f t="shared" si="66"/>
        <v>3731.4194102818005</v>
      </c>
      <c r="I21" s="644">
        <f t="shared" si="67"/>
        <v>98828.664106000011</v>
      </c>
      <c r="J21" s="644">
        <f t="shared" si="68"/>
        <v>39.0128571428572</v>
      </c>
      <c r="K21" s="644">
        <f t="shared" si="69"/>
        <v>19.8028571428571</v>
      </c>
      <c r="L21" s="644">
        <f t="shared" si="70"/>
        <v>7.3742857142857092</v>
      </c>
      <c r="M21" s="644">
        <f t="shared" si="71"/>
        <v>0.13999999999999999</v>
      </c>
      <c r="N21" s="644">
        <f t="shared" si="72"/>
        <v>4906.7583999999997</v>
      </c>
      <c r="O21" s="644">
        <f t="shared" si="73"/>
        <v>3731.4194102818005</v>
      </c>
      <c r="P21" s="644">
        <f>Actual!AV67</f>
        <v>0</v>
      </c>
      <c r="Q21" s="1130">
        <f t="shared" ref="Q21:V21" si="142">Q20</f>
        <v>39.259692868249303</v>
      </c>
      <c r="R21" s="1130">
        <f t="shared" si="142"/>
        <v>22.233939419516801</v>
      </c>
      <c r="S21" s="1130">
        <f t="shared" si="142"/>
        <v>5.1624683361673904</v>
      </c>
      <c r="T21" s="1130">
        <f t="shared" si="142"/>
        <v>0.16306692045557394</v>
      </c>
      <c r="U21" s="1130">
        <f t="shared" si="142"/>
        <v>4982.7757437603759</v>
      </c>
      <c r="V21" s="1130">
        <f t="shared" si="142"/>
        <v>3891.8691108367598</v>
      </c>
      <c r="W21" s="644">
        <f t="shared" si="17"/>
        <v>0</v>
      </c>
      <c r="X21" s="1131">
        <f t="shared" si="18"/>
        <v>0</v>
      </c>
      <c r="Y21" s="1132">
        <f t="shared" si="19"/>
        <v>0</v>
      </c>
      <c r="Z21" s="1132">
        <f t="shared" si="20"/>
        <v>0</v>
      </c>
      <c r="AA21" s="1132">
        <f t="shared" si="21"/>
        <v>0</v>
      </c>
      <c r="AB21" s="1132">
        <f t="shared" si="22"/>
        <v>0</v>
      </c>
      <c r="AC21" s="1132">
        <f t="shared" si="23"/>
        <v>0</v>
      </c>
      <c r="AD21" s="644">
        <f t="shared" si="75"/>
        <v>0</v>
      </c>
      <c r="AE21" s="644">
        <f t="shared" si="76"/>
        <v>0</v>
      </c>
      <c r="AF21" s="644">
        <f t="shared" si="77"/>
        <v>0</v>
      </c>
      <c r="AG21" s="644">
        <f t="shared" si="78"/>
        <v>0</v>
      </c>
      <c r="AH21" s="644">
        <f t="shared" si="79"/>
        <v>0</v>
      </c>
      <c r="AI21" s="1132">
        <f t="shared" si="80"/>
        <v>0</v>
      </c>
      <c r="AJ21" s="1132">
        <f t="shared" si="81"/>
        <v>0</v>
      </c>
      <c r="AK21" s="362">
        <f>Actual!AU67</f>
        <v>0</v>
      </c>
      <c r="AL21" s="644">
        <f t="shared" si="82"/>
        <v>39.450000000000003</v>
      </c>
      <c r="AM21" s="644">
        <f t="shared" si="83"/>
        <v>17.2</v>
      </c>
      <c r="AN21" s="644">
        <f t="shared" si="84"/>
        <v>13.18</v>
      </c>
      <c r="AO21" s="644">
        <f t="shared" si="85"/>
        <v>0.13</v>
      </c>
      <c r="AP21" s="644">
        <f t="shared" si="121"/>
        <v>4789</v>
      </c>
      <c r="AQ21" s="644">
        <f t="shared" si="86"/>
        <v>3502.1008454106282</v>
      </c>
      <c r="AR21" s="644">
        <f t="shared" si="26"/>
        <v>2697.3303620000002</v>
      </c>
      <c r="AS21" s="1132">
        <f t="shared" si="87"/>
        <v>39.54</v>
      </c>
      <c r="AT21" s="1132">
        <f t="shared" si="27"/>
        <v>22.28</v>
      </c>
      <c r="AU21" s="1132">
        <f t="shared" si="28"/>
        <v>8.8800000000000008</v>
      </c>
      <c r="AV21" s="1132">
        <f t="shared" si="29"/>
        <v>0.1</v>
      </c>
      <c r="AW21" s="1132">
        <f t="shared" si="30"/>
        <v>4728</v>
      </c>
      <c r="AX21" s="1132">
        <f t="shared" si="31"/>
        <v>3678.0092640247044</v>
      </c>
      <c r="AY21" s="644">
        <f t="shared" si="88"/>
        <v>2697.3303620000002</v>
      </c>
      <c r="AZ21" s="644">
        <f t="shared" si="89"/>
        <v>39.54</v>
      </c>
      <c r="BA21" s="644">
        <f t="shared" si="90"/>
        <v>22.28</v>
      </c>
      <c r="BB21" s="644">
        <f t="shared" si="91"/>
        <v>8.8800000000000008</v>
      </c>
      <c r="BC21" s="644">
        <f t="shared" si="92"/>
        <v>0.1</v>
      </c>
      <c r="BD21" s="644">
        <f t="shared" si="93"/>
        <v>4728</v>
      </c>
      <c r="BE21" s="644">
        <f t="shared" si="94"/>
        <v>3678.0092640247044</v>
      </c>
      <c r="BF21" s="405">
        <f>Actual!AW67</f>
        <v>0</v>
      </c>
      <c r="BG21" s="1129">
        <f t="shared" si="95"/>
        <v>38.758693568593003</v>
      </c>
      <c r="BH21" s="1129">
        <f t="shared" si="95"/>
        <v>24.565816766115823</v>
      </c>
      <c r="BI21" s="1129">
        <f t="shared" si="95"/>
        <v>6.9297573448338197</v>
      </c>
      <c r="BJ21" s="1129">
        <f t="shared" si="95"/>
        <v>0.18280031980514408</v>
      </c>
      <c r="BK21" s="1129">
        <f t="shared" si="95"/>
        <v>4389.8195426817128</v>
      </c>
      <c r="BL21" s="1129">
        <f t="shared" si="95"/>
        <v>3745.45548895927</v>
      </c>
      <c r="BM21" s="644">
        <f t="shared" si="3"/>
        <v>0</v>
      </c>
      <c r="BN21" s="1132">
        <f t="shared" si="34"/>
        <v>0</v>
      </c>
      <c r="BO21" s="1132">
        <f t="shared" si="35"/>
        <v>0</v>
      </c>
      <c r="BP21" s="1132">
        <f t="shared" si="36"/>
        <v>0</v>
      </c>
      <c r="BQ21" s="1132">
        <f t="shared" si="37"/>
        <v>0</v>
      </c>
      <c r="BR21" s="1132">
        <f t="shared" si="38"/>
        <v>0</v>
      </c>
      <c r="BS21" s="1132">
        <f t="shared" si="39"/>
        <v>0</v>
      </c>
      <c r="BT21" s="644">
        <f t="shared" si="96"/>
        <v>0</v>
      </c>
      <c r="BU21" s="644">
        <f t="shared" si="97"/>
        <v>0</v>
      </c>
      <c r="BV21" s="644">
        <f t="shared" si="98"/>
        <v>0</v>
      </c>
      <c r="BW21" s="644">
        <f t="shared" si="99"/>
        <v>0</v>
      </c>
      <c r="BX21" s="644">
        <f t="shared" si="100"/>
        <v>0</v>
      </c>
      <c r="BY21" s="644">
        <f t="shared" si="101"/>
        <v>0</v>
      </c>
      <c r="BZ21" s="644">
        <f t="shared" si="102"/>
        <v>0</v>
      </c>
      <c r="CA21" s="362">
        <f>Actual!AY67</f>
        <v>0</v>
      </c>
      <c r="CB21" s="644">
        <f t="shared" si="41"/>
        <v>0</v>
      </c>
      <c r="CC21" s="644">
        <f t="shared" si="42"/>
        <v>0</v>
      </c>
      <c r="CD21" s="644">
        <f t="shared" si="43"/>
        <v>0</v>
      </c>
      <c r="CE21" s="644">
        <f t="shared" si="44"/>
        <v>0</v>
      </c>
      <c r="CF21" s="644">
        <f t="shared" si="45"/>
        <v>0</v>
      </c>
      <c r="CG21" s="644">
        <f t="shared" si="46"/>
        <v>0</v>
      </c>
      <c r="CH21" s="1132">
        <f t="shared" si="6"/>
        <v>0</v>
      </c>
      <c r="CI21" s="1132">
        <f t="shared" si="47"/>
        <v>0</v>
      </c>
      <c r="CJ21" s="1132">
        <f t="shared" si="48"/>
        <v>0</v>
      </c>
      <c r="CK21" s="1132">
        <f t="shared" si="49"/>
        <v>0</v>
      </c>
      <c r="CL21" s="1132">
        <f t="shared" si="50"/>
        <v>0</v>
      </c>
      <c r="CM21" s="1132">
        <f t="shared" si="51"/>
        <v>0</v>
      </c>
      <c r="CN21" s="1132">
        <f t="shared" si="52"/>
        <v>0</v>
      </c>
      <c r="CO21" s="1132">
        <f t="shared" si="103"/>
        <v>0</v>
      </c>
      <c r="CP21" s="644">
        <f t="shared" si="127"/>
        <v>0</v>
      </c>
      <c r="CQ21" s="644">
        <f t="shared" si="128"/>
        <v>0</v>
      </c>
      <c r="CR21" s="644">
        <f t="shared" si="129"/>
        <v>0</v>
      </c>
      <c r="CS21" s="644">
        <f t="shared" si="130"/>
        <v>0</v>
      </c>
      <c r="CT21" s="644">
        <f t="shared" si="131"/>
        <v>0</v>
      </c>
      <c r="CU21" s="644">
        <f t="shared" si="132"/>
        <v>0</v>
      </c>
      <c r="CV21" s="362">
        <f>Actual!AX67</f>
        <v>0</v>
      </c>
      <c r="CW21" s="644">
        <f t="shared" si="54"/>
        <v>0</v>
      </c>
      <c r="CX21" s="644">
        <f t="shared" si="55"/>
        <v>0</v>
      </c>
      <c r="CY21" s="644">
        <f t="shared" si="56"/>
        <v>0</v>
      </c>
      <c r="CZ21" s="644">
        <f t="shared" si="57"/>
        <v>0</v>
      </c>
      <c r="DA21" s="644">
        <f t="shared" si="58"/>
        <v>0</v>
      </c>
      <c r="DB21" s="644">
        <f t="shared" si="59"/>
        <v>0</v>
      </c>
      <c r="DC21" s="644">
        <f t="shared" si="110"/>
        <v>56651.176224000003</v>
      </c>
      <c r="DD21" s="1132">
        <f t="shared" si="111"/>
        <v>38.944000000000003</v>
      </c>
      <c r="DE21" s="1132">
        <f t="shared" si="60"/>
        <v>20.835999999999999</v>
      </c>
      <c r="DF21" s="1132">
        <f t="shared" si="61"/>
        <v>8.9700000000000006</v>
      </c>
      <c r="DG21" s="1132">
        <f t="shared" si="62"/>
        <v>0.16800000000000001</v>
      </c>
      <c r="DH21" s="1132">
        <f t="shared" si="63"/>
        <v>4728</v>
      </c>
      <c r="DI21" s="1132">
        <f t="shared" si="64"/>
        <v>3646.5156889495224</v>
      </c>
      <c r="DJ21" s="644">
        <f t="shared" si="112"/>
        <v>56651.176224000003</v>
      </c>
      <c r="DK21" s="644">
        <f t="shared" si="113"/>
        <v>38.944000000000003</v>
      </c>
      <c r="DL21" s="644">
        <f t="shared" si="114"/>
        <v>20.835999999999999</v>
      </c>
      <c r="DM21" s="644">
        <f t="shared" si="115"/>
        <v>8.9700000000000006</v>
      </c>
      <c r="DN21" s="644">
        <f t="shared" si="116"/>
        <v>0.16800000000000001</v>
      </c>
      <c r="DO21" s="1132">
        <f t="shared" si="117"/>
        <v>4728</v>
      </c>
      <c r="DP21" s="1132">
        <f t="shared" si="118"/>
        <v>3646.5156889495224</v>
      </c>
      <c r="DQ21" s="362">
        <f>Actual!AZ67</f>
        <v>0</v>
      </c>
      <c r="DR21" s="644">
        <f t="shared" si="119"/>
        <v>0</v>
      </c>
      <c r="DS21" s="644">
        <f t="shared" si="119"/>
        <v>0</v>
      </c>
      <c r="DT21" s="644">
        <f t="shared" si="119"/>
        <v>0</v>
      </c>
      <c r="DU21" s="644">
        <f t="shared" si="119"/>
        <v>0</v>
      </c>
      <c r="DV21" s="644">
        <f t="shared" si="119"/>
        <v>0</v>
      </c>
      <c r="DW21" s="644">
        <f t="shared" si="119"/>
        <v>0</v>
      </c>
    </row>
    <row r="22" spans="1:127" ht="15">
      <c r="A22" s="1046" t="str">
        <f>'Equipment '!A25</f>
        <v>20-Sep-26</v>
      </c>
      <c r="B22" s="644">
        <f t="shared" si="0"/>
        <v>98828.664106000011</v>
      </c>
      <c r="C22" s="644">
        <f t="shared" si="10"/>
        <v>39.0128571428572</v>
      </c>
      <c r="D22" s="644">
        <f t="shared" si="11"/>
        <v>19.8028571428571</v>
      </c>
      <c r="E22" s="644">
        <f t="shared" si="12"/>
        <v>7.3742857142857092</v>
      </c>
      <c r="F22" s="644">
        <f t="shared" si="13"/>
        <v>0.13999999999999999</v>
      </c>
      <c r="G22" s="644">
        <f t="shared" si="14"/>
        <v>4906.7583999999997</v>
      </c>
      <c r="H22" s="644">
        <f t="shared" si="66"/>
        <v>3731.4194102818005</v>
      </c>
      <c r="I22" s="644">
        <f t="shared" si="67"/>
        <v>98828.664106000011</v>
      </c>
      <c r="J22" s="644">
        <f t="shared" si="68"/>
        <v>39.0128571428572</v>
      </c>
      <c r="K22" s="644">
        <f t="shared" si="69"/>
        <v>19.8028571428571</v>
      </c>
      <c r="L22" s="644">
        <f t="shared" si="70"/>
        <v>7.3742857142857092</v>
      </c>
      <c r="M22" s="644">
        <f t="shared" si="71"/>
        <v>0.13999999999999999</v>
      </c>
      <c r="N22" s="644">
        <f t="shared" si="72"/>
        <v>4906.7583999999997</v>
      </c>
      <c r="O22" s="644">
        <f t="shared" si="73"/>
        <v>3731.4194102818005</v>
      </c>
      <c r="P22" s="644">
        <f>Actual!AV68</f>
        <v>0</v>
      </c>
      <c r="Q22" s="1130">
        <f t="shared" ref="Q22:V22" si="143">Q21</f>
        <v>39.259692868249303</v>
      </c>
      <c r="R22" s="1130">
        <f t="shared" si="143"/>
        <v>22.233939419516801</v>
      </c>
      <c r="S22" s="1130">
        <f t="shared" si="143"/>
        <v>5.1624683361673904</v>
      </c>
      <c r="T22" s="1130">
        <f t="shared" si="143"/>
        <v>0.16306692045557394</v>
      </c>
      <c r="U22" s="1130">
        <f t="shared" si="143"/>
        <v>4982.7757437603759</v>
      </c>
      <c r="V22" s="1130">
        <f t="shared" si="143"/>
        <v>3891.8691108367598</v>
      </c>
      <c r="W22" s="644">
        <f t="shared" si="17"/>
        <v>0</v>
      </c>
      <c r="X22" s="1131">
        <f t="shared" si="18"/>
        <v>0</v>
      </c>
      <c r="Y22" s="1132">
        <f t="shared" si="19"/>
        <v>0</v>
      </c>
      <c r="Z22" s="1132">
        <f t="shared" si="20"/>
        <v>0</v>
      </c>
      <c r="AA22" s="1132">
        <f t="shared" si="21"/>
        <v>0</v>
      </c>
      <c r="AB22" s="1132">
        <f t="shared" si="22"/>
        <v>0</v>
      </c>
      <c r="AC22" s="1132">
        <f t="shared" si="23"/>
        <v>0</v>
      </c>
      <c r="AD22" s="644">
        <f t="shared" si="75"/>
        <v>0</v>
      </c>
      <c r="AE22" s="644">
        <f t="shared" si="76"/>
        <v>0</v>
      </c>
      <c r="AF22" s="644">
        <f t="shared" si="77"/>
        <v>0</v>
      </c>
      <c r="AG22" s="644">
        <f t="shared" si="78"/>
        <v>0</v>
      </c>
      <c r="AH22" s="644">
        <f t="shared" si="79"/>
        <v>0</v>
      </c>
      <c r="AI22" s="1132">
        <f t="shared" si="80"/>
        <v>0</v>
      </c>
      <c r="AJ22" s="1132">
        <f t="shared" si="81"/>
        <v>0</v>
      </c>
      <c r="AK22" s="362">
        <f>Actual!AU68</f>
        <v>0</v>
      </c>
      <c r="AL22" s="644">
        <f t="shared" si="82"/>
        <v>39.450000000000003</v>
      </c>
      <c r="AM22" s="644">
        <f t="shared" si="83"/>
        <v>17.2</v>
      </c>
      <c r="AN22" s="644">
        <f t="shared" si="84"/>
        <v>13.18</v>
      </c>
      <c r="AO22" s="644">
        <f t="shared" si="85"/>
        <v>0.13</v>
      </c>
      <c r="AP22" s="644">
        <f t="shared" si="121"/>
        <v>4789</v>
      </c>
      <c r="AQ22" s="644">
        <f t="shared" si="86"/>
        <v>3502.1008454106282</v>
      </c>
      <c r="AR22" s="644">
        <f t="shared" si="26"/>
        <v>2697.3303620000002</v>
      </c>
      <c r="AS22" s="1132">
        <f t="shared" si="87"/>
        <v>39.54</v>
      </c>
      <c r="AT22" s="1132">
        <f t="shared" si="27"/>
        <v>22.28</v>
      </c>
      <c r="AU22" s="1132">
        <f t="shared" si="28"/>
        <v>8.8800000000000008</v>
      </c>
      <c r="AV22" s="1132">
        <f t="shared" si="29"/>
        <v>0.1</v>
      </c>
      <c r="AW22" s="1132">
        <f t="shared" si="30"/>
        <v>4728</v>
      </c>
      <c r="AX22" s="1132">
        <f t="shared" si="31"/>
        <v>3678.0092640247044</v>
      </c>
      <c r="AY22" s="644">
        <f t="shared" si="88"/>
        <v>2697.3303620000002</v>
      </c>
      <c r="AZ22" s="644">
        <f t="shared" si="89"/>
        <v>39.54</v>
      </c>
      <c r="BA22" s="644">
        <f t="shared" si="90"/>
        <v>22.28</v>
      </c>
      <c r="BB22" s="644">
        <f t="shared" si="91"/>
        <v>8.8800000000000008</v>
      </c>
      <c r="BC22" s="644">
        <f t="shared" si="92"/>
        <v>0.1</v>
      </c>
      <c r="BD22" s="644">
        <f t="shared" si="93"/>
        <v>4728</v>
      </c>
      <c r="BE22" s="644">
        <f t="shared" si="94"/>
        <v>3678.0092640247044</v>
      </c>
      <c r="BF22" s="405">
        <f>Actual!AW68</f>
        <v>0</v>
      </c>
      <c r="BG22" s="1129">
        <f t="shared" si="95"/>
        <v>38.758693568593003</v>
      </c>
      <c r="BH22" s="1129">
        <f t="shared" si="95"/>
        <v>24.565816766115823</v>
      </c>
      <c r="BI22" s="1129">
        <f t="shared" si="95"/>
        <v>6.9297573448338197</v>
      </c>
      <c r="BJ22" s="1129">
        <f t="shared" si="95"/>
        <v>0.18280031980514408</v>
      </c>
      <c r="BK22" s="1129">
        <f t="shared" si="95"/>
        <v>4389.8195426817128</v>
      </c>
      <c r="BL22" s="1129">
        <f t="shared" si="95"/>
        <v>3745.45548895927</v>
      </c>
      <c r="BM22" s="644">
        <f t="shared" si="3"/>
        <v>0</v>
      </c>
      <c r="BN22" s="1132">
        <f t="shared" si="34"/>
        <v>0</v>
      </c>
      <c r="BO22" s="1132">
        <f t="shared" si="35"/>
        <v>0</v>
      </c>
      <c r="BP22" s="1132">
        <f t="shared" si="36"/>
        <v>0</v>
      </c>
      <c r="BQ22" s="1132">
        <f t="shared" si="37"/>
        <v>0</v>
      </c>
      <c r="BR22" s="1132">
        <f t="shared" si="38"/>
        <v>0</v>
      </c>
      <c r="BS22" s="1132">
        <f t="shared" si="39"/>
        <v>0</v>
      </c>
      <c r="BT22" s="644">
        <f t="shared" si="96"/>
        <v>0</v>
      </c>
      <c r="BU22" s="644">
        <f t="shared" si="97"/>
        <v>0</v>
      </c>
      <c r="BV22" s="644">
        <f t="shared" si="98"/>
        <v>0</v>
      </c>
      <c r="BW22" s="644">
        <f t="shared" si="99"/>
        <v>0</v>
      </c>
      <c r="BX22" s="644">
        <f t="shared" si="100"/>
        <v>0</v>
      </c>
      <c r="BY22" s="644">
        <f t="shared" si="101"/>
        <v>0</v>
      </c>
      <c r="BZ22" s="644">
        <f t="shared" si="102"/>
        <v>0</v>
      </c>
      <c r="CA22" s="362">
        <f>Actual!AY68</f>
        <v>0</v>
      </c>
      <c r="CB22" s="644">
        <f t="shared" si="41"/>
        <v>0</v>
      </c>
      <c r="CC22" s="644">
        <f t="shared" si="42"/>
        <v>0</v>
      </c>
      <c r="CD22" s="644">
        <f t="shared" si="43"/>
        <v>0</v>
      </c>
      <c r="CE22" s="644">
        <f t="shared" si="44"/>
        <v>0</v>
      </c>
      <c r="CF22" s="644">
        <f t="shared" si="45"/>
        <v>0</v>
      </c>
      <c r="CG22" s="644">
        <f t="shared" si="46"/>
        <v>0</v>
      </c>
      <c r="CH22" s="1132">
        <f t="shared" si="6"/>
        <v>0</v>
      </c>
      <c r="CI22" s="1132">
        <f t="shared" si="47"/>
        <v>0</v>
      </c>
      <c r="CJ22" s="1132">
        <f t="shared" si="48"/>
        <v>0</v>
      </c>
      <c r="CK22" s="1132">
        <f t="shared" si="49"/>
        <v>0</v>
      </c>
      <c r="CL22" s="1132">
        <f t="shared" si="50"/>
        <v>0</v>
      </c>
      <c r="CM22" s="1132">
        <f t="shared" si="51"/>
        <v>0</v>
      </c>
      <c r="CN22" s="1132">
        <f t="shared" si="52"/>
        <v>0</v>
      </c>
      <c r="CO22" s="1132">
        <f t="shared" si="103"/>
        <v>0</v>
      </c>
      <c r="CP22" s="644">
        <f t="shared" si="127"/>
        <v>0</v>
      </c>
      <c r="CQ22" s="644">
        <f t="shared" si="128"/>
        <v>0</v>
      </c>
      <c r="CR22" s="644">
        <f t="shared" si="129"/>
        <v>0</v>
      </c>
      <c r="CS22" s="644">
        <f t="shared" si="130"/>
        <v>0</v>
      </c>
      <c r="CT22" s="644">
        <f t="shared" si="131"/>
        <v>0</v>
      </c>
      <c r="CU22" s="644">
        <f t="shared" si="132"/>
        <v>0</v>
      </c>
      <c r="CV22" s="362">
        <f>Actual!AX68</f>
        <v>0</v>
      </c>
      <c r="CW22" s="644">
        <f t="shared" si="54"/>
        <v>0</v>
      </c>
      <c r="CX22" s="644">
        <f t="shared" si="55"/>
        <v>0</v>
      </c>
      <c r="CY22" s="644">
        <f t="shared" si="56"/>
        <v>0</v>
      </c>
      <c r="CZ22" s="644">
        <f t="shared" si="57"/>
        <v>0</v>
      </c>
      <c r="DA22" s="644">
        <f t="shared" si="58"/>
        <v>0</v>
      </c>
      <c r="DB22" s="644">
        <f t="shared" si="59"/>
        <v>0</v>
      </c>
      <c r="DC22" s="644">
        <f t="shared" si="110"/>
        <v>56651.176224000003</v>
      </c>
      <c r="DD22" s="1132">
        <f t="shared" si="111"/>
        <v>38.944000000000003</v>
      </c>
      <c r="DE22" s="1132">
        <f t="shared" si="60"/>
        <v>20.835999999999999</v>
      </c>
      <c r="DF22" s="1132">
        <f t="shared" si="61"/>
        <v>8.9700000000000006</v>
      </c>
      <c r="DG22" s="1132">
        <f t="shared" si="62"/>
        <v>0.16800000000000001</v>
      </c>
      <c r="DH22" s="1132">
        <f t="shared" si="63"/>
        <v>4728</v>
      </c>
      <c r="DI22" s="1132">
        <f t="shared" si="64"/>
        <v>3646.5156889495224</v>
      </c>
      <c r="DJ22" s="644">
        <f t="shared" si="112"/>
        <v>56651.176224000003</v>
      </c>
      <c r="DK22" s="644">
        <f t="shared" si="113"/>
        <v>38.944000000000003</v>
      </c>
      <c r="DL22" s="644">
        <f t="shared" si="114"/>
        <v>20.835999999999999</v>
      </c>
      <c r="DM22" s="644">
        <f t="shared" si="115"/>
        <v>8.9700000000000006</v>
      </c>
      <c r="DN22" s="644">
        <f t="shared" si="116"/>
        <v>0.16800000000000001</v>
      </c>
      <c r="DO22" s="1132">
        <f t="shared" si="117"/>
        <v>4728</v>
      </c>
      <c r="DP22" s="1132">
        <f t="shared" si="118"/>
        <v>3646.5156889495224</v>
      </c>
      <c r="DQ22" s="362">
        <f>Actual!AZ68</f>
        <v>0</v>
      </c>
      <c r="DR22" s="644">
        <f t="shared" si="119"/>
        <v>0</v>
      </c>
      <c r="DS22" s="644">
        <f t="shared" si="119"/>
        <v>0</v>
      </c>
      <c r="DT22" s="644">
        <f t="shared" si="119"/>
        <v>0</v>
      </c>
      <c r="DU22" s="644">
        <f t="shared" si="119"/>
        <v>0</v>
      </c>
      <c r="DV22" s="644">
        <f t="shared" si="119"/>
        <v>0</v>
      </c>
      <c r="DW22" s="644">
        <f t="shared" si="119"/>
        <v>0</v>
      </c>
    </row>
    <row r="23" spans="1:127" ht="15">
      <c r="A23" s="1046" t="str">
        <f>'Equipment '!A26</f>
        <v>21-Sep-26</v>
      </c>
      <c r="B23" s="644">
        <f t="shared" si="0"/>
        <v>98828.664106000011</v>
      </c>
      <c r="C23" s="644">
        <f t="shared" si="10"/>
        <v>39.0128571428572</v>
      </c>
      <c r="D23" s="644">
        <f t="shared" si="11"/>
        <v>19.8028571428571</v>
      </c>
      <c r="E23" s="644">
        <f t="shared" si="12"/>
        <v>7.3742857142857092</v>
      </c>
      <c r="F23" s="644">
        <f t="shared" si="13"/>
        <v>0.13999999999999999</v>
      </c>
      <c r="G23" s="644">
        <f t="shared" si="14"/>
        <v>4906.7583999999997</v>
      </c>
      <c r="H23" s="644">
        <f t="shared" si="66"/>
        <v>3731.4194102818005</v>
      </c>
      <c r="I23" s="644">
        <f t="shared" si="67"/>
        <v>98828.664106000011</v>
      </c>
      <c r="J23" s="644">
        <f t="shared" si="68"/>
        <v>39.0128571428572</v>
      </c>
      <c r="K23" s="644">
        <f t="shared" si="69"/>
        <v>19.8028571428571</v>
      </c>
      <c r="L23" s="644">
        <f t="shared" si="70"/>
        <v>7.3742857142857092</v>
      </c>
      <c r="M23" s="644">
        <f t="shared" si="71"/>
        <v>0.13999999999999999</v>
      </c>
      <c r="N23" s="644">
        <f t="shared" si="72"/>
        <v>4906.7583999999997</v>
      </c>
      <c r="O23" s="644">
        <f t="shared" si="73"/>
        <v>3731.4194102818005</v>
      </c>
      <c r="P23" s="644">
        <f>Actual!AV69</f>
        <v>0</v>
      </c>
      <c r="Q23" s="1130">
        <f t="shared" ref="Q23:V23" si="144">Q22</f>
        <v>39.259692868249303</v>
      </c>
      <c r="R23" s="1130">
        <f t="shared" si="144"/>
        <v>22.233939419516801</v>
      </c>
      <c r="S23" s="1130">
        <f t="shared" si="144"/>
        <v>5.1624683361673904</v>
      </c>
      <c r="T23" s="1130">
        <f t="shared" si="144"/>
        <v>0.16306692045557394</v>
      </c>
      <c r="U23" s="1130">
        <f t="shared" si="144"/>
        <v>4982.7757437603759</v>
      </c>
      <c r="V23" s="1130">
        <f t="shared" si="144"/>
        <v>3891.8691108367598</v>
      </c>
      <c r="W23" s="644">
        <f t="shared" si="17"/>
        <v>0</v>
      </c>
      <c r="X23" s="1131">
        <f t="shared" si="18"/>
        <v>0</v>
      </c>
      <c r="Y23" s="1132">
        <f t="shared" si="19"/>
        <v>0</v>
      </c>
      <c r="Z23" s="1132">
        <f t="shared" si="20"/>
        <v>0</v>
      </c>
      <c r="AA23" s="1132">
        <f t="shared" si="21"/>
        <v>0</v>
      </c>
      <c r="AB23" s="1132">
        <f t="shared" si="22"/>
        <v>0</v>
      </c>
      <c r="AC23" s="1132">
        <f t="shared" si="23"/>
        <v>0</v>
      </c>
      <c r="AD23" s="644">
        <f t="shared" si="75"/>
        <v>0</v>
      </c>
      <c r="AE23" s="644">
        <f t="shared" si="76"/>
        <v>0</v>
      </c>
      <c r="AF23" s="644">
        <f t="shared" si="77"/>
        <v>0</v>
      </c>
      <c r="AG23" s="644">
        <f t="shared" si="78"/>
        <v>0</v>
      </c>
      <c r="AH23" s="644">
        <f t="shared" si="79"/>
        <v>0</v>
      </c>
      <c r="AI23" s="1132">
        <f t="shared" si="80"/>
        <v>0</v>
      </c>
      <c r="AJ23" s="1132">
        <f t="shared" si="81"/>
        <v>0</v>
      </c>
      <c r="AK23" s="362">
        <f>Actual!AU69</f>
        <v>0</v>
      </c>
      <c r="AL23" s="644">
        <f t="shared" si="82"/>
        <v>39.450000000000003</v>
      </c>
      <c r="AM23" s="644">
        <f t="shared" si="83"/>
        <v>17.2</v>
      </c>
      <c r="AN23" s="644">
        <f t="shared" si="84"/>
        <v>13.18</v>
      </c>
      <c r="AO23" s="644">
        <f t="shared" si="85"/>
        <v>0.13</v>
      </c>
      <c r="AP23" s="644">
        <f t="shared" si="121"/>
        <v>4789</v>
      </c>
      <c r="AQ23" s="644">
        <f t="shared" si="86"/>
        <v>3502.1008454106282</v>
      </c>
      <c r="AR23" s="644">
        <f t="shared" si="26"/>
        <v>2697.3303620000002</v>
      </c>
      <c r="AS23" s="1132">
        <f t="shared" si="87"/>
        <v>39.54</v>
      </c>
      <c r="AT23" s="1132">
        <f t="shared" si="27"/>
        <v>22.28</v>
      </c>
      <c r="AU23" s="1132">
        <f t="shared" si="28"/>
        <v>8.8800000000000008</v>
      </c>
      <c r="AV23" s="1132">
        <f t="shared" si="29"/>
        <v>0.1</v>
      </c>
      <c r="AW23" s="1132">
        <f t="shared" si="30"/>
        <v>4728</v>
      </c>
      <c r="AX23" s="1132">
        <f t="shared" si="31"/>
        <v>3678.0092640247044</v>
      </c>
      <c r="AY23" s="644">
        <f t="shared" si="88"/>
        <v>2697.3303620000002</v>
      </c>
      <c r="AZ23" s="644">
        <f t="shared" si="89"/>
        <v>39.54</v>
      </c>
      <c r="BA23" s="644">
        <f t="shared" si="90"/>
        <v>22.28</v>
      </c>
      <c r="BB23" s="644">
        <f t="shared" si="91"/>
        <v>8.8800000000000008</v>
      </c>
      <c r="BC23" s="644">
        <f t="shared" si="92"/>
        <v>0.1</v>
      </c>
      <c r="BD23" s="644">
        <f t="shared" si="93"/>
        <v>4728</v>
      </c>
      <c r="BE23" s="644">
        <f t="shared" si="94"/>
        <v>3678.0092640247044</v>
      </c>
      <c r="BF23" s="405">
        <f>Actual!AW69</f>
        <v>0</v>
      </c>
      <c r="BG23" s="1129">
        <f t="shared" si="95"/>
        <v>38.758693568593003</v>
      </c>
      <c r="BH23" s="1129">
        <f t="shared" si="95"/>
        <v>24.565816766115823</v>
      </c>
      <c r="BI23" s="1129">
        <f t="shared" si="95"/>
        <v>6.9297573448338197</v>
      </c>
      <c r="BJ23" s="1129">
        <f t="shared" si="95"/>
        <v>0.18280031980514408</v>
      </c>
      <c r="BK23" s="1129">
        <f t="shared" si="95"/>
        <v>4389.8195426817128</v>
      </c>
      <c r="BL23" s="1129">
        <f t="shared" si="95"/>
        <v>3745.45548895927</v>
      </c>
      <c r="BM23" s="644">
        <f t="shared" si="3"/>
        <v>0</v>
      </c>
      <c r="BN23" s="1132">
        <f t="shared" si="34"/>
        <v>0</v>
      </c>
      <c r="BO23" s="1132">
        <f t="shared" si="35"/>
        <v>0</v>
      </c>
      <c r="BP23" s="1132">
        <f t="shared" si="36"/>
        <v>0</v>
      </c>
      <c r="BQ23" s="1132">
        <f t="shared" si="37"/>
        <v>0</v>
      </c>
      <c r="BR23" s="1132">
        <f t="shared" si="38"/>
        <v>0</v>
      </c>
      <c r="BS23" s="1132">
        <f t="shared" si="39"/>
        <v>0</v>
      </c>
      <c r="BT23" s="644">
        <f t="shared" si="96"/>
        <v>0</v>
      </c>
      <c r="BU23" s="644">
        <f t="shared" si="97"/>
        <v>0</v>
      </c>
      <c r="BV23" s="644">
        <f t="shared" si="98"/>
        <v>0</v>
      </c>
      <c r="BW23" s="644">
        <f t="shared" si="99"/>
        <v>0</v>
      </c>
      <c r="BX23" s="644">
        <f t="shared" si="100"/>
        <v>0</v>
      </c>
      <c r="BY23" s="644">
        <f t="shared" si="101"/>
        <v>0</v>
      </c>
      <c r="BZ23" s="644">
        <f t="shared" si="102"/>
        <v>0</v>
      </c>
      <c r="CA23" s="362">
        <f>Actual!AY69</f>
        <v>0</v>
      </c>
      <c r="CB23" s="644">
        <f t="shared" si="41"/>
        <v>0</v>
      </c>
      <c r="CC23" s="644">
        <f t="shared" si="42"/>
        <v>0</v>
      </c>
      <c r="CD23" s="644">
        <f t="shared" si="43"/>
        <v>0</v>
      </c>
      <c r="CE23" s="644">
        <f t="shared" si="44"/>
        <v>0</v>
      </c>
      <c r="CF23" s="644">
        <f t="shared" si="45"/>
        <v>0</v>
      </c>
      <c r="CG23" s="644">
        <f t="shared" si="46"/>
        <v>0</v>
      </c>
      <c r="CH23" s="1132">
        <f t="shared" si="6"/>
        <v>0</v>
      </c>
      <c r="CI23" s="1132">
        <f t="shared" si="47"/>
        <v>0</v>
      </c>
      <c r="CJ23" s="1132">
        <f t="shared" si="48"/>
        <v>0</v>
      </c>
      <c r="CK23" s="1132">
        <f t="shared" si="49"/>
        <v>0</v>
      </c>
      <c r="CL23" s="1132">
        <f t="shared" si="50"/>
        <v>0</v>
      </c>
      <c r="CM23" s="1132">
        <f t="shared" si="51"/>
        <v>0</v>
      </c>
      <c r="CN23" s="1132">
        <f t="shared" si="52"/>
        <v>0</v>
      </c>
      <c r="CO23" s="1132">
        <f t="shared" si="103"/>
        <v>0</v>
      </c>
      <c r="CP23" s="644">
        <f t="shared" si="127"/>
        <v>0</v>
      </c>
      <c r="CQ23" s="644">
        <f t="shared" si="128"/>
        <v>0</v>
      </c>
      <c r="CR23" s="644">
        <f t="shared" si="129"/>
        <v>0</v>
      </c>
      <c r="CS23" s="644">
        <f t="shared" si="130"/>
        <v>0</v>
      </c>
      <c r="CT23" s="644">
        <f t="shared" si="131"/>
        <v>0</v>
      </c>
      <c r="CU23" s="644">
        <f t="shared" si="132"/>
        <v>0</v>
      </c>
      <c r="CV23" s="362">
        <f>Actual!AX69</f>
        <v>0</v>
      </c>
      <c r="CW23" s="644">
        <f t="shared" si="54"/>
        <v>0</v>
      </c>
      <c r="CX23" s="644">
        <f t="shared" si="55"/>
        <v>0</v>
      </c>
      <c r="CY23" s="644">
        <f t="shared" si="56"/>
        <v>0</v>
      </c>
      <c r="CZ23" s="644">
        <f t="shared" si="57"/>
        <v>0</v>
      </c>
      <c r="DA23" s="644">
        <f t="shared" si="58"/>
        <v>0</v>
      </c>
      <c r="DB23" s="644">
        <f t="shared" si="59"/>
        <v>0</v>
      </c>
      <c r="DC23" s="644">
        <f t="shared" si="110"/>
        <v>56651.176224000003</v>
      </c>
      <c r="DD23" s="1132">
        <f t="shared" si="111"/>
        <v>38.944000000000003</v>
      </c>
      <c r="DE23" s="1132">
        <f t="shared" si="60"/>
        <v>20.835999999999999</v>
      </c>
      <c r="DF23" s="1132">
        <f t="shared" si="61"/>
        <v>8.9700000000000006</v>
      </c>
      <c r="DG23" s="1132">
        <f t="shared" si="62"/>
        <v>0.16800000000000001</v>
      </c>
      <c r="DH23" s="1132">
        <f t="shared" si="63"/>
        <v>4728</v>
      </c>
      <c r="DI23" s="1132">
        <f t="shared" si="64"/>
        <v>3646.5156889495224</v>
      </c>
      <c r="DJ23" s="644">
        <f t="shared" si="112"/>
        <v>56651.176224000003</v>
      </c>
      <c r="DK23" s="644">
        <f t="shared" si="113"/>
        <v>38.944000000000003</v>
      </c>
      <c r="DL23" s="644">
        <f t="shared" si="114"/>
        <v>20.835999999999999</v>
      </c>
      <c r="DM23" s="644">
        <f t="shared" si="115"/>
        <v>8.9700000000000006</v>
      </c>
      <c r="DN23" s="644">
        <f t="shared" si="116"/>
        <v>0.16800000000000001</v>
      </c>
      <c r="DO23" s="1132">
        <f t="shared" si="117"/>
        <v>4728</v>
      </c>
      <c r="DP23" s="1132">
        <f t="shared" si="118"/>
        <v>3646.5156889495224</v>
      </c>
      <c r="DQ23" s="362">
        <f>Actual!AZ69</f>
        <v>0</v>
      </c>
      <c r="DR23" s="644">
        <f t="shared" si="119"/>
        <v>0</v>
      </c>
      <c r="DS23" s="644">
        <f t="shared" si="119"/>
        <v>0</v>
      </c>
      <c r="DT23" s="644">
        <f t="shared" si="119"/>
        <v>0</v>
      </c>
      <c r="DU23" s="644">
        <f t="shared" si="119"/>
        <v>0</v>
      </c>
      <c r="DV23" s="644">
        <f t="shared" si="119"/>
        <v>0</v>
      </c>
      <c r="DW23" s="644">
        <f t="shared" si="119"/>
        <v>0</v>
      </c>
    </row>
    <row r="24" spans="1:127" ht="15">
      <c r="A24" s="1046" t="str">
        <f>'Equipment '!A27</f>
        <v>22-Sep-26</v>
      </c>
      <c r="B24" s="644">
        <f t="shared" si="0"/>
        <v>98828.664106000011</v>
      </c>
      <c r="C24" s="644">
        <f t="shared" si="10"/>
        <v>39.0128571428572</v>
      </c>
      <c r="D24" s="644">
        <f t="shared" si="11"/>
        <v>19.8028571428571</v>
      </c>
      <c r="E24" s="644">
        <f t="shared" si="12"/>
        <v>7.3742857142857092</v>
      </c>
      <c r="F24" s="644">
        <f t="shared" si="13"/>
        <v>0.13999999999999999</v>
      </c>
      <c r="G24" s="644">
        <f t="shared" si="14"/>
        <v>4906.7583999999997</v>
      </c>
      <c r="H24" s="644">
        <f t="shared" si="66"/>
        <v>3731.4194102818005</v>
      </c>
      <c r="I24" s="644">
        <f t="shared" si="67"/>
        <v>98828.664106000011</v>
      </c>
      <c r="J24" s="644">
        <f t="shared" si="68"/>
        <v>39.0128571428572</v>
      </c>
      <c r="K24" s="644">
        <f t="shared" si="69"/>
        <v>19.8028571428571</v>
      </c>
      <c r="L24" s="644">
        <f t="shared" si="70"/>
        <v>7.3742857142857092</v>
      </c>
      <c r="M24" s="644">
        <f t="shared" si="71"/>
        <v>0.13999999999999999</v>
      </c>
      <c r="N24" s="644">
        <f t="shared" si="72"/>
        <v>4906.7583999999997</v>
      </c>
      <c r="O24" s="644">
        <f t="shared" si="73"/>
        <v>3731.4194102818005</v>
      </c>
      <c r="P24" s="644">
        <f>Actual!AV70</f>
        <v>0</v>
      </c>
      <c r="Q24" s="1130">
        <f t="shared" ref="Q24:V24" si="145">Q23</f>
        <v>39.259692868249303</v>
      </c>
      <c r="R24" s="1130">
        <f t="shared" si="145"/>
        <v>22.233939419516801</v>
      </c>
      <c r="S24" s="1130">
        <f t="shared" si="145"/>
        <v>5.1624683361673904</v>
      </c>
      <c r="T24" s="1130">
        <f t="shared" si="145"/>
        <v>0.16306692045557394</v>
      </c>
      <c r="U24" s="1130">
        <f t="shared" si="145"/>
        <v>4982.7757437603759</v>
      </c>
      <c r="V24" s="1130">
        <f t="shared" si="145"/>
        <v>3891.8691108367598</v>
      </c>
      <c r="W24" s="644">
        <f t="shared" si="17"/>
        <v>0</v>
      </c>
      <c r="X24" s="1131">
        <f t="shared" si="18"/>
        <v>0</v>
      </c>
      <c r="Y24" s="1132">
        <f t="shared" si="19"/>
        <v>0</v>
      </c>
      <c r="Z24" s="1132">
        <f t="shared" si="20"/>
        <v>0</v>
      </c>
      <c r="AA24" s="1132">
        <f t="shared" si="21"/>
        <v>0</v>
      </c>
      <c r="AB24" s="1132">
        <f t="shared" si="22"/>
        <v>0</v>
      </c>
      <c r="AC24" s="1132">
        <f t="shared" si="23"/>
        <v>0</v>
      </c>
      <c r="AD24" s="644">
        <f t="shared" si="75"/>
        <v>0</v>
      </c>
      <c r="AE24" s="644">
        <f t="shared" si="76"/>
        <v>0</v>
      </c>
      <c r="AF24" s="644">
        <f t="shared" si="77"/>
        <v>0</v>
      </c>
      <c r="AG24" s="644">
        <f t="shared" si="78"/>
        <v>0</v>
      </c>
      <c r="AH24" s="644">
        <f t="shared" si="79"/>
        <v>0</v>
      </c>
      <c r="AI24" s="1132">
        <f t="shared" si="80"/>
        <v>0</v>
      </c>
      <c r="AJ24" s="1132">
        <f t="shared" si="81"/>
        <v>0</v>
      </c>
      <c r="AK24" s="362">
        <f>Actual!AU70</f>
        <v>0</v>
      </c>
      <c r="AL24" s="644">
        <f t="shared" si="82"/>
        <v>39.450000000000003</v>
      </c>
      <c r="AM24" s="644">
        <f t="shared" si="83"/>
        <v>17.2</v>
      </c>
      <c r="AN24" s="644">
        <f t="shared" si="84"/>
        <v>13.18</v>
      </c>
      <c r="AO24" s="644">
        <f t="shared" si="85"/>
        <v>0.13</v>
      </c>
      <c r="AP24" s="644">
        <f t="shared" si="121"/>
        <v>4789</v>
      </c>
      <c r="AQ24" s="644">
        <f t="shared" si="86"/>
        <v>3502.1008454106282</v>
      </c>
      <c r="AR24" s="644">
        <f t="shared" si="26"/>
        <v>2697.3303620000002</v>
      </c>
      <c r="AS24" s="1132">
        <f t="shared" si="87"/>
        <v>39.54</v>
      </c>
      <c r="AT24" s="1132">
        <f t="shared" si="27"/>
        <v>22.28</v>
      </c>
      <c r="AU24" s="1132">
        <f t="shared" si="28"/>
        <v>8.8800000000000008</v>
      </c>
      <c r="AV24" s="1132">
        <f t="shared" si="29"/>
        <v>0.1</v>
      </c>
      <c r="AW24" s="1132">
        <f t="shared" si="30"/>
        <v>4728</v>
      </c>
      <c r="AX24" s="1132">
        <f t="shared" si="31"/>
        <v>3678.0092640247044</v>
      </c>
      <c r="AY24" s="644">
        <f t="shared" si="88"/>
        <v>2697.3303620000002</v>
      </c>
      <c r="AZ24" s="644">
        <f t="shared" si="89"/>
        <v>39.54</v>
      </c>
      <c r="BA24" s="644">
        <f t="shared" si="90"/>
        <v>22.28</v>
      </c>
      <c r="BB24" s="644">
        <f t="shared" si="91"/>
        <v>8.8800000000000008</v>
      </c>
      <c r="BC24" s="644">
        <f t="shared" si="92"/>
        <v>0.1</v>
      </c>
      <c r="BD24" s="644">
        <f t="shared" si="93"/>
        <v>4728</v>
      </c>
      <c r="BE24" s="644">
        <f t="shared" si="94"/>
        <v>3678.0092640247044</v>
      </c>
      <c r="BF24" s="405">
        <f>Actual!AW70</f>
        <v>0</v>
      </c>
      <c r="BG24" s="1129">
        <f t="shared" si="95"/>
        <v>38.758693568593003</v>
      </c>
      <c r="BH24" s="1129">
        <f t="shared" si="95"/>
        <v>24.565816766115823</v>
      </c>
      <c r="BI24" s="1129">
        <f t="shared" si="95"/>
        <v>6.9297573448338197</v>
      </c>
      <c r="BJ24" s="1129">
        <f t="shared" si="95"/>
        <v>0.18280031980514408</v>
      </c>
      <c r="BK24" s="1129">
        <f t="shared" si="95"/>
        <v>4389.8195426817128</v>
      </c>
      <c r="BL24" s="1129">
        <f t="shared" si="95"/>
        <v>3745.45548895927</v>
      </c>
      <c r="BM24" s="644">
        <f t="shared" si="3"/>
        <v>0</v>
      </c>
      <c r="BN24" s="1132">
        <f t="shared" si="34"/>
        <v>0</v>
      </c>
      <c r="BO24" s="1132">
        <f t="shared" si="35"/>
        <v>0</v>
      </c>
      <c r="BP24" s="1132">
        <f t="shared" si="36"/>
        <v>0</v>
      </c>
      <c r="BQ24" s="1132">
        <f t="shared" si="37"/>
        <v>0</v>
      </c>
      <c r="BR24" s="1132">
        <f t="shared" si="38"/>
        <v>0</v>
      </c>
      <c r="BS24" s="1132">
        <f t="shared" si="39"/>
        <v>0</v>
      </c>
      <c r="BT24" s="644">
        <f t="shared" si="96"/>
        <v>0</v>
      </c>
      <c r="BU24" s="644">
        <f t="shared" si="97"/>
        <v>0</v>
      </c>
      <c r="BV24" s="644">
        <f t="shared" si="98"/>
        <v>0</v>
      </c>
      <c r="BW24" s="644">
        <f t="shared" si="99"/>
        <v>0</v>
      </c>
      <c r="BX24" s="644">
        <f t="shared" si="100"/>
        <v>0</v>
      </c>
      <c r="BY24" s="644">
        <f t="shared" si="101"/>
        <v>0</v>
      </c>
      <c r="BZ24" s="644">
        <f t="shared" si="102"/>
        <v>0</v>
      </c>
      <c r="CA24" s="362">
        <f>Actual!AY70</f>
        <v>0</v>
      </c>
      <c r="CB24" s="644">
        <f t="shared" si="41"/>
        <v>0</v>
      </c>
      <c r="CC24" s="644">
        <f t="shared" si="42"/>
        <v>0</v>
      </c>
      <c r="CD24" s="644">
        <f t="shared" si="43"/>
        <v>0</v>
      </c>
      <c r="CE24" s="644">
        <f t="shared" si="44"/>
        <v>0</v>
      </c>
      <c r="CF24" s="644">
        <f t="shared" si="45"/>
        <v>0</v>
      </c>
      <c r="CG24" s="644">
        <f t="shared" si="46"/>
        <v>0</v>
      </c>
      <c r="CH24" s="1132">
        <f t="shared" si="6"/>
        <v>0</v>
      </c>
      <c r="CI24" s="1132">
        <f t="shared" si="47"/>
        <v>0</v>
      </c>
      <c r="CJ24" s="1132">
        <f t="shared" si="48"/>
        <v>0</v>
      </c>
      <c r="CK24" s="1132">
        <f t="shared" si="49"/>
        <v>0</v>
      </c>
      <c r="CL24" s="1132">
        <f t="shared" si="50"/>
        <v>0</v>
      </c>
      <c r="CM24" s="1132">
        <f t="shared" si="51"/>
        <v>0</v>
      </c>
      <c r="CN24" s="1132">
        <f t="shared" si="52"/>
        <v>0</v>
      </c>
      <c r="CO24" s="1132">
        <f t="shared" si="103"/>
        <v>0</v>
      </c>
      <c r="CP24" s="644">
        <f t="shared" si="127"/>
        <v>0</v>
      </c>
      <c r="CQ24" s="644">
        <f t="shared" si="128"/>
        <v>0</v>
      </c>
      <c r="CR24" s="644">
        <f t="shared" si="129"/>
        <v>0</v>
      </c>
      <c r="CS24" s="644">
        <f t="shared" si="130"/>
        <v>0</v>
      </c>
      <c r="CT24" s="644">
        <f t="shared" si="131"/>
        <v>0</v>
      </c>
      <c r="CU24" s="644">
        <f t="shared" si="132"/>
        <v>0</v>
      </c>
      <c r="CV24" s="362">
        <f>Actual!AX70</f>
        <v>0</v>
      </c>
      <c r="CW24" s="644">
        <f t="shared" si="54"/>
        <v>0</v>
      </c>
      <c r="CX24" s="644">
        <f t="shared" si="55"/>
        <v>0</v>
      </c>
      <c r="CY24" s="644">
        <f t="shared" si="56"/>
        <v>0</v>
      </c>
      <c r="CZ24" s="644">
        <f t="shared" si="57"/>
        <v>0</v>
      </c>
      <c r="DA24" s="644">
        <f t="shared" si="58"/>
        <v>0</v>
      </c>
      <c r="DB24" s="644">
        <f t="shared" si="59"/>
        <v>0</v>
      </c>
      <c r="DC24" s="644">
        <f t="shared" si="110"/>
        <v>56651.176224000003</v>
      </c>
      <c r="DD24" s="1132">
        <f t="shared" si="111"/>
        <v>38.944000000000003</v>
      </c>
      <c r="DE24" s="1132">
        <f t="shared" si="60"/>
        <v>20.835999999999999</v>
      </c>
      <c r="DF24" s="1132">
        <f t="shared" si="61"/>
        <v>8.9700000000000006</v>
      </c>
      <c r="DG24" s="1132">
        <f t="shared" si="62"/>
        <v>0.16800000000000001</v>
      </c>
      <c r="DH24" s="1132">
        <f t="shared" si="63"/>
        <v>4728</v>
      </c>
      <c r="DI24" s="1132">
        <f t="shared" si="64"/>
        <v>3646.5156889495224</v>
      </c>
      <c r="DJ24" s="644">
        <f t="shared" si="112"/>
        <v>56651.176224000003</v>
      </c>
      <c r="DK24" s="644">
        <f t="shared" si="113"/>
        <v>38.944000000000003</v>
      </c>
      <c r="DL24" s="644">
        <f t="shared" si="114"/>
        <v>20.835999999999999</v>
      </c>
      <c r="DM24" s="644">
        <f t="shared" si="115"/>
        <v>8.9700000000000006</v>
      </c>
      <c r="DN24" s="644">
        <f t="shared" si="116"/>
        <v>0.16800000000000001</v>
      </c>
      <c r="DO24" s="1132">
        <f t="shared" si="117"/>
        <v>4728</v>
      </c>
      <c r="DP24" s="1132">
        <f t="shared" si="118"/>
        <v>3646.5156889495224</v>
      </c>
      <c r="DQ24" s="362">
        <f>Actual!AZ70</f>
        <v>0</v>
      </c>
      <c r="DR24" s="644">
        <f t="shared" si="119"/>
        <v>0</v>
      </c>
      <c r="DS24" s="644">
        <f t="shared" si="119"/>
        <v>0</v>
      </c>
      <c r="DT24" s="644">
        <f t="shared" si="119"/>
        <v>0</v>
      </c>
      <c r="DU24" s="644">
        <f t="shared" si="119"/>
        <v>0</v>
      </c>
      <c r="DV24" s="644">
        <f t="shared" si="119"/>
        <v>0</v>
      </c>
      <c r="DW24" s="644">
        <f t="shared" si="119"/>
        <v>0</v>
      </c>
    </row>
    <row r="25" spans="1:127" ht="15">
      <c r="A25" s="1046" t="str">
        <f>'Equipment '!A28</f>
        <v>23-Sep-26</v>
      </c>
      <c r="B25" s="644">
        <f t="shared" si="0"/>
        <v>98828.664106000011</v>
      </c>
      <c r="C25" s="644">
        <f t="shared" si="10"/>
        <v>39.0128571428572</v>
      </c>
      <c r="D25" s="644">
        <f t="shared" si="11"/>
        <v>19.8028571428571</v>
      </c>
      <c r="E25" s="644">
        <f t="shared" si="12"/>
        <v>7.3742857142857092</v>
      </c>
      <c r="F25" s="644">
        <f t="shared" si="13"/>
        <v>0.13999999999999999</v>
      </c>
      <c r="G25" s="644">
        <f t="shared" si="14"/>
        <v>4906.7583999999997</v>
      </c>
      <c r="H25" s="644">
        <f t="shared" si="66"/>
        <v>3731.4194102818005</v>
      </c>
      <c r="I25" s="644">
        <f t="shared" si="67"/>
        <v>98828.664106000011</v>
      </c>
      <c r="J25" s="644">
        <f t="shared" si="68"/>
        <v>39.0128571428572</v>
      </c>
      <c r="K25" s="644">
        <f t="shared" si="69"/>
        <v>19.8028571428571</v>
      </c>
      <c r="L25" s="644">
        <f t="shared" si="70"/>
        <v>7.3742857142857092</v>
      </c>
      <c r="M25" s="644">
        <f t="shared" si="71"/>
        <v>0.13999999999999999</v>
      </c>
      <c r="N25" s="644">
        <f t="shared" si="72"/>
        <v>4906.7583999999997</v>
      </c>
      <c r="O25" s="644">
        <f t="shared" si="73"/>
        <v>3731.4194102818005</v>
      </c>
      <c r="P25" s="644">
        <f>Actual!AV71</f>
        <v>0</v>
      </c>
      <c r="Q25" s="1130">
        <f t="shared" ref="Q25:V25" si="146">Q24</f>
        <v>39.259692868249303</v>
      </c>
      <c r="R25" s="1130">
        <f t="shared" si="146"/>
        <v>22.233939419516801</v>
      </c>
      <c r="S25" s="1130">
        <f t="shared" si="146"/>
        <v>5.1624683361673904</v>
      </c>
      <c r="T25" s="1130">
        <f t="shared" si="146"/>
        <v>0.16306692045557394</v>
      </c>
      <c r="U25" s="1130">
        <f t="shared" si="146"/>
        <v>4982.7757437603759</v>
      </c>
      <c r="V25" s="1130">
        <f t="shared" si="146"/>
        <v>3891.8691108367598</v>
      </c>
      <c r="W25" s="644">
        <f t="shared" si="17"/>
        <v>0</v>
      </c>
      <c r="X25" s="1131">
        <f t="shared" si="18"/>
        <v>0</v>
      </c>
      <c r="Y25" s="1132">
        <f t="shared" si="19"/>
        <v>0</v>
      </c>
      <c r="Z25" s="1132">
        <f t="shared" si="20"/>
        <v>0</v>
      </c>
      <c r="AA25" s="1132">
        <f t="shared" si="21"/>
        <v>0</v>
      </c>
      <c r="AB25" s="1132">
        <f t="shared" si="22"/>
        <v>0</v>
      </c>
      <c r="AC25" s="1132">
        <f t="shared" si="23"/>
        <v>0</v>
      </c>
      <c r="AD25" s="644">
        <f t="shared" si="75"/>
        <v>0</v>
      </c>
      <c r="AE25" s="644">
        <f t="shared" si="76"/>
        <v>0</v>
      </c>
      <c r="AF25" s="644">
        <f t="shared" si="77"/>
        <v>0</v>
      </c>
      <c r="AG25" s="644">
        <f t="shared" si="78"/>
        <v>0</v>
      </c>
      <c r="AH25" s="644">
        <f t="shared" si="79"/>
        <v>0</v>
      </c>
      <c r="AI25" s="1132">
        <f t="shared" si="80"/>
        <v>0</v>
      </c>
      <c r="AJ25" s="1132">
        <f t="shared" si="81"/>
        <v>0</v>
      </c>
      <c r="AK25" s="362">
        <f>Actual!AU71</f>
        <v>0</v>
      </c>
      <c r="AL25" s="644">
        <f t="shared" si="82"/>
        <v>39.450000000000003</v>
      </c>
      <c r="AM25" s="644">
        <f t="shared" si="83"/>
        <v>17.2</v>
      </c>
      <c r="AN25" s="644">
        <f t="shared" si="84"/>
        <v>13.18</v>
      </c>
      <c r="AO25" s="644">
        <f t="shared" si="85"/>
        <v>0.13</v>
      </c>
      <c r="AP25" s="644">
        <f t="shared" si="121"/>
        <v>4789</v>
      </c>
      <c r="AQ25" s="644">
        <f t="shared" si="86"/>
        <v>3502.1008454106282</v>
      </c>
      <c r="AR25" s="644">
        <f t="shared" si="26"/>
        <v>2697.3303620000002</v>
      </c>
      <c r="AS25" s="1132">
        <f t="shared" si="87"/>
        <v>39.54</v>
      </c>
      <c r="AT25" s="1132">
        <f t="shared" si="27"/>
        <v>22.28</v>
      </c>
      <c r="AU25" s="1132">
        <f t="shared" si="28"/>
        <v>8.8800000000000008</v>
      </c>
      <c r="AV25" s="1132">
        <f t="shared" si="29"/>
        <v>0.1</v>
      </c>
      <c r="AW25" s="1132">
        <f t="shared" si="30"/>
        <v>4728</v>
      </c>
      <c r="AX25" s="1132">
        <f t="shared" si="31"/>
        <v>3678.0092640247044</v>
      </c>
      <c r="AY25" s="644">
        <f t="shared" si="88"/>
        <v>2697.3303620000002</v>
      </c>
      <c r="AZ25" s="644">
        <f t="shared" si="89"/>
        <v>39.54</v>
      </c>
      <c r="BA25" s="644">
        <f t="shared" si="90"/>
        <v>22.28</v>
      </c>
      <c r="BB25" s="644">
        <f t="shared" si="91"/>
        <v>8.8800000000000008</v>
      </c>
      <c r="BC25" s="644">
        <f t="shared" si="92"/>
        <v>0.1</v>
      </c>
      <c r="BD25" s="644">
        <f t="shared" si="93"/>
        <v>4728</v>
      </c>
      <c r="BE25" s="644">
        <f t="shared" si="94"/>
        <v>3678.0092640247044</v>
      </c>
      <c r="BF25" s="405">
        <f>Actual!AW71</f>
        <v>0</v>
      </c>
      <c r="BG25" s="1129">
        <f t="shared" si="95"/>
        <v>38.758693568593003</v>
      </c>
      <c r="BH25" s="1129">
        <f t="shared" si="95"/>
        <v>24.565816766115823</v>
      </c>
      <c r="BI25" s="1129">
        <f t="shared" si="95"/>
        <v>6.9297573448338197</v>
      </c>
      <c r="BJ25" s="1129">
        <f t="shared" si="95"/>
        <v>0.18280031980514408</v>
      </c>
      <c r="BK25" s="1129">
        <f t="shared" si="95"/>
        <v>4389.8195426817128</v>
      </c>
      <c r="BL25" s="1129">
        <f t="shared" si="95"/>
        <v>3745.45548895927</v>
      </c>
      <c r="BM25" s="644">
        <f t="shared" si="3"/>
        <v>0</v>
      </c>
      <c r="BN25" s="1132">
        <f t="shared" si="34"/>
        <v>0</v>
      </c>
      <c r="BO25" s="1132">
        <f t="shared" si="35"/>
        <v>0</v>
      </c>
      <c r="BP25" s="1132">
        <f t="shared" si="36"/>
        <v>0</v>
      </c>
      <c r="BQ25" s="1132">
        <f t="shared" si="37"/>
        <v>0</v>
      </c>
      <c r="BR25" s="1132">
        <f t="shared" si="38"/>
        <v>0</v>
      </c>
      <c r="BS25" s="1132">
        <f t="shared" si="39"/>
        <v>0</v>
      </c>
      <c r="BT25" s="644">
        <f t="shared" si="96"/>
        <v>0</v>
      </c>
      <c r="BU25" s="644">
        <f t="shared" si="97"/>
        <v>0</v>
      </c>
      <c r="BV25" s="644">
        <f t="shared" si="98"/>
        <v>0</v>
      </c>
      <c r="BW25" s="644">
        <f t="shared" si="99"/>
        <v>0</v>
      </c>
      <c r="BX25" s="644">
        <f t="shared" si="100"/>
        <v>0</v>
      </c>
      <c r="BY25" s="644">
        <f t="shared" si="101"/>
        <v>0</v>
      </c>
      <c r="BZ25" s="644">
        <f t="shared" si="102"/>
        <v>0</v>
      </c>
      <c r="CA25" s="362">
        <f>Actual!AY71</f>
        <v>0</v>
      </c>
      <c r="CB25" s="644">
        <f t="shared" si="41"/>
        <v>0</v>
      </c>
      <c r="CC25" s="644">
        <f t="shared" si="42"/>
        <v>0</v>
      </c>
      <c r="CD25" s="644">
        <f t="shared" si="43"/>
        <v>0</v>
      </c>
      <c r="CE25" s="644">
        <f t="shared" si="44"/>
        <v>0</v>
      </c>
      <c r="CF25" s="644">
        <f t="shared" si="45"/>
        <v>0</v>
      </c>
      <c r="CG25" s="644">
        <f t="shared" si="46"/>
        <v>0</v>
      </c>
      <c r="CH25" s="1132">
        <f t="shared" si="6"/>
        <v>0</v>
      </c>
      <c r="CI25" s="1132">
        <f t="shared" si="47"/>
        <v>0</v>
      </c>
      <c r="CJ25" s="1132">
        <f t="shared" si="48"/>
        <v>0</v>
      </c>
      <c r="CK25" s="1132">
        <f t="shared" si="49"/>
        <v>0</v>
      </c>
      <c r="CL25" s="1132">
        <f t="shared" si="50"/>
        <v>0</v>
      </c>
      <c r="CM25" s="1132">
        <f t="shared" si="51"/>
        <v>0</v>
      </c>
      <c r="CN25" s="1132">
        <f t="shared" si="52"/>
        <v>0</v>
      </c>
      <c r="CO25" s="1132">
        <f t="shared" si="103"/>
        <v>0</v>
      </c>
      <c r="CP25" s="644">
        <f t="shared" si="127"/>
        <v>0</v>
      </c>
      <c r="CQ25" s="644">
        <f t="shared" si="128"/>
        <v>0</v>
      </c>
      <c r="CR25" s="644">
        <f t="shared" si="129"/>
        <v>0</v>
      </c>
      <c r="CS25" s="644">
        <f t="shared" si="130"/>
        <v>0</v>
      </c>
      <c r="CT25" s="644">
        <f t="shared" si="131"/>
        <v>0</v>
      </c>
      <c r="CU25" s="644">
        <f t="shared" si="132"/>
        <v>0</v>
      </c>
      <c r="CV25" s="362">
        <f>Actual!AX71</f>
        <v>0</v>
      </c>
      <c r="CW25" s="644">
        <f t="shared" si="54"/>
        <v>0</v>
      </c>
      <c r="CX25" s="644">
        <f t="shared" si="55"/>
        <v>0</v>
      </c>
      <c r="CY25" s="644">
        <f t="shared" si="56"/>
        <v>0</v>
      </c>
      <c r="CZ25" s="644">
        <f t="shared" si="57"/>
        <v>0</v>
      </c>
      <c r="DA25" s="644">
        <f t="shared" si="58"/>
        <v>0</v>
      </c>
      <c r="DB25" s="644">
        <f t="shared" si="59"/>
        <v>0</v>
      </c>
      <c r="DC25" s="644">
        <f t="shared" si="110"/>
        <v>56651.176224000003</v>
      </c>
      <c r="DD25" s="1132">
        <f t="shared" si="111"/>
        <v>38.944000000000003</v>
      </c>
      <c r="DE25" s="1132">
        <f t="shared" si="60"/>
        <v>20.835999999999999</v>
      </c>
      <c r="DF25" s="1132">
        <f t="shared" si="61"/>
        <v>8.9700000000000006</v>
      </c>
      <c r="DG25" s="1132">
        <f t="shared" si="62"/>
        <v>0.16800000000000001</v>
      </c>
      <c r="DH25" s="1132">
        <f t="shared" si="63"/>
        <v>4728</v>
      </c>
      <c r="DI25" s="1132">
        <f t="shared" si="64"/>
        <v>3646.5156889495224</v>
      </c>
      <c r="DJ25" s="644">
        <f t="shared" si="112"/>
        <v>56651.176224000003</v>
      </c>
      <c r="DK25" s="644">
        <f t="shared" si="113"/>
        <v>38.944000000000003</v>
      </c>
      <c r="DL25" s="644">
        <f t="shared" si="114"/>
        <v>20.835999999999999</v>
      </c>
      <c r="DM25" s="644">
        <f t="shared" si="115"/>
        <v>8.9700000000000006</v>
      </c>
      <c r="DN25" s="644">
        <f t="shared" si="116"/>
        <v>0.16800000000000001</v>
      </c>
      <c r="DO25" s="1132">
        <f t="shared" si="117"/>
        <v>4728</v>
      </c>
      <c r="DP25" s="1132">
        <f t="shared" si="118"/>
        <v>3646.5156889495224</v>
      </c>
      <c r="DQ25" s="362">
        <f>Actual!AZ71</f>
        <v>0</v>
      </c>
      <c r="DR25" s="644">
        <f t="shared" si="119"/>
        <v>0</v>
      </c>
      <c r="DS25" s="644">
        <f t="shared" si="119"/>
        <v>0</v>
      </c>
      <c r="DT25" s="644">
        <f t="shared" si="119"/>
        <v>0</v>
      </c>
      <c r="DU25" s="644">
        <f t="shared" si="119"/>
        <v>0</v>
      </c>
      <c r="DV25" s="644">
        <f t="shared" si="119"/>
        <v>0</v>
      </c>
      <c r="DW25" s="644">
        <f t="shared" si="119"/>
        <v>0</v>
      </c>
    </row>
    <row r="26" spans="1:127" ht="15">
      <c r="A26" s="1046" t="str">
        <f>'Equipment '!A29</f>
        <v>24-Sep-26</v>
      </c>
      <c r="B26" s="644">
        <f t="shared" si="0"/>
        <v>98828.664106000011</v>
      </c>
      <c r="C26" s="644">
        <f t="shared" si="10"/>
        <v>39.0128571428572</v>
      </c>
      <c r="D26" s="644">
        <f t="shared" si="11"/>
        <v>19.8028571428571</v>
      </c>
      <c r="E26" s="644">
        <f t="shared" si="12"/>
        <v>7.3742857142857092</v>
      </c>
      <c r="F26" s="644">
        <f t="shared" si="13"/>
        <v>0.13999999999999999</v>
      </c>
      <c r="G26" s="644">
        <f t="shared" si="14"/>
        <v>4906.7583999999997</v>
      </c>
      <c r="H26" s="644">
        <f t="shared" si="66"/>
        <v>3731.4194102818005</v>
      </c>
      <c r="I26" s="644">
        <f t="shared" si="67"/>
        <v>98828.664106000011</v>
      </c>
      <c r="J26" s="644">
        <f t="shared" si="68"/>
        <v>39.0128571428572</v>
      </c>
      <c r="K26" s="644">
        <f t="shared" si="69"/>
        <v>19.8028571428571</v>
      </c>
      <c r="L26" s="644">
        <f t="shared" si="70"/>
        <v>7.3742857142857092</v>
      </c>
      <c r="M26" s="644">
        <f t="shared" si="71"/>
        <v>0.13999999999999999</v>
      </c>
      <c r="N26" s="644">
        <f t="shared" si="72"/>
        <v>4906.7583999999997</v>
      </c>
      <c r="O26" s="644">
        <f t="shared" si="73"/>
        <v>3731.4194102818005</v>
      </c>
      <c r="P26" s="644">
        <f>Actual!AV72</f>
        <v>0</v>
      </c>
      <c r="Q26" s="1130">
        <f t="shared" ref="Q26:V26" si="147">Q25</f>
        <v>39.259692868249303</v>
      </c>
      <c r="R26" s="1130">
        <f t="shared" si="147"/>
        <v>22.233939419516801</v>
      </c>
      <c r="S26" s="1130">
        <f t="shared" si="147"/>
        <v>5.1624683361673904</v>
      </c>
      <c r="T26" s="1130">
        <f t="shared" si="147"/>
        <v>0.16306692045557394</v>
      </c>
      <c r="U26" s="1130">
        <f t="shared" si="147"/>
        <v>4982.7757437603759</v>
      </c>
      <c r="V26" s="1130">
        <f t="shared" si="147"/>
        <v>3891.8691108367598</v>
      </c>
      <c r="W26" s="644">
        <f t="shared" si="17"/>
        <v>0</v>
      </c>
      <c r="X26" s="1131">
        <f t="shared" si="18"/>
        <v>0</v>
      </c>
      <c r="Y26" s="1132">
        <f t="shared" si="19"/>
        <v>0</v>
      </c>
      <c r="Z26" s="1132">
        <f t="shared" si="20"/>
        <v>0</v>
      </c>
      <c r="AA26" s="1132">
        <f t="shared" si="21"/>
        <v>0</v>
      </c>
      <c r="AB26" s="1132">
        <f t="shared" si="22"/>
        <v>0</v>
      </c>
      <c r="AC26" s="1132">
        <f t="shared" si="23"/>
        <v>0</v>
      </c>
      <c r="AD26" s="644">
        <f t="shared" si="75"/>
        <v>0</v>
      </c>
      <c r="AE26" s="644">
        <f t="shared" si="76"/>
        <v>0</v>
      </c>
      <c r="AF26" s="644">
        <f t="shared" si="77"/>
        <v>0</v>
      </c>
      <c r="AG26" s="644">
        <f t="shared" si="78"/>
        <v>0</v>
      </c>
      <c r="AH26" s="644">
        <f t="shared" si="79"/>
        <v>0</v>
      </c>
      <c r="AI26" s="1132">
        <f t="shared" si="80"/>
        <v>0</v>
      </c>
      <c r="AJ26" s="1132">
        <f t="shared" si="81"/>
        <v>0</v>
      </c>
      <c r="AK26" s="362">
        <f>Actual!AU72</f>
        <v>0</v>
      </c>
      <c r="AL26" s="644">
        <f t="shared" si="82"/>
        <v>39.450000000000003</v>
      </c>
      <c r="AM26" s="644">
        <f t="shared" si="83"/>
        <v>17.2</v>
      </c>
      <c r="AN26" s="644">
        <f t="shared" si="84"/>
        <v>13.18</v>
      </c>
      <c r="AO26" s="644">
        <f t="shared" si="85"/>
        <v>0.13</v>
      </c>
      <c r="AP26" s="644">
        <f t="shared" si="121"/>
        <v>4789</v>
      </c>
      <c r="AQ26" s="644">
        <f t="shared" si="86"/>
        <v>3502.1008454106282</v>
      </c>
      <c r="AR26" s="644">
        <f t="shared" si="26"/>
        <v>2697.3303620000002</v>
      </c>
      <c r="AS26" s="1132">
        <f t="shared" si="87"/>
        <v>39.54</v>
      </c>
      <c r="AT26" s="1132">
        <f t="shared" si="27"/>
        <v>22.28</v>
      </c>
      <c r="AU26" s="1132">
        <f t="shared" si="28"/>
        <v>8.8800000000000008</v>
      </c>
      <c r="AV26" s="1132">
        <f t="shared" si="29"/>
        <v>0.1</v>
      </c>
      <c r="AW26" s="1132">
        <f t="shared" si="30"/>
        <v>4728</v>
      </c>
      <c r="AX26" s="1132">
        <f t="shared" si="31"/>
        <v>3678.0092640247044</v>
      </c>
      <c r="AY26" s="644">
        <f t="shared" si="88"/>
        <v>2697.3303620000002</v>
      </c>
      <c r="AZ26" s="644">
        <f t="shared" si="89"/>
        <v>39.54</v>
      </c>
      <c r="BA26" s="644">
        <f t="shared" si="90"/>
        <v>22.28</v>
      </c>
      <c r="BB26" s="644">
        <f t="shared" si="91"/>
        <v>8.8800000000000008</v>
      </c>
      <c r="BC26" s="644">
        <f t="shared" si="92"/>
        <v>0.1</v>
      </c>
      <c r="BD26" s="644">
        <f t="shared" si="93"/>
        <v>4728</v>
      </c>
      <c r="BE26" s="644">
        <f t="shared" si="94"/>
        <v>3678.0092640247044</v>
      </c>
      <c r="BF26" s="405">
        <f>Actual!AW72</f>
        <v>0</v>
      </c>
      <c r="BG26" s="1129">
        <f t="shared" si="95"/>
        <v>38.758693568593003</v>
      </c>
      <c r="BH26" s="1129">
        <f t="shared" si="95"/>
        <v>24.565816766115823</v>
      </c>
      <c r="BI26" s="1129">
        <f t="shared" si="95"/>
        <v>6.9297573448338197</v>
      </c>
      <c r="BJ26" s="1129">
        <f t="shared" si="95"/>
        <v>0.18280031980514408</v>
      </c>
      <c r="BK26" s="1129">
        <f t="shared" si="95"/>
        <v>4389.8195426817128</v>
      </c>
      <c r="BL26" s="1129">
        <f t="shared" si="95"/>
        <v>3745.45548895927</v>
      </c>
      <c r="BM26" s="644">
        <f t="shared" si="3"/>
        <v>0</v>
      </c>
      <c r="BN26" s="1132">
        <f t="shared" si="34"/>
        <v>0</v>
      </c>
      <c r="BO26" s="1132">
        <f t="shared" si="35"/>
        <v>0</v>
      </c>
      <c r="BP26" s="1132">
        <f t="shared" si="36"/>
        <v>0</v>
      </c>
      <c r="BQ26" s="1132">
        <f t="shared" si="37"/>
        <v>0</v>
      </c>
      <c r="BR26" s="1132">
        <f t="shared" si="38"/>
        <v>0</v>
      </c>
      <c r="BS26" s="1132">
        <f t="shared" si="39"/>
        <v>0</v>
      </c>
      <c r="BT26" s="644">
        <f t="shared" si="96"/>
        <v>0</v>
      </c>
      <c r="BU26" s="644">
        <f t="shared" si="97"/>
        <v>0</v>
      </c>
      <c r="BV26" s="644">
        <f t="shared" si="98"/>
        <v>0</v>
      </c>
      <c r="BW26" s="644">
        <f t="shared" si="99"/>
        <v>0</v>
      </c>
      <c r="BX26" s="644">
        <f t="shared" si="100"/>
        <v>0</v>
      </c>
      <c r="BY26" s="644">
        <f t="shared" si="101"/>
        <v>0</v>
      </c>
      <c r="BZ26" s="644">
        <f t="shared" si="102"/>
        <v>0</v>
      </c>
      <c r="CA26" s="362">
        <f>Actual!AY72</f>
        <v>0</v>
      </c>
      <c r="CB26" s="644">
        <f t="shared" si="41"/>
        <v>0</v>
      </c>
      <c r="CC26" s="644">
        <f t="shared" si="42"/>
        <v>0</v>
      </c>
      <c r="CD26" s="644">
        <f t="shared" si="43"/>
        <v>0</v>
      </c>
      <c r="CE26" s="644">
        <f t="shared" si="44"/>
        <v>0</v>
      </c>
      <c r="CF26" s="644">
        <f t="shared" si="45"/>
        <v>0</v>
      </c>
      <c r="CG26" s="644">
        <f t="shared" si="46"/>
        <v>0</v>
      </c>
      <c r="CH26" s="1132">
        <f t="shared" si="6"/>
        <v>0</v>
      </c>
      <c r="CI26" s="1132">
        <f t="shared" si="47"/>
        <v>0</v>
      </c>
      <c r="CJ26" s="1132">
        <f t="shared" si="48"/>
        <v>0</v>
      </c>
      <c r="CK26" s="1132">
        <f t="shared" si="49"/>
        <v>0</v>
      </c>
      <c r="CL26" s="1132">
        <f t="shared" si="50"/>
        <v>0</v>
      </c>
      <c r="CM26" s="1132">
        <f t="shared" si="51"/>
        <v>0</v>
      </c>
      <c r="CN26" s="1132">
        <f t="shared" si="52"/>
        <v>0</v>
      </c>
      <c r="CO26" s="1132">
        <f t="shared" si="103"/>
        <v>0</v>
      </c>
      <c r="CP26" s="644">
        <f t="shared" si="127"/>
        <v>0</v>
      </c>
      <c r="CQ26" s="644">
        <f t="shared" si="128"/>
        <v>0</v>
      </c>
      <c r="CR26" s="644">
        <f t="shared" si="129"/>
        <v>0</v>
      </c>
      <c r="CS26" s="644">
        <f t="shared" si="130"/>
        <v>0</v>
      </c>
      <c r="CT26" s="644">
        <f t="shared" si="131"/>
        <v>0</v>
      </c>
      <c r="CU26" s="644">
        <f t="shared" si="132"/>
        <v>0</v>
      </c>
      <c r="CV26" s="362">
        <f>Actual!AX72</f>
        <v>0</v>
      </c>
      <c r="CW26" s="644">
        <f t="shared" si="54"/>
        <v>0</v>
      </c>
      <c r="CX26" s="644">
        <f t="shared" si="55"/>
        <v>0</v>
      </c>
      <c r="CY26" s="644">
        <f t="shared" si="56"/>
        <v>0</v>
      </c>
      <c r="CZ26" s="644">
        <f t="shared" si="57"/>
        <v>0</v>
      </c>
      <c r="DA26" s="644">
        <f t="shared" si="58"/>
        <v>0</v>
      </c>
      <c r="DB26" s="644">
        <f t="shared" si="59"/>
        <v>0</v>
      </c>
      <c r="DC26" s="644">
        <f t="shared" si="110"/>
        <v>56651.176224000003</v>
      </c>
      <c r="DD26" s="1132">
        <f t="shared" si="111"/>
        <v>38.944000000000003</v>
      </c>
      <c r="DE26" s="1132">
        <f t="shared" si="60"/>
        <v>20.835999999999999</v>
      </c>
      <c r="DF26" s="1132">
        <f t="shared" si="61"/>
        <v>8.9700000000000006</v>
      </c>
      <c r="DG26" s="1132">
        <f t="shared" si="62"/>
        <v>0.16800000000000001</v>
      </c>
      <c r="DH26" s="1132">
        <f t="shared" si="63"/>
        <v>4728</v>
      </c>
      <c r="DI26" s="1132">
        <f t="shared" si="64"/>
        <v>3646.5156889495224</v>
      </c>
      <c r="DJ26" s="644">
        <f t="shared" si="112"/>
        <v>56651.176224000003</v>
      </c>
      <c r="DK26" s="644">
        <f t="shared" si="113"/>
        <v>38.944000000000003</v>
      </c>
      <c r="DL26" s="644">
        <f t="shared" si="114"/>
        <v>20.835999999999999</v>
      </c>
      <c r="DM26" s="644">
        <f t="shared" si="115"/>
        <v>8.9700000000000006</v>
      </c>
      <c r="DN26" s="644">
        <f t="shared" si="116"/>
        <v>0.16800000000000001</v>
      </c>
      <c r="DO26" s="1132">
        <f t="shared" si="117"/>
        <v>4728</v>
      </c>
      <c r="DP26" s="1132">
        <f t="shared" si="118"/>
        <v>3646.5156889495224</v>
      </c>
      <c r="DQ26" s="362">
        <f>Actual!AZ72</f>
        <v>0</v>
      </c>
      <c r="DR26" s="644">
        <f t="shared" si="119"/>
        <v>0</v>
      </c>
      <c r="DS26" s="644">
        <f t="shared" si="119"/>
        <v>0</v>
      </c>
      <c r="DT26" s="644">
        <f t="shared" si="119"/>
        <v>0</v>
      </c>
      <c r="DU26" s="644">
        <f t="shared" si="119"/>
        <v>0</v>
      </c>
      <c r="DV26" s="644">
        <f t="shared" si="119"/>
        <v>0</v>
      </c>
      <c r="DW26" s="644">
        <f t="shared" si="119"/>
        <v>0</v>
      </c>
    </row>
    <row r="27" spans="1:127" ht="15">
      <c r="A27" s="1046" t="str">
        <f>'Equipment '!A30</f>
        <v>25-Sep-26</v>
      </c>
      <c r="B27" s="644">
        <f t="shared" si="0"/>
        <v>98828.664106000011</v>
      </c>
      <c r="C27" s="644">
        <f t="shared" si="10"/>
        <v>39.0128571428572</v>
      </c>
      <c r="D27" s="644">
        <f t="shared" si="11"/>
        <v>19.8028571428571</v>
      </c>
      <c r="E27" s="644">
        <f t="shared" si="12"/>
        <v>7.3742857142857092</v>
      </c>
      <c r="F27" s="644">
        <f t="shared" si="13"/>
        <v>0.13999999999999999</v>
      </c>
      <c r="G27" s="644">
        <f t="shared" si="14"/>
        <v>4906.7583999999997</v>
      </c>
      <c r="H27" s="644">
        <f t="shared" si="66"/>
        <v>3731.4194102818005</v>
      </c>
      <c r="I27" s="644">
        <f t="shared" si="67"/>
        <v>98828.664106000011</v>
      </c>
      <c r="J27" s="644">
        <f t="shared" si="68"/>
        <v>39.0128571428572</v>
      </c>
      <c r="K27" s="644">
        <f t="shared" si="69"/>
        <v>19.8028571428571</v>
      </c>
      <c r="L27" s="644">
        <f t="shared" si="70"/>
        <v>7.3742857142857092</v>
      </c>
      <c r="M27" s="644">
        <f t="shared" si="71"/>
        <v>0.13999999999999999</v>
      </c>
      <c r="N27" s="644">
        <f t="shared" si="72"/>
        <v>4906.7583999999997</v>
      </c>
      <c r="O27" s="644">
        <f t="shared" si="73"/>
        <v>3731.4194102818005</v>
      </c>
      <c r="P27" s="644">
        <f>Actual!AV73</f>
        <v>0</v>
      </c>
      <c r="Q27" s="1130">
        <f t="shared" ref="Q27:V27" si="148">Q26</f>
        <v>39.259692868249303</v>
      </c>
      <c r="R27" s="1130">
        <f t="shared" si="148"/>
        <v>22.233939419516801</v>
      </c>
      <c r="S27" s="1130">
        <f t="shared" si="148"/>
        <v>5.1624683361673904</v>
      </c>
      <c r="T27" s="1130">
        <f t="shared" si="148"/>
        <v>0.16306692045557394</v>
      </c>
      <c r="U27" s="1130">
        <f t="shared" si="148"/>
        <v>4982.7757437603759</v>
      </c>
      <c r="V27" s="1130">
        <f t="shared" si="148"/>
        <v>3891.8691108367598</v>
      </c>
      <c r="W27" s="644">
        <f t="shared" si="17"/>
        <v>0</v>
      </c>
      <c r="X27" s="1131">
        <f t="shared" si="18"/>
        <v>0</v>
      </c>
      <c r="Y27" s="1132">
        <f t="shared" si="19"/>
        <v>0</v>
      </c>
      <c r="Z27" s="1132">
        <f t="shared" si="20"/>
        <v>0</v>
      </c>
      <c r="AA27" s="1132">
        <f t="shared" si="21"/>
        <v>0</v>
      </c>
      <c r="AB27" s="1132">
        <f t="shared" si="22"/>
        <v>0</v>
      </c>
      <c r="AC27" s="1132">
        <f t="shared" si="23"/>
        <v>0</v>
      </c>
      <c r="AD27" s="644">
        <f t="shared" si="75"/>
        <v>0</v>
      </c>
      <c r="AE27" s="644">
        <f t="shared" si="76"/>
        <v>0</v>
      </c>
      <c r="AF27" s="644">
        <f t="shared" si="77"/>
        <v>0</v>
      </c>
      <c r="AG27" s="644">
        <f t="shared" si="78"/>
        <v>0</v>
      </c>
      <c r="AH27" s="644">
        <f t="shared" si="79"/>
        <v>0</v>
      </c>
      <c r="AI27" s="1132">
        <f t="shared" si="80"/>
        <v>0</v>
      </c>
      <c r="AJ27" s="1132">
        <f t="shared" si="81"/>
        <v>0</v>
      </c>
      <c r="AK27" s="362">
        <f>Actual!AU73</f>
        <v>0</v>
      </c>
      <c r="AL27" s="644">
        <f t="shared" si="82"/>
        <v>39.450000000000003</v>
      </c>
      <c r="AM27" s="644">
        <f t="shared" si="83"/>
        <v>17.2</v>
      </c>
      <c r="AN27" s="644">
        <f t="shared" si="84"/>
        <v>13.18</v>
      </c>
      <c r="AO27" s="644">
        <f t="shared" si="85"/>
        <v>0.13</v>
      </c>
      <c r="AP27" s="644">
        <f t="shared" si="121"/>
        <v>4789</v>
      </c>
      <c r="AQ27" s="644">
        <f t="shared" si="86"/>
        <v>3502.1008454106282</v>
      </c>
      <c r="AR27" s="644">
        <f t="shared" si="26"/>
        <v>2697.3303620000002</v>
      </c>
      <c r="AS27" s="1132">
        <f t="shared" si="87"/>
        <v>39.54</v>
      </c>
      <c r="AT27" s="1132">
        <f t="shared" si="27"/>
        <v>22.28</v>
      </c>
      <c r="AU27" s="1132">
        <f t="shared" si="28"/>
        <v>8.8800000000000008</v>
      </c>
      <c r="AV27" s="1132">
        <f t="shared" si="29"/>
        <v>0.1</v>
      </c>
      <c r="AW27" s="1132">
        <f t="shared" si="30"/>
        <v>4728</v>
      </c>
      <c r="AX27" s="1132">
        <f t="shared" si="31"/>
        <v>3678.0092640247044</v>
      </c>
      <c r="AY27" s="644">
        <f t="shared" si="88"/>
        <v>2697.3303620000002</v>
      </c>
      <c r="AZ27" s="644">
        <f t="shared" si="89"/>
        <v>39.54</v>
      </c>
      <c r="BA27" s="644">
        <f t="shared" si="90"/>
        <v>22.28</v>
      </c>
      <c r="BB27" s="644">
        <f t="shared" si="91"/>
        <v>8.8800000000000008</v>
      </c>
      <c r="BC27" s="644">
        <f t="shared" si="92"/>
        <v>0.1</v>
      </c>
      <c r="BD27" s="644">
        <f t="shared" si="93"/>
        <v>4728</v>
      </c>
      <c r="BE27" s="644">
        <f t="shared" si="94"/>
        <v>3678.0092640247044</v>
      </c>
      <c r="BF27" s="405">
        <f>Actual!AW73</f>
        <v>0</v>
      </c>
      <c r="BG27" s="1129">
        <f t="shared" si="95"/>
        <v>38.758693568593003</v>
      </c>
      <c r="BH27" s="1129">
        <f t="shared" si="95"/>
        <v>24.565816766115823</v>
      </c>
      <c r="BI27" s="1129">
        <f t="shared" si="95"/>
        <v>6.9297573448338197</v>
      </c>
      <c r="BJ27" s="1129">
        <f t="shared" si="95"/>
        <v>0.18280031980514408</v>
      </c>
      <c r="BK27" s="1129">
        <f t="shared" si="95"/>
        <v>4389.8195426817128</v>
      </c>
      <c r="BL27" s="1129">
        <f t="shared" si="95"/>
        <v>3745.45548895927</v>
      </c>
      <c r="BM27" s="644">
        <f t="shared" si="3"/>
        <v>0</v>
      </c>
      <c r="BN27" s="1132">
        <f t="shared" si="34"/>
        <v>0</v>
      </c>
      <c r="BO27" s="1132">
        <f t="shared" si="35"/>
        <v>0</v>
      </c>
      <c r="BP27" s="1132">
        <f t="shared" si="36"/>
        <v>0</v>
      </c>
      <c r="BQ27" s="1132">
        <f t="shared" si="37"/>
        <v>0</v>
      </c>
      <c r="BR27" s="1132">
        <f t="shared" si="38"/>
        <v>0</v>
      </c>
      <c r="BS27" s="1132">
        <f t="shared" si="39"/>
        <v>0</v>
      </c>
      <c r="BT27" s="644">
        <f t="shared" si="96"/>
        <v>0</v>
      </c>
      <c r="BU27" s="644">
        <f t="shared" si="97"/>
        <v>0</v>
      </c>
      <c r="BV27" s="644">
        <f t="shared" si="98"/>
        <v>0</v>
      </c>
      <c r="BW27" s="644">
        <f t="shared" si="99"/>
        <v>0</v>
      </c>
      <c r="BX27" s="644">
        <f t="shared" si="100"/>
        <v>0</v>
      </c>
      <c r="BY27" s="644">
        <f t="shared" si="101"/>
        <v>0</v>
      </c>
      <c r="BZ27" s="644">
        <f t="shared" si="102"/>
        <v>0</v>
      </c>
      <c r="CA27" s="362">
        <f>Actual!AY73</f>
        <v>0</v>
      </c>
      <c r="CB27" s="644">
        <f t="shared" si="41"/>
        <v>0</v>
      </c>
      <c r="CC27" s="644">
        <f t="shared" si="42"/>
        <v>0</v>
      </c>
      <c r="CD27" s="644">
        <f t="shared" si="43"/>
        <v>0</v>
      </c>
      <c r="CE27" s="644">
        <f t="shared" si="44"/>
        <v>0</v>
      </c>
      <c r="CF27" s="644">
        <f t="shared" si="45"/>
        <v>0</v>
      </c>
      <c r="CG27" s="644">
        <f t="shared" si="46"/>
        <v>0</v>
      </c>
      <c r="CH27" s="1132">
        <f t="shared" si="6"/>
        <v>0</v>
      </c>
      <c r="CI27" s="1132">
        <f t="shared" si="47"/>
        <v>0</v>
      </c>
      <c r="CJ27" s="1132">
        <f t="shared" si="48"/>
        <v>0</v>
      </c>
      <c r="CK27" s="1132">
        <f t="shared" si="49"/>
        <v>0</v>
      </c>
      <c r="CL27" s="1132">
        <f t="shared" si="50"/>
        <v>0</v>
      </c>
      <c r="CM27" s="1132">
        <f t="shared" si="51"/>
        <v>0</v>
      </c>
      <c r="CN27" s="1132">
        <f t="shared" si="52"/>
        <v>0</v>
      </c>
      <c r="CO27" s="1132">
        <f t="shared" si="103"/>
        <v>0</v>
      </c>
      <c r="CP27" s="644">
        <f t="shared" si="127"/>
        <v>0</v>
      </c>
      <c r="CQ27" s="644">
        <f t="shared" si="128"/>
        <v>0</v>
      </c>
      <c r="CR27" s="644">
        <f t="shared" si="129"/>
        <v>0</v>
      </c>
      <c r="CS27" s="644">
        <f t="shared" si="130"/>
        <v>0</v>
      </c>
      <c r="CT27" s="644">
        <f t="shared" si="131"/>
        <v>0</v>
      </c>
      <c r="CU27" s="644">
        <f t="shared" si="132"/>
        <v>0</v>
      </c>
      <c r="CV27" s="362">
        <f>Actual!AX73</f>
        <v>0</v>
      </c>
      <c r="CW27" s="644">
        <f t="shared" si="54"/>
        <v>0</v>
      </c>
      <c r="CX27" s="644">
        <f t="shared" si="55"/>
        <v>0</v>
      </c>
      <c r="CY27" s="644">
        <f t="shared" si="56"/>
        <v>0</v>
      </c>
      <c r="CZ27" s="644">
        <f t="shared" si="57"/>
        <v>0</v>
      </c>
      <c r="DA27" s="644">
        <f t="shared" si="58"/>
        <v>0</v>
      </c>
      <c r="DB27" s="644">
        <f t="shared" si="59"/>
        <v>0</v>
      </c>
      <c r="DC27" s="644">
        <f t="shared" si="110"/>
        <v>56651.176224000003</v>
      </c>
      <c r="DD27" s="1132">
        <f t="shared" si="111"/>
        <v>38.944000000000003</v>
      </c>
      <c r="DE27" s="1132">
        <f t="shared" si="60"/>
        <v>20.835999999999999</v>
      </c>
      <c r="DF27" s="1132">
        <f t="shared" si="61"/>
        <v>8.9700000000000006</v>
      </c>
      <c r="DG27" s="1132">
        <f t="shared" si="62"/>
        <v>0.16800000000000001</v>
      </c>
      <c r="DH27" s="1132">
        <f t="shared" si="63"/>
        <v>4728</v>
      </c>
      <c r="DI27" s="1132">
        <f t="shared" si="64"/>
        <v>3646.5156889495224</v>
      </c>
      <c r="DJ27" s="644">
        <f t="shared" si="112"/>
        <v>56651.176224000003</v>
      </c>
      <c r="DK27" s="644">
        <f t="shared" si="113"/>
        <v>38.944000000000003</v>
      </c>
      <c r="DL27" s="644">
        <f t="shared" si="114"/>
        <v>20.835999999999999</v>
      </c>
      <c r="DM27" s="644">
        <f t="shared" si="115"/>
        <v>8.9700000000000006</v>
      </c>
      <c r="DN27" s="644">
        <f t="shared" si="116"/>
        <v>0.16800000000000001</v>
      </c>
      <c r="DO27" s="1132">
        <f t="shared" si="117"/>
        <v>4728</v>
      </c>
      <c r="DP27" s="1132">
        <f t="shared" si="118"/>
        <v>3646.5156889495224</v>
      </c>
      <c r="DQ27" s="362">
        <f>Actual!AZ73</f>
        <v>0</v>
      </c>
      <c r="DR27" s="644">
        <f t="shared" si="119"/>
        <v>0</v>
      </c>
      <c r="DS27" s="644">
        <f t="shared" si="119"/>
        <v>0</v>
      </c>
      <c r="DT27" s="644">
        <f t="shared" si="119"/>
        <v>0</v>
      </c>
      <c r="DU27" s="644">
        <f t="shared" si="119"/>
        <v>0</v>
      </c>
      <c r="DV27" s="644">
        <f t="shared" si="119"/>
        <v>0</v>
      </c>
      <c r="DW27" s="644">
        <f t="shared" si="119"/>
        <v>0</v>
      </c>
    </row>
    <row r="28" spans="1:127" ht="15">
      <c r="A28" s="1046" t="str">
        <f>'Equipment '!A31</f>
        <v>26-Sep-26</v>
      </c>
      <c r="B28" s="644">
        <f t="shared" si="0"/>
        <v>98828.664106000011</v>
      </c>
      <c r="C28" s="644">
        <f t="shared" si="10"/>
        <v>39.0128571428572</v>
      </c>
      <c r="D28" s="644">
        <f t="shared" si="11"/>
        <v>19.8028571428571</v>
      </c>
      <c r="E28" s="644">
        <f t="shared" si="12"/>
        <v>7.3742857142857092</v>
      </c>
      <c r="F28" s="644">
        <f t="shared" si="13"/>
        <v>0.13999999999999999</v>
      </c>
      <c r="G28" s="644">
        <f t="shared" si="14"/>
        <v>4906.7583999999997</v>
      </c>
      <c r="H28" s="644">
        <f t="shared" si="66"/>
        <v>3731.4194102818005</v>
      </c>
      <c r="I28" s="644">
        <f t="shared" si="67"/>
        <v>98828.664106000011</v>
      </c>
      <c r="J28" s="644">
        <f t="shared" si="68"/>
        <v>39.0128571428572</v>
      </c>
      <c r="K28" s="644">
        <f t="shared" si="69"/>
        <v>19.8028571428571</v>
      </c>
      <c r="L28" s="644">
        <f t="shared" si="70"/>
        <v>7.3742857142857092</v>
      </c>
      <c r="M28" s="644">
        <f t="shared" si="71"/>
        <v>0.13999999999999999</v>
      </c>
      <c r="N28" s="644">
        <f t="shared" si="72"/>
        <v>4906.7583999999997</v>
      </c>
      <c r="O28" s="644">
        <f t="shared" si="73"/>
        <v>3731.4194102818005</v>
      </c>
      <c r="P28" s="644">
        <f>Actual!AV74</f>
        <v>0</v>
      </c>
      <c r="Q28" s="1130">
        <f t="shared" ref="Q28:V28" si="149">Q27</f>
        <v>39.259692868249303</v>
      </c>
      <c r="R28" s="1130">
        <f t="shared" si="149"/>
        <v>22.233939419516801</v>
      </c>
      <c r="S28" s="1130">
        <f t="shared" si="149"/>
        <v>5.1624683361673904</v>
      </c>
      <c r="T28" s="1130">
        <f t="shared" si="149"/>
        <v>0.16306692045557394</v>
      </c>
      <c r="U28" s="1130">
        <f t="shared" si="149"/>
        <v>4982.7757437603759</v>
      </c>
      <c r="V28" s="1130">
        <f t="shared" si="149"/>
        <v>3891.8691108367598</v>
      </c>
      <c r="W28" s="644">
        <f t="shared" si="17"/>
        <v>0</v>
      </c>
      <c r="X28" s="1131">
        <f t="shared" si="18"/>
        <v>0</v>
      </c>
      <c r="Y28" s="1132">
        <f t="shared" si="19"/>
        <v>0</v>
      </c>
      <c r="Z28" s="1132">
        <f t="shared" si="20"/>
        <v>0</v>
      </c>
      <c r="AA28" s="1132">
        <f t="shared" si="21"/>
        <v>0</v>
      </c>
      <c r="AB28" s="1132">
        <f t="shared" si="22"/>
        <v>0</v>
      </c>
      <c r="AC28" s="1132">
        <f t="shared" si="23"/>
        <v>0</v>
      </c>
      <c r="AD28" s="644">
        <f t="shared" si="75"/>
        <v>0</v>
      </c>
      <c r="AE28" s="644">
        <f t="shared" si="76"/>
        <v>0</v>
      </c>
      <c r="AF28" s="644">
        <f t="shared" si="77"/>
        <v>0</v>
      </c>
      <c r="AG28" s="644">
        <f t="shared" si="78"/>
        <v>0</v>
      </c>
      <c r="AH28" s="644">
        <f t="shared" si="79"/>
        <v>0</v>
      </c>
      <c r="AI28" s="1132">
        <f t="shared" si="80"/>
        <v>0</v>
      </c>
      <c r="AJ28" s="1132">
        <f t="shared" si="81"/>
        <v>0</v>
      </c>
      <c r="AK28" s="362">
        <f>Actual!AU74</f>
        <v>0</v>
      </c>
      <c r="AL28" s="644">
        <f t="shared" si="82"/>
        <v>39.450000000000003</v>
      </c>
      <c r="AM28" s="644">
        <f t="shared" si="83"/>
        <v>17.2</v>
      </c>
      <c r="AN28" s="644">
        <f t="shared" si="84"/>
        <v>13.18</v>
      </c>
      <c r="AO28" s="644">
        <f t="shared" si="85"/>
        <v>0.13</v>
      </c>
      <c r="AP28" s="644">
        <f t="shared" si="121"/>
        <v>4789</v>
      </c>
      <c r="AQ28" s="644">
        <f t="shared" si="86"/>
        <v>3502.1008454106282</v>
      </c>
      <c r="AR28" s="644">
        <f t="shared" si="26"/>
        <v>2697.3303620000002</v>
      </c>
      <c r="AS28" s="1132">
        <f t="shared" si="87"/>
        <v>39.54</v>
      </c>
      <c r="AT28" s="1132">
        <f t="shared" si="27"/>
        <v>22.28</v>
      </c>
      <c r="AU28" s="1132">
        <f t="shared" si="28"/>
        <v>8.8800000000000008</v>
      </c>
      <c r="AV28" s="1132">
        <f t="shared" si="29"/>
        <v>0.1</v>
      </c>
      <c r="AW28" s="1132">
        <f t="shared" si="30"/>
        <v>4728</v>
      </c>
      <c r="AX28" s="1132">
        <f t="shared" si="31"/>
        <v>3678.0092640247044</v>
      </c>
      <c r="AY28" s="644">
        <f t="shared" si="88"/>
        <v>2697.3303620000002</v>
      </c>
      <c r="AZ28" s="644">
        <f t="shared" si="89"/>
        <v>39.54</v>
      </c>
      <c r="BA28" s="644">
        <f t="shared" si="90"/>
        <v>22.28</v>
      </c>
      <c r="BB28" s="644">
        <f t="shared" si="91"/>
        <v>8.8800000000000008</v>
      </c>
      <c r="BC28" s="644">
        <f t="shared" si="92"/>
        <v>0.1</v>
      </c>
      <c r="BD28" s="644">
        <f t="shared" si="93"/>
        <v>4728</v>
      </c>
      <c r="BE28" s="644">
        <f t="shared" si="94"/>
        <v>3678.0092640247044</v>
      </c>
      <c r="BF28" s="405">
        <f>Actual!AW74</f>
        <v>0</v>
      </c>
      <c r="BG28" s="1129">
        <f t="shared" si="95"/>
        <v>38.758693568593003</v>
      </c>
      <c r="BH28" s="1129">
        <f t="shared" si="95"/>
        <v>24.565816766115823</v>
      </c>
      <c r="BI28" s="1129">
        <f t="shared" si="95"/>
        <v>6.9297573448338197</v>
      </c>
      <c r="BJ28" s="1129">
        <f t="shared" si="95"/>
        <v>0.18280031980514408</v>
      </c>
      <c r="BK28" s="1129">
        <f t="shared" si="95"/>
        <v>4389.8195426817128</v>
      </c>
      <c r="BL28" s="1129">
        <f t="shared" si="95"/>
        <v>3745.45548895927</v>
      </c>
      <c r="BM28" s="644">
        <f t="shared" si="3"/>
        <v>0</v>
      </c>
      <c r="BN28" s="1132">
        <f t="shared" si="34"/>
        <v>0</v>
      </c>
      <c r="BO28" s="1132">
        <f t="shared" si="35"/>
        <v>0</v>
      </c>
      <c r="BP28" s="1132">
        <f t="shared" si="36"/>
        <v>0</v>
      </c>
      <c r="BQ28" s="1132">
        <f t="shared" si="37"/>
        <v>0</v>
      </c>
      <c r="BR28" s="1132">
        <f t="shared" si="38"/>
        <v>0</v>
      </c>
      <c r="BS28" s="1132">
        <f t="shared" si="39"/>
        <v>0</v>
      </c>
      <c r="BT28" s="644">
        <f t="shared" si="96"/>
        <v>0</v>
      </c>
      <c r="BU28" s="644">
        <f t="shared" si="97"/>
        <v>0</v>
      </c>
      <c r="BV28" s="644">
        <f t="shared" si="98"/>
        <v>0</v>
      </c>
      <c r="BW28" s="644">
        <f t="shared" si="99"/>
        <v>0</v>
      </c>
      <c r="BX28" s="644">
        <f t="shared" si="100"/>
        <v>0</v>
      </c>
      <c r="BY28" s="644">
        <f t="shared" si="101"/>
        <v>0</v>
      </c>
      <c r="BZ28" s="644">
        <f t="shared" si="102"/>
        <v>0</v>
      </c>
      <c r="CA28" s="362">
        <f>Actual!AY74</f>
        <v>0</v>
      </c>
      <c r="CB28" s="644">
        <f t="shared" si="41"/>
        <v>0</v>
      </c>
      <c r="CC28" s="644">
        <f t="shared" si="42"/>
        <v>0</v>
      </c>
      <c r="CD28" s="644">
        <f t="shared" si="43"/>
        <v>0</v>
      </c>
      <c r="CE28" s="644">
        <f t="shared" si="44"/>
        <v>0</v>
      </c>
      <c r="CF28" s="644">
        <f t="shared" si="45"/>
        <v>0</v>
      </c>
      <c r="CG28" s="644">
        <f t="shared" si="46"/>
        <v>0</v>
      </c>
      <c r="CH28" s="1132">
        <f t="shared" si="6"/>
        <v>0</v>
      </c>
      <c r="CI28" s="1132">
        <f t="shared" si="47"/>
        <v>0</v>
      </c>
      <c r="CJ28" s="1132">
        <f t="shared" si="48"/>
        <v>0</v>
      </c>
      <c r="CK28" s="1132">
        <f t="shared" si="49"/>
        <v>0</v>
      </c>
      <c r="CL28" s="1132">
        <f t="shared" si="50"/>
        <v>0</v>
      </c>
      <c r="CM28" s="1132">
        <f t="shared" si="51"/>
        <v>0</v>
      </c>
      <c r="CN28" s="1132">
        <f t="shared" si="52"/>
        <v>0</v>
      </c>
      <c r="CO28" s="1132">
        <f t="shared" si="103"/>
        <v>0</v>
      </c>
      <c r="CP28" s="644">
        <f t="shared" si="127"/>
        <v>0</v>
      </c>
      <c r="CQ28" s="644">
        <f t="shared" si="128"/>
        <v>0</v>
      </c>
      <c r="CR28" s="644">
        <f t="shared" si="129"/>
        <v>0</v>
      </c>
      <c r="CS28" s="644">
        <f t="shared" si="130"/>
        <v>0</v>
      </c>
      <c r="CT28" s="644">
        <f t="shared" si="131"/>
        <v>0</v>
      </c>
      <c r="CU28" s="644">
        <f t="shared" si="132"/>
        <v>0</v>
      </c>
      <c r="CV28" s="362">
        <f>Actual!AX74</f>
        <v>0</v>
      </c>
      <c r="CW28" s="644">
        <f t="shared" si="54"/>
        <v>0</v>
      </c>
      <c r="CX28" s="644">
        <f t="shared" si="55"/>
        <v>0</v>
      </c>
      <c r="CY28" s="644">
        <f t="shared" si="56"/>
        <v>0</v>
      </c>
      <c r="CZ28" s="644">
        <f t="shared" si="57"/>
        <v>0</v>
      </c>
      <c r="DA28" s="644">
        <f t="shared" si="58"/>
        <v>0</v>
      </c>
      <c r="DB28" s="644">
        <f t="shared" si="59"/>
        <v>0</v>
      </c>
      <c r="DC28" s="644">
        <f t="shared" si="110"/>
        <v>56651.176224000003</v>
      </c>
      <c r="DD28" s="1132">
        <f t="shared" si="111"/>
        <v>38.944000000000003</v>
      </c>
      <c r="DE28" s="1132">
        <f t="shared" si="60"/>
        <v>20.835999999999999</v>
      </c>
      <c r="DF28" s="1132">
        <f t="shared" si="61"/>
        <v>8.9700000000000006</v>
      </c>
      <c r="DG28" s="1132">
        <f t="shared" si="62"/>
        <v>0.16800000000000001</v>
      </c>
      <c r="DH28" s="1132">
        <f t="shared" si="63"/>
        <v>4728</v>
      </c>
      <c r="DI28" s="1132">
        <f t="shared" si="64"/>
        <v>3646.5156889495224</v>
      </c>
      <c r="DJ28" s="644">
        <f t="shared" si="112"/>
        <v>56651.176224000003</v>
      </c>
      <c r="DK28" s="644">
        <f t="shared" si="113"/>
        <v>38.944000000000003</v>
      </c>
      <c r="DL28" s="644">
        <f t="shared" si="114"/>
        <v>20.835999999999999</v>
      </c>
      <c r="DM28" s="644">
        <f t="shared" si="115"/>
        <v>8.9700000000000006</v>
      </c>
      <c r="DN28" s="644">
        <f t="shared" si="116"/>
        <v>0.16800000000000001</v>
      </c>
      <c r="DO28" s="1132">
        <f t="shared" si="117"/>
        <v>4728</v>
      </c>
      <c r="DP28" s="1132">
        <f t="shared" si="118"/>
        <v>3646.5156889495224</v>
      </c>
      <c r="DQ28" s="362">
        <f>Actual!AZ74</f>
        <v>0</v>
      </c>
      <c r="DR28" s="644">
        <f t="shared" si="119"/>
        <v>0</v>
      </c>
      <c r="DS28" s="644">
        <f t="shared" si="119"/>
        <v>0</v>
      </c>
      <c r="DT28" s="644">
        <f t="shared" si="119"/>
        <v>0</v>
      </c>
      <c r="DU28" s="644">
        <f t="shared" si="119"/>
        <v>0</v>
      </c>
      <c r="DV28" s="644">
        <f t="shared" si="119"/>
        <v>0</v>
      </c>
      <c r="DW28" s="644">
        <f t="shared" si="119"/>
        <v>0</v>
      </c>
    </row>
    <row r="29" spans="1:127" ht="15">
      <c r="A29" s="1046" t="str">
        <f>'Equipment '!A32</f>
        <v>27-Sep-26</v>
      </c>
      <c r="B29" s="644">
        <f t="shared" si="0"/>
        <v>98828.664106000011</v>
      </c>
      <c r="C29" s="644">
        <f t="shared" si="10"/>
        <v>39.0128571428572</v>
      </c>
      <c r="D29" s="644">
        <f t="shared" si="11"/>
        <v>19.8028571428571</v>
      </c>
      <c r="E29" s="644">
        <f t="shared" si="12"/>
        <v>7.3742857142857092</v>
      </c>
      <c r="F29" s="644">
        <f t="shared" si="13"/>
        <v>0.13999999999999999</v>
      </c>
      <c r="G29" s="644">
        <f t="shared" si="14"/>
        <v>4906.7583999999997</v>
      </c>
      <c r="H29" s="644">
        <f t="shared" si="66"/>
        <v>3731.4194102818005</v>
      </c>
      <c r="I29" s="644">
        <f t="shared" si="67"/>
        <v>98828.664106000011</v>
      </c>
      <c r="J29" s="644">
        <f t="shared" si="68"/>
        <v>39.0128571428572</v>
      </c>
      <c r="K29" s="644">
        <f t="shared" si="69"/>
        <v>19.8028571428571</v>
      </c>
      <c r="L29" s="644">
        <f t="shared" si="70"/>
        <v>7.3742857142857092</v>
      </c>
      <c r="M29" s="644">
        <f t="shared" si="71"/>
        <v>0.13999999999999999</v>
      </c>
      <c r="N29" s="644">
        <f t="shared" si="72"/>
        <v>4906.7583999999997</v>
      </c>
      <c r="O29" s="644">
        <f t="shared" si="73"/>
        <v>3731.4194102818005</v>
      </c>
      <c r="P29" s="644">
        <f>Actual!AV75</f>
        <v>0</v>
      </c>
      <c r="Q29" s="1130">
        <f t="shared" ref="Q29:V29" si="150">Q28</f>
        <v>39.259692868249303</v>
      </c>
      <c r="R29" s="1130">
        <f t="shared" si="150"/>
        <v>22.233939419516801</v>
      </c>
      <c r="S29" s="1130">
        <f t="shared" si="150"/>
        <v>5.1624683361673904</v>
      </c>
      <c r="T29" s="1130">
        <f t="shared" si="150"/>
        <v>0.16306692045557394</v>
      </c>
      <c r="U29" s="1130">
        <f t="shared" si="150"/>
        <v>4982.7757437603759</v>
      </c>
      <c r="V29" s="1130">
        <f t="shared" si="150"/>
        <v>3891.8691108367598</v>
      </c>
      <c r="W29" s="644">
        <f t="shared" si="17"/>
        <v>0</v>
      </c>
      <c r="X29" s="1131">
        <f t="shared" si="18"/>
        <v>0</v>
      </c>
      <c r="Y29" s="1132">
        <f t="shared" si="19"/>
        <v>0</v>
      </c>
      <c r="Z29" s="1132">
        <f t="shared" si="20"/>
        <v>0</v>
      </c>
      <c r="AA29" s="1132">
        <f t="shared" si="21"/>
        <v>0</v>
      </c>
      <c r="AB29" s="1132">
        <f t="shared" si="22"/>
        <v>0</v>
      </c>
      <c r="AC29" s="1132">
        <f t="shared" si="23"/>
        <v>0</v>
      </c>
      <c r="AD29" s="644">
        <f t="shared" si="75"/>
        <v>0</v>
      </c>
      <c r="AE29" s="644">
        <f t="shared" si="76"/>
        <v>0</v>
      </c>
      <c r="AF29" s="644">
        <f t="shared" si="77"/>
        <v>0</v>
      </c>
      <c r="AG29" s="644">
        <f t="shared" si="78"/>
        <v>0</v>
      </c>
      <c r="AH29" s="644">
        <f t="shared" si="79"/>
        <v>0</v>
      </c>
      <c r="AI29" s="1132">
        <f t="shared" si="80"/>
        <v>0</v>
      </c>
      <c r="AJ29" s="1132">
        <f t="shared" si="81"/>
        <v>0</v>
      </c>
      <c r="AK29" s="362">
        <f>Actual!AU75</f>
        <v>0</v>
      </c>
      <c r="AL29" s="644">
        <f t="shared" si="82"/>
        <v>39.450000000000003</v>
      </c>
      <c r="AM29" s="644">
        <f t="shared" si="83"/>
        <v>17.2</v>
      </c>
      <c r="AN29" s="644">
        <f t="shared" si="84"/>
        <v>13.18</v>
      </c>
      <c r="AO29" s="644">
        <f t="shared" si="85"/>
        <v>0.13</v>
      </c>
      <c r="AP29" s="644">
        <f t="shared" si="121"/>
        <v>4789</v>
      </c>
      <c r="AQ29" s="644">
        <f t="shared" si="86"/>
        <v>3502.1008454106282</v>
      </c>
      <c r="AR29" s="644">
        <f t="shared" si="26"/>
        <v>2697.3303620000002</v>
      </c>
      <c r="AS29" s="1132">
        <f t="shared" si="87"/>
        <v>39.54</v>
      </c>
      <c r="AT29" s="1132">
        <f t="shared" si="27"/>
        <v>22.28</v>
      </c>
      <c r="AU29" s="1132">
        <f t="shared" si="28"/>
        <v>8.8800000000000008</v>
      </c>
      <c r="AV29" s="1132">
        <f t="shared" si="29"/>
        <v>0.1</v>
      </c>
      <c r="AW29" s="1132">
        <f t="shared" si="30"/>
        <v>4728</v>
      </c>
      <c r="AX29" s="1132">
        <f t="shared" si="31"/>
        <v>3678.0092640247044</v>
      </c>
      <c r="AY29" s="644">
        <f t="shared" si="88"/>
        <v>2697.3303620000002</v>
      </c>
      <c r="AZ29" s="644">
        <f t="shared" si="89"/>
        <v>39.54</v>
      </c>
      <c r="BA29" s="644">
        <f t="shared" si="90"/>
        <v>22.28</v>
      </c>
      <c r="BB29" s="644">
        <f t="shared" si="91"/>
        <v>8.8800000000000008</v>
      </c>
      <c r="BC29" s="644">
        <f t="shared" si="92"/>
        <v>0.1</v>
      </c>
      <c r="BD29" s="644">
        <f t="shared" si="93"/>
        <v>4728</v>
      </c>
      <c r="BE29" s="644">
        <f t="shared" si="94"/>
        <v>3678.0092640247044</v>
      </c>
      <c r="BF29" s="405">
        <f>Actual!AW75</f>
        <v>0</v>
      </c>
      <c r="BG29" s="1129">
        <f t="shared" si="95"/>
        <v>38.758693568593003</v>
      </c>
      <c r="BH29" s="1129">
        <f t="shared" si="95"/>
        <v>24.565816766115823</v>
      </c>
      <c r="BI29" s="1129">
        <f t="shared" si="95"/>
        <v>6.9297573448338197</v>
      </c>
      <c r="BJ29" s="1129">
        <f t="shared" si="95"/>
        <v>0.18280031980514408</v>
      </c>
      <c r="BK29" s="1129">
        <f t="shared" si="95"/>
        <v>4389.8195426817128</v>
      </c>
      <c r="BL29" s="1129">
        <f t="shared" si="95"/>
        <v>3745.45548895927</v>
      </c>
      <c r="BM29" s="644">
        <f t="shared" si="3"/>
        <v>0</v>
      </c>
      <c r="BN29" s="1132">
        <f t="shared" si="34"/>
        <v>0</v>
      </c>
      <c r="BO29" s="1132">
        <f t="shared" si="35"/>
        <v>0</v>
      </c>
      <c r="BP29" s="1132">
        <f t="shared" si="36"/>
        <v>0</v>
      </c>
      <c r="BQ29" s="1132">
        <f t="shared" si="37"/>
        <v>0</v>
      </c>
      <c r="BR29" s="1132">
        <f t="shared" si="38"/>
        <v>0</v>
      </c>
      <c r="BS29" s="1132">
        <f t="shared" si="39"/>
        <v>0</v>
      </c>
      <c r="BT29" s="644">
        <f t="shared" si="96"/>
        <v>0</v>
      </c>
      <c r="BU29" s="644">
        <f t="shared" si="97"/>
        <v>0</v>
      </c>
      <c r="BV29" s="644">
        <f t="shared" si="98"/>
        <v>0</v>
      </c>
      <c r="BW29" s="644">
        <f t="shared" si="99"/>
        <v>0</v>
      </c>
      <c r="BX29" s="644">
        <f t="shared" si="100"/>
        <v>0</v>
      </c>
      <c r="BY29" s="644">
        <f t="shared" si="101"/>
        <v>0</v>
      </c>
      <c r="BZ29" s="644">
        <f t="shared" si="102"/>
        <v>0</v>
      </c>
      <c r="CA29" s="362">
        <f>Actual!AY75</f>
        <v>0</v>
      </c>
      <c r="CB29" s="644">
        <f t="shared" si="41"/>
        <v>0</v>
      </c>
      <c r="CC29" s="644">
        <f t="shared" si="42"/>
        <v>0</v>
      </c>
      <c r="CD29" s="644">
        <f t="shared" si="43"/>
        <v>0</v>
      </c>
      <c r="CE29" s="644">
        <f t="shared" si="44"/>
        <v>0</v>
      </c>
      <c r="CF29" s="644">
        <f t="shared" si="45"/>
        <v>0</v>
      </c>
      <c r="CG29" s="644">
        <f t="shared" si="46"/>
        <v>0</v>
      </c>
      <c r="CH29" s="1132">
        <f t="shared" si="6"/>
        <v>0</v>
      </c>
      <c r="CI29" s="1132">
        <f t="shared" si="47"/>
        <v>0</v>
      </c>
      <c r="CJ29" s="1132">
        <f t="shared" si="48"/>
        <v>0</v>
      </c>
      <c r="CK29" s="1132">
        <f t="shared" si="49"/>
        <v>0</v>
      </c>
      <c r="CL29" s="1132">
        <f t="shared" si="50"/>
        <v>0</v>
      </c>
      <c r="CM29" s="1132">
        <f t="shared" si="51"/>
        <v>0</v>
      </c>
      <c r="CN29" s="1132">
        <f t="shared" si="52"/>
        <v>0</v>
      </c>
      <c r="CO29" s="1132">
        <f t="shared" si="103"/>
        <v>0</v>
      </c>
      <c r="CP29" s="644">
        <f t="shared" si="127"/>
        <v>0</v>
      </c>
      <c r="CQ29" s="644">
        <f t="shared" si="128"/>
        <v>0</v>
      </c>
      <c r="CR29" s="644">
        <f t="shared" si="129"/>
        <v>0</v>
      </c>
      <c r="CS29" s="644">
        <f t="shared" si="130"/>
        <v>0</v>
      </c>
      <c r="CT29" s="644">
        <f t="shared" si="131"/>
        <v>0</v>
      </c>
      <c r="CU29" s="644">
        <f t="shared" si="132"/>
        <v>0</v>
      </c>
      <c r="CV29" s="362">
        <f>Actual!AX75</f>
        <v>0</v>
      </c>
      <c r="CW29" s="644">
        <f t="shared" si="54"/>
        <v>0</v>
      </c>
      <c r="CX29" s="644">
        <f t="shared" si="55"/>
        <v>0</v>
      </c>
      <c r="CY29" s="644">
        <f t="shared" si="56"/>
        <v>0</v>
      </c>
      <c r="CZ29" s="644">
        <f t="shared" si="57"/>
        <v>0</v>
      </c>
      <c r="DA29" s="644">
        <f t="shared" si="58"/>
        <v>0</v>
      </c>
      <c r="DB29" s="644">
        <f t="shared" si="59"/>
        <v>0</v>
      </c>
      <c r="DC29" s="644">
        <f t="shared" si="110"/>
        <v>56651.176224000003</v>
      </c>
      <c r="DD29" s="1132">
        <f t="shared" si="111"/>
        <v>38.944000000000003</v>
      </c>
      <c r="DE29" s="1132">
        <f t="shared" si="60"/>
        <v>20.835999999999999</v>
      </c>
      <c r="DF29" s="1132">
        <f t="shared" si="61"/>
        <v>8.9700000000000006</v>
      </c>
      <c r="DG29" s="1132">
        <f t="shared" si="62"/>
        <v>0.16800000000000001</v>
      </c>
      <c r="DH29" s="1132">
        <f t="shared" si="63"/>
        <v>4728</v>
      </c>
      <c r="DI29" s="1132">
        <f t="shared" si="64"/>
        <v>3646.5156889495224</v>
      </c>
      <c r="DJ29" s="644">
        <f t="shared" si="112"/>
        <v>56651.176224000003</v>
      </c>
      <c r="DK29" s="644">
        <f t="shared" si="113"/>
        <v>38.944000000000003</v>
      </c>
      <c r="DL29" s="644">
        <f t="shared" si="114"/>
        <v>20.835999999999999</v>
      </c>
      <c r="DM29" s="644">
        <f t="shared" si="115"/>
        <v>8.9700000000000006</v>
      </c>
      <c r="DN29" s="644">
        <f t="shared" si="116"/>
        <v>0.16800000000000001</v>
      </c>
      <c r="DO29" s="1132">
        <f t="shared" si="117"/>
        <v>4728</v>
      </c>
      <c r="DP29" s="1132">
        <f t="shared" si="118"/>
        <v>3646.5156889495224</v>
      </c>
      <c r="DQ29" s="362">
        <f>Actual!AZ75</f>
        <v>0</v>
      </c>
      <c r="DR29" s="644">
        <f t="shared" si="119"/>
        <v>0</v>
      </c>
      <c r="DS29" s="644">
        <f t="shared" si="119"/>
        <v>0</v>
      </c>
      <c r="DT29" s="644">
        <f t="shared" si="119"/>
        <v>0</v>
      </c>
      <c r="DU29" s="644">
        <f t="shared" si="119"/>
        <v>0</v>
      </c>
      <c r="DV29" s="644">
        <f t="shared" si="119"/>
        <v>0</v>
      </c>
      <c r="DW29" s="644">
        <f t="shared" si="119"/>
        <v>0</v>
      </c>
    </row>
    <row r="30" spans="1:127" ht="15">
      <c r="A30" s="1046" t="str">
        <f>'Equipment '!A33</f>
        <v>28-Sep-26</v>
      </c>
      <c r="B30" s="644">
        <f t="shared" si="0"/>
        <v>98828.664106000011</v>
      </c>
      <c r="C30" s="644">
        <f t="shared" si="10"/>
        <v>39.0128571428572</v>
      </c>
      <c r="D30" s="644">
        <f t="shared" si="11"/>
        <v>19.8028571428571</v>
      </c>
      <c r="E30" s="644">
        <f t="shared" si="12"/>
        <v>7.3742857142857092</v>
      </c>
      <c r="F30" s="644">
        <f t="shared" si="13"/>
        <v>0.13999999999999999</v>
      </c>
      <c r="G30" s="644">
        <f t="shared" si="14"/>
        <v>4906.7583999999997</v>
      </c>
      <c r="H30" s="644">
        <f t="shared" si="66"/>
        <v>3731.4194102818005</v>
      </c>
      <c r="I30" s="644">
        <f t="shared" si="67"/>
        <v>98828.664106000011</v>
      </c>
      <c r="J30" s="644">
        <f t="shared" si="68"/>
        <v>39.0128571428572</v>
      </c>
      <c r="K30" s="644">
        <f t="shared" si="69"/>
        <v>19.8028571428571</v>
      </c>
      <c r="L30" s="644">
        <f t="shared" si="70"/>
        <v>7.3742857142857092</v>
      </c>
      <c r="M30" s="644">
        <f t="shared" si="71"/>
        <v>0.13999999999999999</v>
      </c>
      <c r="N30" s="644">
        <f t="shared" si="72"/>
        <v>4906.7583999999997</v>
      </c>
      <c r="O30" s="644">
        <f t="shared" si="73"/>
        <v>3731.4194102818005</v>
      </c>
      <c r="P30" s="644">
        <f>Actual!AV76</f>
        <v>0</v>
      </c>
      <c r="Q30" s="1130">
        <f t="shared" ref="Q30:V30" si="151">Q29</f>
        <v>39.259692868249303</v>
      </c>
      <c r="R30" s="1130">
        <f t="shared" si="151"/>
        <v>22.233939419516801</v>
      </c>
      <c r="S30" s="1130">
        <f t="shared" si="151"/>
        <v>5.1624683361673904</v>
      </c>
      <c r="T30" s="1130">
        <f t="shared" si="151"/>
        <v>0.16306692045557394</v>
      </c>
      <c r="U30" s="1130">
        <f t="shared" si="151"/>
        <v>4982.7757437603759</v>
      </c>
      <c r="V30" s="1130">
        <f t="shared" si="151"/>
        <v>3891.8691108367598</v>
      </c>
      <c r="W30" s="644">
        <f t="shared" si="17"/>
        <v>0</v>
      </c>
      <c r="X30" s="1131">
        <f t="shared" si="18"/>
        <v>0</v>
      </c>
      <c r="Y30" s="1132">
        <f t="shared" si="19"/>
        <v>0</v>
      </c>
      <c r="Z30" s="1132">
        <f t="shared" si="20"/>
        <v>0</v>
      </c>
      <c r="AA30" s="1132">
        <f t="shared" si="21"/>
        <v>0</v>
      </c>
      <c r="AB30" s="1132">
        <f t="shared" si="22"/>
        <v>0</v>
      </c>
      <c r="AC30" s="1132">
        <f t="shared" si="23"/>
        <v>0</v>
      </c>
      <c r="AD30" s="644">
        <f t="shared" si="75"/>
        <v>0</v>
      </c>
      <c r="AE30" s="644">
        <f t="shared" si="76"/>
        <v>0</v>
      </c>
      <c r="AF30" s="644">
        <f t="shared" si="77"/>
        <v>0</v>
      </c>
      <c r="AG30" s="644">
        <f t="shared" si="78"/>
        <v>0</v>
      </c>
      <c r="AH30" s="644">
        <f t="shared" si="79"/>
        <v>0</v>
      </c>
      <c r="AI30" s="1132">
        <f t="shared" si="80"/>
        <v>0</v>
      </c>
      <c r="AJ30" s="1132">
        <f t="shared" si="81"/>
        <v>0</v>
      </c>
      <c r="AK30" s="362">
        <f>Actual!AU76</f>
        <v>0</v>
      </c>
      <c r="AL30" s="644">
        <f t="shared" si="82"/>
        <v>39.450000000000003</v>
      </c>
      <c r="AM30" s="644">
        <f t="shared" si="83"/>
        <v>17.2</v>
      </c>
      <c r="AN30" s="644">
        <f t="shared" si="84"/>
        <v>13.18</v>
      </c>
      <c r="AO30" s="644">
        <f t="shared" si="85"/>
        <v>0.13</v>
      </c>
      <c r="AP30" s="644">
        <f t="shared" si="121"/>
        <v>4789</v>
      </c>
      <c r="AQ30" s="644">
        <f t="shared" si="86"/>
        <v>3502.1008454106282</v>
      </c>
      <c r="AR30" s="644">
        <f t="shared" si="26"/>
        <v>2697.3303620000002</v>
      </c>
      <c r="AS30" s="1132">
        <f t="shared" si="87"/>
        <v>39.54</v>
      </c>
      <c r="AT30" s="1132">
        <f t="shared" si="27"/>
        <v>22.28</v>
      </c>
      <c r="AU30" s="1132">
        <f t="shared" si="28"/>
        <v>8.8800000000000008</v>
      </c>
      <c r="AV30" s="1132">
        <f t="shared" si="29"/>
        <v>0.1</v>
      </c>
      <c r="AW30" s="1132">
        <f t="shared" si="30"/>
        <v>4728</v>
      </c>
      <c r="AX30" s="1132">
        <f t="shared" si="31"/>
        <v>3678.0092640247044</v>
      </c>
      <c r="AY30" s="644">
        <f t="shared" si="88"/>
        <v>2697.3303620000002</v>
      </c>
      <c r="AZ30" s="644">
        <f t="shared" si="89"/>
        <v>39.54</v>
      </c>
      <c r="BA30" s="644">
        <f t="shared" si="90"/>
        <v>22.28</v>
      </c>
      <c r="BB30" s="644">
        <f t="shared" si="91"/>
        <v>8.8800000000000008</v>
      </c>
      <c r="BC30" s="644">
        <f t="shared" si="92"/>
        <v>0.1</v>
      </c>
      <c r="BD30" s="644">
        <f t="shared" si="93"/>
        <v>4728</v>
      </c>
      <c r="BE30" s="644">
        <f t="shared" si="94"/>
        <v>3678.0092640247044</v>
      </c>
      <c r="BF30" s="405">
        <f>Actual!AW76</f>
        <v>0</v>
      </c>
      <c r="BG30" s="1129">
        <f t="shared" si="95"/>
        <v>38.758693568593003</v>
      </c>
      <c r="BH30" s="1129">
        <f t="shared" si="95"/>
        <v>24.565816766115823</v>
      </c>
      <c r="BI30" s="1129">
        <f t="shared" si="95"/>
        <v>6.9297573448338197</v>
      </c>
      <c r="BJ30" s="1129">
        <f t="shared" si="95"/>
        <v>0.18280031980514408</v>
      </c>
      <c r="BK30" s="1129">
        <f t="shared" si="95"/>
        <v>4389.8195426817128</v>
      </c>
      <c r="BL30" s="1129">
        <f t="shared" si="95"/>
        <v>3745.45548895927</v>
      </c>
      <c r="BM30" s="644">
        <f t="shared" si="3"/>
        <v>0</v>
      </c>
      <c r="BN30" s="1132">
        <f t="shared" si="34"/>
        <v>0</v>
      </c>
      <c r="BO30" s="1132">
        <f t="shared" si="35"/>
        <v>0</v>
      </c>
      <c r="BP30" s="1132">
        <f t="shared" si="36"/>
        <v>0</v>
      </c>
      <c r="BQ30" s="1132">
        <f t="shared" si="37"/>
        <v>0</v>
      </c>
      <c r="BR30" s="1132">
        <f t="shared" si="38"/>
        <v>0</v>
      </c>
      <c r="BS30" s="1132">
        <f t="shared" si="39"/>
        <v>0</v>
      </c>
      <c r="BT30" s="644">
        <f t="shared" si="96"/>
        <v>0</v>
      </c>
      <c r="BU30" s="644">
        <f t="shared" si="97"/>
        <v>0</v>
      </c>
      <c r="BV30" s="644">
        <f t="shared" si="98"/>
        <v>0</v>
      </c>
      <c r="BW30" s="644">
        <f t="shared" si="99"/>
        <v>0</v>
      </c>
      <c r="BX30" s="644">
        <f t="shared" si="100"/>
        <v>0</v>
      </c>
      <c r="BY30" s="644">
        <f t="shared" si="101"/>
        <v>0</v>
      </c>
      <c r="BZ30" s="644">
        <f t="shared" si="102"/>
        <v>0</v>
      </c>
      <c r="CA30" s="362">
        <f>Actual!AY76</f>
        <v>0</v>
      </c>
      <c r="CB30" s="644">
        <f t="shared" si="41"/>
        <v>0</v>
      </c>
      <c r="CC30" s="644">
        <f t="shared" si="42"/>
        <v>0</v>
      </c>
      <c r="CD30" s="644">
        <f t="shared" si="43"/>
        <v>0</v>
      </c>
      <c r="CE30" s="644">
        <f t="shared" si="44"/>
        <v>0</v>
      </c>
      <c r="CF30" s="644">
        <f t="shared" si="45"/>
        <v>0</v>
      </c>
      <c r="CG30" s="644">
        <f t="shared" si="46"/>
        <v>0</v>
      </c>
      <c r="CH30" s="1132">
        <f t="shared" si="6"/>
        <v>0</v>
      </c>
      <c r="CI30" s="1132">
        <f t="shared" si="47"/>
        <v>0</v>
      </c>
      <c r="CJ30" s="1132">
        <f t="shared" si="48"/>
        <v>0</v>
      </c>
      <c r="CK30" s="1132">
        <f t="shared" si="49"/>
        <v>0</v>
      </c>
      <c r="CL30" s="1132">
        <f t="shared" si="50"/>
        <v>0</v>
      </c>
      <c r="CM30" s="1132">
        <f t="shared" si="51"/>
        <v>0</v>
      </c>
      <c r="CN30" s="1132">
        <f t="shared" si="52"/>
        <v>0</v>
      </c>
      <c r="CO30" s="1132">
        <f t="shared" si="103"/>
        <v>0</v>
      </c>
      <c r="CP30" s="644">
        <f t="shared" si="127"/>
        <v>0</v>
      </c>
      <c r="CQ30" s="644">
        <f t="shared" si="128"/>
        <v>0</v>
      </c>
      <c r="CR30" s="644">
        <f t="shared" si="129"/>
        <v>0</v>
      </c>
      <c r="CS30" s="644">
        <f t="shared" si="130"/>
        <v>0</v>
      </c>
      <c r="CT30" s="644">
        <f t="shared" si="131"/>
        <v>0</v>
      </c>
      <c r="CU30" s="644">
        <f t="shared" si="132"/>
        <v>0</v>
      </c>
      <c r="CV30" s="362">
        <f>Actual!AX76</f>
        <v>0</v>
      </c>
      <c r="CW30" s="644">
        <f t="shared" si="54"/>
        <v>0</v>
      </c>
      <c r="CX30" s="644">
        <f t="shared" si="55"/>
        <v>0</v>
      </c>
      <c r="CY30" s="644">
        <f t="shared" si="56"/>
        <v>0</v>
      </c>
      <c r="CZ30" s="644">
        <f t="shared" si="57"/>
        <v>0</v>
      </c>
      <c r="DA30" s="644">
        <f t="shared" si="58"/>
        <v>0</v>
      </c>
      <c r="DB30" s="644">
        <f t="shared" si="59"/>
        <v>0</v>
      </c>
      <c r="DC30" s="644">
        <f t="shared" si="110"/>
        <v>56651.176224000003</v>
      </c>
      <c r="DD30" s="1132">
        <f t="shared" si="111"/>
        <v>38.944000000000003</v>
      </c>
      <c r="DE30" s="1132">
        <f t="shared" si="60"/>
        <v>20.835999999999999</v>
      </c>
      <c r="DF30" s="1132">
        <f t="shared" si="61"/>
        <v>8.9700000000000006</v>
      </c>
      <c r="DG30" s="1132">
        <f t="shared" si="62"/>
        <v>0.16800000000000001</v>
      </c>
      <c r="DH30" s="1132">
        <f t="shared" si="63"/>
        <v>4728</v>
      </c>
      <c r="DI30" s="1132">
        <f t="shared" si="64"/>
        <v>3646.5156889495224</v>
      </c>
      <c r="DJ30" s="644">
        <f t="shared" si="112"/>
        <v>56651.176224000003</v>
      </c>
      <c r="DK30" s="644">
        <f t="shared" si="113"/>
        <v>38.944000000000003</v>
      </c>
      <c r="DL30" s="644">
        <f t="shared" si="114"/>
        <v>20.835999999999999</v>
      </c>
      <c r="DM30" s="644">
        <f t="shared" si="115"/>
        <v>8.9700000000000006</v>
      </c>
      <c r="DN30" s="644">
        <f t="shared" si="116"/>
        <v>0.16800000000000001</v>
      </c>
      <c r="DO30" s="1132">
        <f t="shared" si="117"/>
        <v>4728</v>
      </c>
      <c r="DP30" s="1132">
        <f t="shared" si="118"/>
        <v>3646.5156889495224</v>
      </c>
      <c r="DQ30" s="362">
        <f>Actual!AZ76</f>
        <v>0</v>
      </c>
      <c r="DR30" s="644">
        <f t="shared" si="119"/>
        <v>0</v>
      </c>
      <c r="DS30" s="644">
        <f t="shared" si="119"/>
        <v>0</v>
      </c>
      <c r="DT30" s="644">
        <f t="shared" si="119"/>
        <v>0</v>
      </c>
      <c r="DU30" s="644">
        <f t="shared" si="119"/>
        <v>0</v>
      </c>
      <c r="DV30" s="644">
        <f t="shared" si="119"/>
        <v>0</v>
      </c>
      <c r="DW30" s="644">
        <f t="shared" si="119"/>
        <v>0</v>
      </c>
    </row>
    <row r="31" spans="1:127" ht="15">
      <c r="A31" s="1046" t="str">
        <f>'Equipment '!A34</f>
        <v>29-Sep-26</v>
      </c>
      <c r="B31" s="644">
        <f t="shared" si="0"/>
        <v>98828.664106000011</v>
      </c>
      <c r="C31" s="644">
        <f t="shared" si="10"/>
        <v>39.0128571428572</v>
      </c>
      <c r="D31" s="644">
        <f t="shared" si="11"/>
        <v>19.8028571428571</v>
      </c>
      <c r="E31" s="644">
        <f t="shared" si="12"/>
        <v>7.3742857142857092</v>
      </c>
      <c r="F31" s="644">
        <f t="shared" si="13"/>
        <v>0.13999999999999999</v>
      </c>
      <c r="G31" s="644">
        <f t="shared" si="14"/>
        <v>4906.7583999999997</v>
      </c>
      <c r="H31" s="644">
        <f t="shared" si="66"/>
        <v>3731.4194102818005</v>
      </c>
      <c r="I31" s="644">
        <f t="shared" si="67"/>
        <v>98828.664106000011</v>
      </c>
      <c r="J31" s="644">
        <f t="shared" si="68"/>
        <v>39.0128571428572</v>
      </c>
      <c r="K31" s="644">
        <f t="shared" si="69"/>
        <v>19.8028571428571</v>
      </c>
      <c r="L31" s="644">
        <f t="shared" si="70"/>
        <v>7.3742857142857092</v>
      </c>
      <c r="M31" s="644">
        <f t="shared" si="71"/>
        <v>0.13999999999999999</v>
      </c>
      <c r="N31" s="644">
        <f t="shared" si="72"/>
        <v>4906.7583999999997</v>
      </c>
      <c r="O31" s="644">
        <f t="shared" si="73"/>
        <v>3731.4194102818005</v>
      </c>
      <c r="P31" s="644">
        <f>Actual!AV77</f>
        <v>0</v>
      </c>
      <c r="Q31" s="1130">
        <f t="shared" ref="Q31:V31" si="152">Q30</f>
        <v>39.259692868249303</v>
      </c>
      <c r="R31" s="1130">
        <f t="shared" si="152"/>
        <v>22.233939419516801</v>
      </c>
      <c r="S31" s="1130">
        <f t="shared" si="152"/>
        <v>5.1624683361673904</v>
      </c>
      <c r="T31" s="1130">
        <f t="shared" si="152"/>
        <v>0.16306692045557394</v>
      </c>
      <c r="U31" s="1130">
        <f t="shared" si="152"/>
        <v>4982.7757437603759</v>
      </c>
      <c r="V31" s="1130">
        <f t="shared" si="152"/>
        <v>3891.8691108367598</v>
      </c>
      <c r="W31" s="644">
        <f t="shared" si="17"/>
        <v>0</v>
      </c>
      <c r="X31" s="1131">
        <f t="shared" si="18"/>
        <v>0</v>
      </c>
      <c r="Y31" s="1132">
        <f t="shared" si="19"/>
        <v>0</v>
      </c>
      <c r="Z31" s="1132">
        <f t="shared" si="20"/>
        <v>0</v>
      </c>
      <c r="AA31" s="1132">
        <f t="shared" si="21"/>
        <v>0</v>
      </c>
      <c r="AB31" s="1132">
        <f t="shared" si="22"/>
        <v>0</v>
      </c>
      <c r="AC31" s="1132">
        <f t="shared" si="23"/>
        <v>0</v>
      </c>
      <c r="AD31" s="644">
        <f t="shared" si="75"/>
        <v>0</v>
      </c>
      <c r="AE31" s="644">
        <f t="shared" si="76"/>
        <v>0</v>
      </c>
      <c r="AF31" s="644">
        <f t="shared" si="77"/>
        <v>0</v>
      </c>
      <c r="AG31" s="644">
        <f t="shared" si="78"/>
        <v>0</v>
      </c>
      <c r="AH31" s="644">
        <f t="shared" si="79"/>
        <v>0</v>
      </c>
      <c r="AI31" s="1132">
        <f t="shared" si="80"/>
        <v>0</v>
      </c>
      <c r="AJ31" s="1132">
        <f t="shared" si="81"/>
        <v>0</v>
      </c>
      <c r="AK31" s="362">
        <f>Actual!AU77</f>
        <v>0</v>
      </c>
      <c r="AL31" s="644">
        <f t="shared" si="82"/>
        <v>39.450000000000003</v>
      </c>
      <c r="AM31" s="644">
        <f t="shared" si="83"/>
        <v>17.2</v>
      </c>
      <c r="AN31" s="644">
        <f t="shared" si="84"/>
        <v>13.18</v>
      </c>
      <c r="AO31" s="644">
        <f t="shared" si="85"/>
        <v>0.13</v>
      </c>
      <c r="AP31" s="644">
        <f t="shared" si="121"/>
        <v>4789</v>
      </c>
      <c r="AQ31" s="644">
        <f t="shared" si="86"/>
        <v>3502.1008454106282</v>
      </c>
      <c r="AR31" s="644">
        <f t="shared" si="26"/>
        <v>2697.3303620000002</v>
      </c>
      <c r="AS31" s="1132">
        <f t="shared" si="87"/>
        <v>39.54</v>
      </c>
      <c r="AT31" s="1132">
        <f t="shared" si="27"/>
        <v>22.28</v>
      </c>
      <c r="AU31" s="1132">
        <f t="shared" si="28"/>
        <v>8.8800000000000008</v>
      </c>
      <c r="AV31" s="1132">
        <f t="shared" si="29"/>
        <v>0.1</v>
      </c>
      <c r="AW31" s="1132">
        <f t="shared" si="30"/>
        <v>4728</v>
      </c>
      <c r="AX31" s="1132">
        <f t="shared" si="31"/>
        <v>3678.0092640247044</v>
      </c>
      <c r="AY31" s="644">
        <f t="shared" si="88"/>
        <v>2697.3303620000002</v>
      </c>
      <c r="AZ31" s="644">
        <f t="shared" si="89"/>
        <v>39.54</v>
      </c>
      <c r="BA31" s="644">
        <f t="shared" si="90"/>
        <v>22.28</v>
      </c>
      <c r="BB31" s="644">
        <f t="shared" si="91"/>
        <v>8.8800000000000008</v>
      </c>
      <c r="BC31" s="644">
        <f t="shared" si="92"/>
        <v>0.1</v>
      </c>
      <c r="BD31" s="644">
        <f t="shared" si="93"/>
        <v>4728</v>
      </c>
      <c r="BE31" s="644">
        <f t="shared" si="94"/>
        <v>3678.0092640247044</v>
      </c>
      <c r="BF31" s="405">
        <f>Actual!AW77</f>
        <v>0</v>
      </c>
      <c r="BG31" s="1129">
        <f t="shared" si="95"/>
        <v>38.758693568593003</v>
      </c>
      <c r="BH31" s="1129">
        <f t="shared" si="95"/>
        <v>24.565816766115823</v>
      </c>
      <c r="BI31" s="1129">
        <f t="shared" si="95"/>
        <v>6.9297573448338197</v>
      </c>
      <c r="BJ31" s="1129">
        <f t="shared" si="95"/>
        <v>0.18280031980514408</v>
      </c>
      <c r="BK31" s="1129">
        <f t="shared" si="95"/>
        <v>4389.8195426817128</v>
      </c>
      <c r="BL31" s="1129">
        <f t="shared" si="95"/>
        <v>3745.45548895927</v>
      </c>
      <c r="BM31" s="644">
        <f t="shared" si="3"/>
        <v>0</v>
      </c>
      <c r="BN31" s="1132">
        <f t="shared" si="34"/>
        <v>0</v>
      </c>
      <c r="BO31" s="1132">
        <f t="shared" si="35"/>
        <v>0</v>
      </c>
      <c r="BP31" s="1132">
        <f t="shared" si="36"/>
        <v>0</v>
      </c>
      <c r="BQ31" s="1132">
        <f t="shared" si="37"/>
        <v>0</v>
      </c>
      <c r="BR31" s="1132">
        <f t="shared" si="38"/>
        <v>0</v>
      </c>
      <c r="BS31" s="1132">
        <f t="shared" si="39"/>
        <v>0</v>
      </c>
      <c r="BT31" s="644">
        <f t="shared" si="96"/>
        <v>0</v>
      </c>
      <c r="BU31" s="644">
        <f t="shared" si="97"/>
        <v>0</v>
      </c>
      <c r="BV31" s="644">
        <f t="shared" si="98"/>
        <v>0</v>
      </c>
      <c r="BW31" s="644">
        <f t="shared" si="99"/>
        <v>0</v>
      </c>
      <c r="BX31" s="644">
        <f t="shared" si="100"/>
        <v>0</v>
      </c>
      <c r="BY31" s="644">
        <f t="shared" si="101"/>
        <v>0</v>
      </c>
      <c r="BZ31" s="644">
        <f t="shared" si="102"/>
        <v>0</v>
      </c>
      <c r="CA31" s="362">
        <f>Actual!AY77</f>
        <v>0</v>
      </c>
      <c r="CB31" s="644">
        <f t="shared" si="41"/>
        <v>0</v>
      </c>
      <c r="CC31" s="644">
        <f t="shared" si="42"/>
        <v>0</v>
      </c>
      <c r="CD31" s="644">
        <f t="shared" si="43"/>
        <v>0</v>
      </c>
      <c r="CE31" s="644">
        <f t="shared" si="44"/>
        <v>0</v>
      </c>
      <c r="CF31" s="644">
        <f t="shared" si="45"/>
        <v>0</v>
      </c>
      <c r="CG31" s="644">
        <f t="shared" si="46"/>
        <v>0</v>
      </c>
      <c r="CH31" s="1132">
        <f t="shared" si="6"/>
        <v>0</v>
      </c>
      <c r="CI31" s="1132">
        <f t="shared" si="47"/>
        <v>0</v>
      </c>
      <c r="CJ31" s="1132">
        <f t="shared" si="48"/>
        <v>0</v>
      </c>
      <c r="CK31" s="1132">
        <f t="shared" si="49"/>
        <v>0</v>
      </c>
      <c r="CL31" s="1132">
        <f t="shared" si="50"/>
        <v>0</v>
      </c>
      <c r="CM31" s="1132">
        <f t="shared" si="51"/>
        <v>0</v>
      </c>
      <c r="CN31" s="1132">
        <f t="shared" si="52"/>
        <v>0</v>
      </c>
      <c r="CO31" s="1132">
        <f t="shared" si="103"/>
        <v>0</v>
      </c>
      <c r="CP31" s="644">
        <f t="shared" si="127"/>
        <v>0</v>
      </c>
      <c r="CQ31" s="644">
        <f t="shared" si="128"/>
        <v>0</v>
      </c>
      <c r="CR31" s="644">
        <f t="shared" si="129"/>
        <v>0</v>
      </c>
      <c r="CS31" s="644">
        <f t="shared" si="130"/>
        <v>0</v>
      </c>
      <c r="CT31" s="644">
        <f t="shared" si="131"/>
        <v>0</v>
      </c>
      <c r="CU31" s="644">
        <f t="shared" si="132"/>
        <v>0</v>
      </c>
      <c r="CV31" s="362">
        <f>Actual!AX77</f>
        <v>0</v>
      </c>
      <c r="CW31" s="644">
        <f t="shared" si="54"/>
        <v>0</v>
      </c>
      <c r="CX31" s="644">
        <f t="shared" si="55"/>
        <v>0</v>
      </c>
      <c r="CY31" s="644">
        <f t="shared" si="56"/>
        <v>0</v>
      </c>
      <c r="CZ31" s="644">
        <f t="shared" si="57"/>
        <v>0</v>
      </c>
      <c r="DA31" s="644">
        <f t="shared" si="58"/>
        <v>0</v>
      </c>
      <c r="DB31" s="644">
        <f t="shared" si="59"/>
        <v>0</v>
      </c>
      <c r="DC31" s="644">
        <f t="shared" si="110"/>
        <v>56651.176224000003</v>
      </c>
      <c r="DD31" s="1132">
        <f t="shared" si="111"/>
        <v>38.944000000000003</v>
      </c>
      <c r="DE31" s="1132">
        <f t="shared" si="60"/>
        <v>20.835999999999999</v>
      </c>
      <c r="DF31" s="1132">
        <f t="shared" si="61"/>
        <v>8.9700000000000006</v>
      </c>
      <c r="DG31" s="1132">
        <f t="shared" si="62"/>
        <v>0.16800000000000001</v>
      </c>
      <c r="DH31" s="1132">
        <f t="shared" si="63"/>
        <v>4728</v>
      </c>
      <c r="DI31" s="1132">
        <f t="shared" si="64"/>
        <v>3646.5156889495224</v>
      </c>
      <c r="DJ31" s="644">
        <f t="shared" si="112"/>
        <v>56651.176224000003</v>
      </c>
      <c r="DK31" s="644">
        <f t="shared" si="113"/>
        <v>38.944000000000003</v>
      </c>
      <c r="DL31" s="644">
        <f t="shared" si="114"/>
        <v>20.835999999999999</v>
      </c>
      <c r="DM31" s="644">
        <f t="shared" si="115"/>
        <v>8.9700000000000006</v>
      </c>
      <c r="DN31" s="644">
        <f t="shared" si="116"/>
        <v>0.16800000000000001</v>
      </c>
      <c r="DO31" s="1132">
        <f t="shared" si="117"/>
        <v>4728</v>
      </c>
      <c r="DP31" s="1132">
        <f t="shared" si="118"/>
        <v>3646.5156889495224</v>
      </c>
      <c r="DQ31" s="362">
        <f>Actual!AZ77</f>
        <v>0</v>
      </c>
      <c r="DR31" s="644">
        <f t="shared" si="119"/>
        <v>0</v>
      </c>
      <c r="DS31" s="644">
        <f t="shared" si="119"/>
        <v>0</v>
      </c>
      <c r="DT31" s="644">
        <f t="shared" si="119"/>
        <v>0</v>
      </c>
      <c r="DU31" s="644">
        <f t="shared" si="119"/>
        <v>0</v>
      </c>
      <c r="DV31" s="644">
        <f t="shared" si="119"/>
        <v>0</v>
      </c>
      <c r="DW31" s="644">
        <f t="shared" si="119"/>
        <v>0</v>
      </c>
    </row>
    <row r="32" spans="1:127" ht="15">
      <c r="A32" s="1046" t="str">
        <f>'Equipment '!A35</f>
        <v>30-Sep-26</v>
      </c>
      <c r="B32" s="644">
        <f t="shared" si="0"/>
        <v>98828.664106000011</v>
      </c>
      <c r="C32" s="644">
        <f t="shared" si="10"/>
        <v>39.0128571428572</v>
      </c>
      <c r="D32" s="644">
        <f t="shared" si="11"/>
        <v>19.8028571428571</v>
      </c>
      <c r="E32" s="644">
        <f t="shared" si="12"/>
        <v>7.3742857142857092</v>
      </c>
      <c r="F32" s="644">
        <f t="shared" si="13"/>
        <v>0.13999999999999999</v>
      </c>
      <c r="G32" s="644">
        <f t="shared" si="14"/>
        <v>4906.7583999999997</v>
      </c>
      <c r="H32" s="644">
        <f t="shared" si="66"/>
        <v>3731.4194102818005</v>
      </c>
      <c r="I32" s="644">
        <f t="shared" si="67"/>
        <v>98828.664106000011</v>
      </c>
      <c r="J32" s="644">
        <f t="shared" si="68"/>
        <v>39.0128571428572</v>
      </c>
      <c r="K32" s="644">
        <f t="shared" si="69"/>
        <v>19.8028571428571</v>
      </c>
      <c r="L32" s="644">
        <f t="shared" si="70"/>
        <v>7.3742857142857092</v>
      </c>
      <c r="M32" s="644">
        <f t="shared" si="71"/>
        <v>0.13999999999999999</v>
      </c>
      <c r="N32" s="644">
        <f t="shared" si="72"/>
        <v>4906.7583999999997</v>
      </c>
      <c r="O32" s="644">
        <f t="shared" si="73"/>
        <v>3731.4194102818005</v>
      </c>
      <c r="P32" s="644">
        <f>Actual!AV78</f>
        <v>0</v>
      </c>
      <c r="Q32" s="1130">
        <f t="shared" ref="Q32:V32" si="153">Q31</f>
        <v>39.259692868249303</v>
      </c>
      <c r="R32" s="1130">
        <f t="shared" si="153"/>
        <v>22.233939419516801</v>
      </c>
      <c r="S32" s="1130">
        <f t="shared" si="153"/>
        <v>5.1624683361673904</v>
      </c>
      <c r="T32" s="1130">
        <f t="shared" si="153"/>
        <v>0.16306692045557394</v>
      </c>
      <c r="U32" s="1130">
        <f t="shared" si="153"/>
        <v>4982.7757437603759</v>
      </c>
      <c r="V32" s="1130">
        <f t="shared" si="153"/>
        <v>3891.8691108367598</v>
      </c>
      <c r="W32" s="644">
        <f t="shared" si="17"/>
        <v>0</v>
      </c>
      <c r="X32" s="1131">
        <f t="shared" si="18"/>
        <v>0</v>
      </c>
      <c r="Y32" s="1132">
        <f t="shared" si="19"/>
        <v>0</v>
      </c>
      <c r="Z32" s="1132">
        <f t="shared" si="20"/>
        <v>0</v>
      </c>
      <c r="AA32" s="1132">
        <f t="shared" si="21"/>
        <v>0</v>
      </c>
      <c r="AB32" s="1132">
        <f t="shared" si="22"/>
        <v>0</v>
      </c>
      <c r="AC32" s="1132">
        <f t="shared" si="23"/>
        <v>0</v>
      </c>
      <c r="AD32" s="644">
        <f t="shared" si="75"/>
        <v>0</v>
      </c>
      <c r="AE32" s="644">
        <f t="shared" si="76"/>
        <v>0</v>
      </c>
      <c r="AF32" s="644">
        <f t="shared" si="77"/>
        <v>0</v>
      </c>
      <c r="AG32" s="644">
        <f t="shared" si="78"/>
        <v>0</v>
      </c>
      <c r="AH32" s="644">
        <f t="shared" si="79"/>
        <v>0</v>
      </c>
      <c r="AI32" s="1132">
        <f t="shared" si="80"/>
        <v>0</v>
      </c>
      <c r="AJ32" s="1132">
        <f t="shared" si="81"/>
        <v>0</v>
      </c>
      <c r="AK32" s="362">
        <f>Actual!AU78</f>
        <v>0</v>
      </c>
      <c r="AL32" s="644">
        <f t="shared" si="82"/>
        <v>39.450000000000003</v>
      </c>
      <c r="AM32" s="644">
        <f t="shared" si="83"/>
        <v>17.2</v>
      </c>
      <c r="AN32" s="644">
        <f t="shared" si="84"/>
        <v>13.18</v>
      </c>
      <c r="AO32" s="644">
        <f t="shared" si="85"/>
        <v>0.13</v>
      </c>
      <c r="AP32" s="644">
        <f t="shared" si="121"/>
        <v>4789</v>
      </c>
      <c r="AQ32" s="644">
        <f t="shared" si="86"/>
        <v>3502.1008454106282</v>
      </c>
      <c r="AR32" s="644">
        <f t="shared" si="26"/>
        <v>2697.3303620000002</v>
      </c>
      <c r="AS32" s="1132">
        <f t="shared" si="87"/>
        <v>39.54</v>
      </c>
      <c r="AT32" s="1132">
        <f t="shared" si="27"/>
        <v>22.28</v>
      </c>
      <c r="AU32" s="1132">
        <f t="shared" si="28"/>
        <v>8.8800000000000008</v>
      </c>
      <c r="AV32" s="1132">
        <f t="shared" si="29"/>
        <v>0.1</v>
      </c>
      <c r="AW32" s="1132">
        <f t="shared" si="30"/>
        <v>4728</v>
      </c>
      <c r="AX32" s="1132">
        <f t="shared" si="31"/>
        <v>3678.0092640247044</v>
      </c>
      <c r="AY32" s="644">
        <f t="shared" si="88"/>
        <v>2697.3303620000002</v>
      </c>
      <c r="AZ32" s="644">
        <f t="shared" si="89"/>
        <v>39.54</v>
      </c>
      <c r="BA32" s="644">
        <f t="shared" si="90"/>
        <v>22.28</v>
      </c>
      <c r="BB32" s="644">
        <f t="shared" si="91"/>
        <v>8.8800000000000008</v>
      </c>
      <c r="BC32" s="644">
        <f t="shared" si="92"/>
        <v>0.1</v>
      </c>
      <c r="BD32" s="644">
        <f t="shared" si="93"/>
        <v>4728</v>
      </c>
      <c r="BE32" s="644">
        <f t="shared" si="94"/>
        <v>3678.0092640247044</v>
      </c>
      <c r="BF32" s="405">
        <f>Actual!AW78</f>
        <v>0</v>
      </c>
      <c r="BG32" s="1129">
        <f t="shared" si="95"/>
        <v>38.758693568593003</v>
      </c>
      <c r="BH32" s="1129">
        <f t="shared" si="95"/>
        <v>24.565816766115823</v>
      </c>
      <c r="BI32" s="1129">
        <f t="shared" si="95"/>
        <v>6.9297573448338197</v>
      </c>
      <c r="BJ32" s="1129">
        <f t="shared" si="95"/>
        <v>0.18280031980514408</v>
      </c>
      <c r="BK32" s="1129">
        <f t="shared" si="95"/>
        <v>4389.8195426817128</v>
      </c>
      <c r="BL32" s="1129">
        <f t="shared" si="95"/>
        <v>3745.45548895927</v>
      </c>
      <c r="BM32" s="644">
        <f t="shared" si="3"/>
        <v>0</v>
      </c>
      <c r="BN32" s="1132">
        <f t="shared" si="34"/>
        <v>0</v>
      </c>
      <c r="BO32" s="1132">
        <f t="shared" si="35"/>
        <v>0</v>
      </c>
      <c r="BP32" s="1132">
        <f t="shared" si="36"/>
        <v>0</v>
      </c>
      <c r="BQ32" s="1132">
        <f t="shared" si="37"/>
        <v>0</v>
      </c>
      <c r="BR32" s="1132">
        <f t="shared" si="38"/>
        <v>0</v>
      </c>
      <c r="BS32" s="1132">
        <f t="shared" si="39"/>
        <v>0</v>
      </c>
      <c r="BT32" s="644">
        <f t="shared" si="96"/>
        <v>0</v>
      </c>
      <c r="BU32" s="644">
        <f t="shared" si="97"/>
        <v>0</v>
      </c>
      <c r="BV32" s="644">
        <f t="shared" si="98"/>
        <v>0</v>
      </c>
      <c r="BW32" s="644">
        <f t="shared" si="99"/>
        <v>0</v>
      </c>
      <c r="BX32" s="644">
        <f t="shared" si="100"/>
        <v>0</v>
      </c>
      <c r="BY32" s="644">
        <f t="shared" si="101"/>
        <v>0</v>
      </c>
      <c r="BZ32" s="644">
        <f t="shared" si="102"/>
        <v>0</v>
      </c>
      <c r="CA32" s="362">
        <f>Actual!AY78</f>
        <v>0</v>
      </c>
      <c r="CB32" s="644">
        <f t="shared" si="41"/>
        <v>0</v>
      </c>
      <c r="CC32" s="644">
        <f t="shared" si="42"/>
        <v>0</v>
      </c>
      <c r="CD32" s="644">
        <f t="shared" si="43"/>
        <v>0</v>
      </c>
      <c r="CE32" s="644">
        <f t="shared" si="44"/>
        <v>0</v>
      </c>
      <c r="CF32" s="644">
        <f t="shared" si="45"/>
        <v>0</v>
      </c>
      <c r="CG32" s="644">
        <f t="shared" si="46"/>
        <v>0</v>
      </c>
      <c r="CH32" s="1132">
        <f t="shared" si="6"/>
        <v>0</v>
      </c>
      <c r="CI32" s="1132">
        <f t="shared" si="47"/>
        <v>0</v>
      </c>
      <c r="CJ32" s="1132">
        <f t="shared" si="48"/>
        <v>0</v>
      </c>
      <c r="CK32" s="1132">
        <f t="shared" si="49"/>
        <v>0</v>
      </c>
      <c r="CL32" s="1132">
        <f t="shared" si="50"/>
        <v>0</v>
      </c>
      <c r="CM32" s="1132">
        <f t="shared" si="51"/>
        <v>0</v>
      </c>
      <c r="CN32" s="1132">
        <f t="shared" si="52"/>
        <v>0</v>
      </c>
      <c r="CO32" s="1132">
        <f t="shared" si="103"/>
        <v>0</v>
      </c>
      <c r="CP32" s="644">
        <f t="shared" si="127"/>
        <v>0</v>
      </c>
      <c r="CQ32" s="644">
        <f t="shared" si="128"/>
        <v>0</v>
      </c>
      <c r="CR32" s="644">
        <f t="shared" si="129"/>
        <v>0</v>
      </c>
      <c r="CS32" s="644">
        <f t="shared" si="130"/>
        <v>0</v>
      </c>
      <c r="CT32" s="644">
        <f t="shared" si="131"/>
        <v>0</v>
      </c>
      <c r="CU32" s="644">
        <f t="shared" si="132"/>
        <v>0</v>
      </c>
      <c r="CV32" s="362">
        <f>Actual!AX78</f>
        <v>0</v>
      </c>
      <c r="CW32" s="644">
        <f t="shared" si="54"/>
        <v>0</v>
      </c>
      <c r="CX32" s="644">
        <f t="shared" si="55"/>
        <v>0</v>
      </c>
      <c r="CY32" s="644">
        <f t="shared" si="56"/>
        <v>0</v>
      </c>
      <c r="CZ32" s="644">
        <f t="shared" si="57"/>
        <v>0</v>
      </c>
      <c r="DA32" s="644">
        <f t="shared" si="58"/>
        <v>0</v>
      </c>
      <c r="DB32" s="644">
        <f t="shared" si="59"/>
        <v>0</v>
      </c>
      <c r="DC32" s="644">
        <f t="shared" si="110"/>
        <v>56651.176224000003</v>
      </c>
      <c r="DD32" s="1132">
        <f t="shared" si="111"/>
        <v>38.944000000000003</v>
      </c>
      <c r="DE32" s="1132">
        <f t="shared" si="60"/>
        <v>20.835999999999999</v>
      </c>
      <c r="DF32" s="1132">
        <f t="shared" si="61"/>
        <v>8.9700000000000006</v>
      </c>
      <c r="DG32" s="1132">
        <f t="shared" si="62"/>
        <v>0.16800000000000001</v>
      </c>
      <c r="DH32" s="1132">
        <f t="shared" si="63"/>
        <v>4728</v>
      </c>
      <c r="DI32" s="1132">
        <f t="shared" si="64"/>
        <v>3646.5156889495224</v>
      </c>
      <c r="DJ32" s="644">
        <f t="shared" si="112"/>
        <v>56651.176224000003</v>
      </c>
      <c r="DK32" s="644">
        <f t="shared" si="113"/>
        <v>38.944000000000003</v>
      </c>
      <c r="DL32" s="644">
        <f t="shared" si="114"/>
        <v>20.835999999999999</v>
      </c>
      <c r="DM32" s="644">
        <f t="shared" si="115"/>
        <v>8.9700000000000006</v>
      </c>
      <c r="DN32" s="644">
        <f t="shared" si="116"/>
        <v>0.16800000000000001</v>
      </c>
      <c r="DO32" s="1132">
        <f t="shared" si="117"/>
        <v>4728</v>
      </c>
      <c r="DP32" s="1132">
        <f t="shared" si="118"/>
        <v>3646.5156889495224</v>
      </c>
      <c r="DQ32" s="362">
        <f>Actual!AZ78</f>
        <v>0</v>
      </c>
      <c r="DR32" s="644">
        <f t="shared" si="119"/>
        <v>0</v>
      </c>
      <c r="DS32" s="644">
        <f t="shared" si="119"/>
        <v>0</v>
      </c>
      <c r="DT32" s="644">
        <f t="shared" si="119"/>
        <v>0</v>
      </c>
      <c r="DU32" s="644">
        <f t="shared" si="119"/>
        <v>0</v>
      </c>
      <c r="DV32" s="644">
        <f t="shared" si="119"/>
        <v>0</v>
      </c>
      <c r="DW32" s="644">
        <f t="shared" si="119"/>
        <v>0</v>
      </c>
    </row>
    <row r="33" spans="1:152" ht="15">
      <c r="A33" s="1046" t="str">
        <f>'Equipment '!A36</f>
        <v>31-Sep-26</v>
      </c>
      <c r="B33" s="644">
        <f t="shared" si="0"/>
        <v>98828.664106000011</v>
      </c>
      <c r="C33" s="644">
        <f t="shared" si="10"/>
        <v>39.0128571428572</v>
      </c>
      <c r="D33" s="644">
        <f t="shared" si="11"/>
        <v>19.8028571428571</v>
      </c>
      <c r="E33" s="644">
        <f t="shared" si="12"/>
        <v>7.3742857142857092</v>
      </c>
      <c r="F33" s="644">
        <f t="shared" si="13"/>
        <v>0.13999999999999999</v>
      </c>
      <c r="G33" s="644">
        <f t="shared" si="14"/>
        <v>4906.7583999999997</v>
      </c>
      <c r="H33" s="644">
        <f t="shared" si="66"/>
        <v>3731.4194102818005</v>
      </c>
      <c r="I33" s="644">
        <f t="shared" si="67"/>
        <v>98828.664106000011</v>
      </c>
      <c r="J33" s="644">
        <f t="shared" si="68"/>
        <v>39.0128571428572</v>
      </c>
      <c r="K33" s="644">
        <f t="shared" si="69"/>
        <v>19.8028571428571</v>
      </c>
      <c r="L33" s="644">
        <f t="shared" si="70"/>
        <v>7.3742857142857092</v>
      </c>
      <c r="M33" s="644">
        <f t="shared" si="71"/>
        <v>0.13999999999999999</v>
      </c>
      <c r="N33" s="644">
        <f t="shared" si="72"/>
        <v>4906.7583999999997</v>
      </c>
      <c r="O33" s="644">
        <f t="shared" si="73"/>
        <v>3731.4194102818005</v>
      </c>
      <c r="P33" s="644">
        <f>Actual!AV79</f>
        <v>0</v>
      </c>
      <c r="Q33" s="1130">
        <f t="shared" ref="Q33:V33" si="154">Q32</f>
        <v>39.259692868249303</v>
      </c>
      <c r="R33" s="1130">
        <f t="shared" si="154"/>
        <v>22.233939419516801</v>
      </c>
      <c r="S33" s="1130">
        <f t="shared" si="154"/>
        <v>5.1624683361673904</v>
      </c>
      <c r="T33" s="1130">
        <f t="shared" si="154"/>
        <v>0.16306692045557394</v>
      </c>
      <c r="U33" s="1130">
        <f t="shared" si="154"/>
        <v>4982.7757437603759</v>
      </c>
      <c r="V33" s="1130">
        <f t="shared" si="154"/>
        <v>3891.8691108367598</v>
      </c>
      <c r="W33" s="644">
        <f t="shared" si="17"/>
        <v>0</v>
      </c>
      <c r="X33" s="1131">
        <f t="shared" si="18"/>
        <v>0</v>
      </c>
      <c r="Y33" s="1132">
        <f t="shared" si="19"/>
        <v>0</v>
      </c>
      <c r="Z33" s="1132">
        <f t="shared" si="20"/>
        <v>0</v>
      </c>
      <c r="AA33" s="1132">
        <f t="shared" si="21"/>
        <v>0</v>
      </c>
      <c r="AB33" s="1132">
        <f t="shared" si="22"/>
        <v>0</v>
      </c>
      <c r="AC33" s="1132">
        <f t="shared" si="23"/>
        <v>0</v>
      </c>
      <c r="AD33" s="644">
        <f t="shared" si="75"/>
        <v>0</v>
      </c>
      <c r="AE33" s="644">
        <f t="shared" si="76"/>
        <v>0</v>
      </c>
      <c r="AF33" s="644">
        <f t="shared" si="77"/>
        <v>0</v>
      </c>
      <c r="AG33" s="644">
        <f t="shared" si="78"/>
        <v>0</v>
      </c>
      <c r="AH33" s="644">
        <f t="shared" si="79"/>
        <v>0</v>
      </c>
      <c r="AI33" s="1132">
        <f t="shared" si="80"/>
        <v>0</v>
      </c>
      <c r="AJ33" s="1132">
        <f t="shared" si="81"/>
        <v>0</v>
      </c>
      <c r="AK33" s="362">
        <f>Actual!AU79</f>
        <v>0</v>
      </c>
      <c r="AL33" s="644">
        <f t="shared" si="82"/>
        <v>39.450000000000003</v>
      </c>
      <c r="AM33" s="644">
        <f t="shared" si="83"/>
        <v>17.2</v>
      </c>
      <c r="AN33" s="644">
        <f t="shared" si="84"/>
        <v>13.18</v>
      </c>
      <c r="AO33" s="644">
        <f t="shared" si="85"/>
        <v>0.13</v>
      </c>
      <c r="AP33" s="644">
        <f t="shared" si="121"/>
        <v>4789</v>
      </c>
      <c r="AQ33" s="644">
        <f t="shared" si="86"/>
        <v>3502.1008454106282</v>
      </c>
      <c r="AR33" s="644">
        <f t="shared" si="26"/>
        <v>2697.3303620000002</v>
      </c>
      <c r="AS33" s="1132">
        <f t="shared" si="87"/>
        <v>39.54</v>
      </c>
      <c r="AT33" s="1132">
        <f t="shared" si="27"/>
        <v>22.28</v>
      </c>
      <c r="AU33" s="1132">
        <f t="shared" si="28"/>
        <v>8.8800000000000008</v>
      </c>
      <c r="AV33" s="1132">
        <f t="shared" si="29"/>
        <v>0.1</v>
      </c>
      <c r="AW33" s="1132">
        <f t="shared" si="30"/>
        <v>4728</v>
      </c>
      <c r="AX33" s="1132">
        <f t="shared" si="31"/>
        <v>3678.0092640247044</v>
      </c>
      <c r="AY33" s="644">
        <f t="shared" si="88"/>
        <v>2697.3303620000002</v>
      </c>
      <c r="AZ33" s="644">
        <f t="shared" si="89"/>
        <v>39.54</v>
      </c>
      <c r="BA33" s="644">
        <f t="shared" si="90"/>
        <v>22.28</v>
      </c>
      <c r="BB33" s="644">
        <f t="shared" si="91"/>
        <v>8.8800000000000008</v>
      </c>
      <c r="BC33" s="644">
        <f t="shared" si="92"/>
        <v>0.1</v>
      </c>
      <c r="BD33" s="644">
        <f t="shared" si="93"/>
        <v>4728</v>
      </c>
      <c r="BE33" s="644">
        <f t="shared" si="94"/>
        <v>3678.0092640247044</v>
      </c>
      <c r="BF33" s="405">
        <f>Actual!AW79</f>
        <v>0</v>
      </c>
      <c r="BG33" s="1129">
        <f t="shared" si="95"/>
        <v>38.758693568593003</v>
      </c>
      <c r="BH33" s="1129">
        <f t="shared" si="95"/>
        <v>24.565816766115823</v>
      </c>
      <c r="BI33" s="1129">
        <f t="shared" si="95"/>
        <v>6.9297573448338197</v>
      </c>
      <c r="BJ33" s="1129">
        <f t="shared" si="95"/>
        <v>0.18280031980514408</v>
      </c>
      <c r="BK33" s="1129">
        <f t="shared" si="95"/>
        <v>4389.8195426817128</v>
      </c>
      <c r="BL33" s="1129">
        <f t="shared" si="95"/>
        <v>3745.45548895927</v>
      </c>
      <c r="BM33" s="644">
        <f t="shared" si="3"/>
        <v>0</v>
      </c>
      <c r="BN33" s="1132">
        <f t="shared" si="34"/>
        <v>0</v>
      </c>
      <c r="BO33" s="1132">
        <f t="shared" si="35"/>
        <v>0</v>
      </c>
      <c r="BP33" s="1132">
        <f t="shared" si="36"/>
        <v>0</v>
      </c>
      <c r="BQ33" s="1132">
        <f t="shared" si="37"/>
        <v>0</v>
      </c>
      <c r="BR33" s="1132">
        <f t="shared" si="38"/>
        <v>0</v>
      </c>
      <c r="BS33" s="1132">
        <f t="shared" si="39"/>
        <v>0</v>
      </c>
      <c r="BT33" s="644">
        <f t="shared" si="96"/>
        <v>0</v>
      </c>
      <c r="BU33" s="644">
        <f t="shared" si="97"/>
        <v>0</v>
      </c>
      <c r="BV33" s="644">
        <f t="shared" si="98"/>
        <v>0</v>
      </c>
      <c r="BW33" s="644">
        <f t="shared" si="99"/>
        <v>0</v>
      </c>
      <c r="BX33" s="644">
        <f t="shared" si="100"/>
        <v>0</v>
      </c>
      <c r="BY33" s="644">
        <f t="shared" si="101"/>
        <v>0</v>
      </c>
      <c r="BZ33" s="644">
        <f t="shared" si="102"/>
        <v>0</v>
      </c>
      <c r="CA33" s="362">
        <f>Actual!AY79</f>
        <v>0</v>
      </c>
      <c r="CB33" s="644">
        <f t="shared" si="41"/>
        <v>0</v>
      </c>
      <c r="CC33" s="644">
        <f t="shared" si="42"/>
        <v>0</v>
      </c>
      <c r="CD33" s="644">
        <f t="shared" si="43"/>
        <v>0</v>
      </c>
      <c r="CE33" s="644">
        <f t="shared" si="44"/>
        <v>0</v>
      </c>
      <c r="CF33" s="644">
        <f t="shared" si="45"/>
        <v>0</v>
      </c>
      <c r="CG33" s="644">
        <f t="shared" si="46"/>
        <v>0</v>
      </c>
      <c r="CH33" s="1132">
        <f t="shared" si="6"/>
        <v>0</v>
      </c>
      <c r="CI33" s="1132">
        <f t="shared" si="47"/>
        <v>0</v>
      </c>
      <c r="CJ33" s="1132">
        <f t="shared" si="48"/>
        <v>0</v>
      </c>
      <c r="CK33" s="1132">
        <f t="shared" si="49"/>
        <v>0</v>
      </c>
      <c r="CL33" s="1132">
        <f t="shared" si="50"/>
        <v>0</v>
      </c>
      <c r="CM33" s="1132">
        <f t="shared" si="51"/>
        <v>0</v>
      </c>
      <c r="CN33" s="1132">
        <f t="shared" si="52"/>
        <v>0</v>
      </c>
      <c r="CO33" s="1132">
        <f t="shared" si="103"/>
        <v>0</v>
      </c>
      <c r="CP33" s="644">
        <f t="shared" si="127"/>
        <v>0</v>
      </c>
      <c r="CQ33" s="644">
        <f t="shared" si="128"/>
        <v>0</v>
      </c>
      <c r="CR33" s="644">
        <f t="shared" si="129"/>
        <v>0</v>
      </c>
      <c r="CS33" s="644">
        <f t="shared" si="130"/>
        <v>0</v>
      </c>
      <c r="CT33" s="644">
        <f t="shared" si="131"/>
        <v>0</v>
      </c>
      <c r="CU33" s="644">
        <f t="shared" si="132"/>
        <v>0</v>
      </c>
      <c r="CV33" s="362">
        <f>Actual!AX79</f>
        <v>0</v>
      </c>
      <c r="CW33" s="644">
        <f t="shared" si="54"/>
        <v>0</v>
      </c>
      <c r="CX33" s="644">
        <f t="shared" si="55"/>
        <v>0</v>
      </c>
      <c r="CY33" s="644">
        <f t="shared" si="56"/>
        <v>0</v>
      </c>
      <c r="CZ33" s="644">
        <f t="shared" si="57"/>
        <v>0</v>
      </c>
      <c r="DA33" s="644">
        <f t="shared" si="58"/>
        <v>0</v>
      </c>
      <c r="DB33" s="644">
        <f t="shared" si="59"/>
        <v>0</v>
      </c>
      <c r="DC33" s="644">
        <f t="shared" si="110"/>
        <v>56651.176224000003</v>
      </c>
      <c r="DD33" s="1132">
        <f t="shared" si="111"/>
        <v>38.944000000000003</v>
      </c>
      <c r="DE33" s="1132">
        <f t="shared" si="60"/>
        <v>20.835999999999999</v>
      </c>
      <c r="DF33" s="1132">
        <f t="shared" si="61"/>
        <v>8.9700000000000006</v>
      </c>
      <c r="DG33" s="1132">
        <f t="shared" si="62"/>
        <v>0.16800000000000001</v>
      </c>
      <c r="DH33" s="1132">
        <f t="shared" si="63"/>
        <v>4728</v>
      </c>
      <c r="DI33" s="1132">
        <f t="shared" si="64"/>
        <v>3646.5156889495224</v>
      </c>
      <c r="DJ33" s="644">
        <f t="shared" si="112"/>
        <v>56651.176224000003</v>
      </c>
      <c r="DK33" s="644">
        <f t="shared" si="113"/>
        <v>38.944000000000003</v>
      </c>
      <c r="DL33" s="644">
        <f t="shared" si="114"/>
        <v>20.835999999999999</v>
      </c>
      <c r="DM33" s="644">
        <f t="shared" si="115"/>
        <v>8.9700000000000006</v>
      </c>
      <c r="DN33" s="644">
        <f t="shared" si="116"/>
        <v>0.16800000000000001</v>
      </c>
      <c r="DO33" s="1132">
        <f t="shared" si="117"/>
        <v>4728</v>
      </c>
      <c r="DP33" s="1132">
        <f t="shared" si="118"/>
        <v>3646.5156889495224</v>
      </c>
      <c r="DQ33" s="362">
        <f>Actual!AZ79</f>
        <v>0</v>
      </c>
      <c r="DR33" s="644">
        <f t="shared" si="119"/>
        <v>0</v>
      </c>
      <c r="DS33" s="644">
        <f t="shared" si="119"/>
        <v>0</v>
      </c>
      <c r="DT33" s="644">
        <f t="shared" si="119"/>
        <v>0</v>
      </c>
      <c r="DU33" s="644">
        <f t="shared" si="119"/>
        <v>0</v>
      </c>
      <c r="DV33" s="644">
        <f t="shared" si="119"/>
        <v>0</v>
      </c>
      <c r="DW33" s="644">
        <f t="shared" si="119"/>
        <v>0</v>
      </c>
    </row>
    <row r="34" spans="1:152">
      <c r="A34" s="362"/>
      <c r="B34" s="362"/>
      <c r="C34" s="362"/>
      <c r="D34" s="362"/>
      <c r="E34" s="362"/>
      <c r="F34" s="362"/>
      <c r="G34" s="362"/>
      <c r="H34" s="362"/>
      <c r="I34" s="362">
        <v>29664.021400000001</v>
      </c>
      <c r="J34" s="362"/>
      <c r="K34" s="362"/>
      <c r="L34" s="362"/>
      <c r="M34" s="362"/>
      <c r="N34" s="362"/>
      <c r="O34" s="362"/>
      <c r="P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/>
      <c r="AE34" s="362"/>
      <c r="AF34" s="362"/>
      <c r="AG34" s="362"/>
      <c r="AH34" s="362"/>
      <c r="AI34" s="362"/>
      <c r="AJ34" s="362"/>
      <c r="AK34" s="362"/>
      <c r="AL34" s="362"/>
      <c r="AM34" s="362"/>
      <c r="AN34" s="362"/>
      <c r="AO34" s="362"/>
      <c r="AP34" s="362"/>
      <c r="AQ34" s="362"/>
      <c r="AR34" s="362"/>
      <c r="AS34" s="362"/>
      <c r="AY34" s="362"/>
    </row>
    <row r="35" spans="1:152">
      <c r="C35" s="390"/>
      <c r="E35" s="390"/>
    </row>
    <row r="36" spans="1:152" ht="28.9" customHeight="1">
      <c r="A36" s="1398" t="s">
        <v>5</v>
      </c>
      <c r="B36" s="1015" t="s">
        <v>555</v>
      </c>
      <c r="C36" s="1016"/>
      <c r="D36" s="1016"/>
      <c r="E36" s="1017"/>
      <c r="F36" s="1015"/>
      <c r="G36" s="1402" t="s">
        <v>556</v>
      </c>
      <c r="H36" s="1402"/>
      <c r="I36" s="1402"/>
      <c r="J36" s="1402"/>
      <c r="K36" s="1402"/>
      <c r="M36" s="1403" t="s">
        <v>555</v>
      </c>
      <c r="N36" s="1404"/>
      <c r="O36" s="1404"/>
      <c r="P36" s="1405"/>
      <c r="Q36" s="1196"/>
      <c r="S36" s="1193" t="s">
        <v>556</v>
      </c>
      <c r="T36" s="1194"/>
      <c r="U36" s="1195"/>
      <c r="V36" s="1125"/>
      <c r="W36" s="1399"/>
      <c r="X36" s="1400"/>
      <c r="Y36" s="1400"/>
      <c r="Z36" s="1401"/>
      <c r="AA36" s="1406"/>
      <c r="AB36" s="1407"/>
      <c r="AC36" s="1407"/>
      <c r="AD36" s="1408"/>
    </row>
    <row r="37" spans="1:152" ht="28.9">
      <c r="A37" s="1398"/>
      <c r="B37" s="989" t="s">
        <v>557</v>
      </c>
      <c r="C37" s="989" t="s">
        <v>558</v>
      </c>
      <c r="D37" s="989" t="s">
        <v>559</v>
      </c>
      <c r="E37" s="989" t="s">
        <v>560</v>
      </c>
      <c r="F37" s="990" t="s">
        <v>126</v>
      </c>
      <c r="G37" s="1066" t="s">
        <v>209</v>
      </c>
      <c r="H37" s="1066" t="s">
        <v>561</v>
      </c>
      <c r="I37" s="1066" t="s">
        <v>210</v>
      </c>
      <c r="J37" s="990" t="s">
        <v>126</v>
      </c>
      <c r="K37" s="990" t="s">
        <v>247</v>
      </c>
      <c r="M37" s="989" t="s">
        <v>557</v>
      </c>
      <c r="N37" s="989" t="s">
        <v>558</v>
      </c>
      <c r="O37" s="989" t="s">
        <v>559</v>
      </c>
      <c r="P37" s="989" t="s">
        <v>560</v>
      </c>
      <c r="Q37" s="990" t="s">
        <v>126</v>
      </c>
      <c r="R37" s="1066" t="s">
        <v>209</v>
      </c>
      <c r="S37" s="1066" t="s">
        <v>561</v>
      </c>
      <c r="T37" s="1066" t="s">
        <v>210</v>
      </c>
      <c r="U37" s="990" t="s">
        <v>126</v>
      </c>
      <c r="V37" s="990" t="s">
        <v>247</v>
      </c>
      <c r="W37" s="989"/>
      <c r="X37" s="989"/>
      <c r="Y37" s="989"/>
      <c r="Z37" s="989"/>
      <c r="AA37" s="1066"/>
      <c r="AB37" s="1066"/>
      <c r="AC37" s="1066"/>
      <c r="AD37" s="990"/>
      <c r="AE37" s="990"/>
    </row>
    <row r="38" spans="1:152" ht="15">
      <c r="A38" s="1046">
        <v>46235</v>
      </c>
      <c r="B38" s="644"/>
      <c r="C38" s="392"/>
      <c r="D38" s="644"/>
      <c r="E38" s="392"/>
      <c r="F38" s="644">
        <f>SUM(B38:E38)</f>
        <v>0</v>
      </c>
      <c r="G38" s="644"/>
      <c r="H38" s="644"/>
      <c r="I38" s="392"/>
      <c r="J38" s="644">
        <f t="shared" ref="J38:J99" si="155">SUM(G38:I38)</f>
        <v>0</v>
      </c>
      <c r="K38" s="1030"/>
      <c r="L38" s="1049" t="s">
        <v>157</v>
      </c>
      <c r="M38" s="1014">
        <f>SUM(B38:B39)</f>
        <v>0</v>
      </c>
      <c r="N38" s="1014">
        <f>SUM(C38:C39)</f>
        <v>0</v>
      </c>
      <c r="O38" s="1014">
        <f>SUM(D38:D39)</f>
        <v>0</v>
      </c>
      <c r="P38" s="1014">
        <f>SUM(E38:E39)</f>
        <v>0</v>
      </c>
      <c r="Q38" s="1014">
        <f>SUM(M38:P38)</f>
        <v>0</v>
      </c>
      <c r="R38" s="1014">
        <f>SUM(G38:G39)</f>
        <v>0</v>
      </c>
      <c r="S38" s="1014">
        <f>SUM(H38:H39)</f>
        <v>0</v>
      </c>
      <c r="T38" s="1014">
        <f>SUM(I38:I39)</f>
        <v>0</v>
      </c>
      <c r="U38" s="1014">
        <f>SUM(J38:J39)</f>
        <v>0</v>
      </c>
      <c r="V38" s="1014">
        <f>SUM(K38:K39)</f>
        <v>0</v>
      </c>
      <c r="W38" s="362"/>
      <c r="X38" s="362"/>
      <c r="Y38" s="362"/>
      <c r="Z38" s="362"/>
      <c r="AA38" s="362"/>
      <c r="AB38" s="362"/>
      <c r="AC38" s="362"/>
      <c r="AD38" s="362"/>
      <c r="AE38" s="362"/>
      <c r="AF38" s="362"/>
      <c r="AG38" s="362"/>
      <c r="AH38" s="362"/>
      <c r="AI38" s="362"/>
      <c r="AJ38" s="362"/>
      <c r="AK38" s="362"/>
      <c r="AL38" s="362"/>
      <c r="AM38" s="362"/>
      <c r="AN38" s="362"/>
      <c r="AO38" s="362"/>
      <c r="AP38" s="362"/>
      <c r="AQ38" s="362"/>
      <c r="AR38" s="362"/>
      <c r="AS38" s="362"/>
      <c r="AT38" s="362"/>
      <c r="AU38" s="362"/>
      <c r="AV38" s="362"/>
      <c r="AW38" s="362"/>
      <c r="AX38" s="362"/>
      <c r="AY38" s="362"/>
      <c r="AZ38" s="362"/>
      <c r="BA38" s="362"/>
      <c r="BB38" s="362"/>
      <c r="CB38" s="362"/>
      <c r="CC38" s="362"/>
      <c r="CD38" s="362"/>
      <c r="CE38" s="362"/>
      <c r="CF38" s="362"/>
      <c r="CG38" s="362"/>
      <c r="CH38" s="362"/>
      <c r="CI38" s="362"/>
      <c r="CJ38" s="362"/>
      <c r="CK38" s="362"/>
      <c r="CL38" s="362"/>
      <c r="CM38" s="362"/>
      <c r="CN38" s="362"/>
      <c r="CO38" s="362"/>
      <c r="CP38" s="362"/>
      <c r="CQ38" s="362"/>
      <c r="CR38" s="362"/>
      <c r="CS38" s="362"/>
      <c r="CT38" s="362"/>
      <c r="CU38" s="362"/>
      <c r="CV38" s="362"/>
      <c r="CW38" s="362"/>
      <c r="CX38" s="362"/>
      <c r="CY38" s="362"/>
      <c r="CZ38" s="362"/>
      <c r="DA38" s="362"/>
      <c r="DB38" s="362"/>
      <c r="DC38" s="362"/>
      <c r="DD38" s="362"/>
      <c r="DE38" s="362"/>
      <c r="DF38" s="362"/>
      <c r="DG38" s="362"/>
      <c r="DH38" s="362"/>
      <c r="DI38" s="362"/>
      <c r="DJ38" s="362"/>
      <c r="DK38" s="362"/>
      <c r="DL38" s="362"/>
      <c r="DM38" s="362"/>
      <c r="DN38" s="362"/>
      <c r="DO38" s="362"/>
      <c r="DP38" s="362"/>
      <c r="DQ38" s="362"/>
      <c r="DR38" s="362"/>
      <c r="DS38" s="362"/>
      <c r="DT38" s="362"/>
      <c r="DU38" s="362"/>
      <c r="DV38" s="362"/>
      <c r="DW38" s="362"/>
      <c r="DX38" s="362"/>
      <c r="DY38" s="362"/>
      <c r="DZ38" s="362"/>
      <c r="EA38" s="362"/>
    </row>
    <row r="39" spans="1:152" ht="15">
      <c r="A39" s="1047">
        <v>46235</v>
      </c>
      <c r="B39" s="644"/>
      <c r="C39" s="644"/>
      <c r="D39" s="644"/>
      <c r="E39" s="644"/>
      <c r="F39" s="644">
        <f t="shared" ref="F39:F99" si="156">SUM(B39:E39)</f>
        <v>0</v>
      </c>
      <c r="G39" s="644"/>
      <c r="H39" s="644"/>
      <c r="I39" s="392"/>
      <c r="J39" s="644">
        <f t="shared" si="155"/>
        <v>0</v>
      </c>
      <c r="K39" s="1032"/>
      <c r="L39" s="1049" t="s">
        <v>158</v>
      </c>
      <c r="M39" s="1014">
        <f>SUM(B40:B41)</f>
        <v>0</v>
      </c>
      <c r="N39" s="1014">
        <f>SUM(C40:C41)</f>
        <v>0</v>
      </c>
      <c r="O39" s="1014">
        <f>SUM(D40:D41)</f>
        <v>0</v>
      </c>
      <c r="P39" s="1014">
        <f>SUM(E40:E41)</f>
        <v>0</v>
      </c>
      <c r="Q39" s="1014">
        <f t="shared" ref="Q39:Q68" si="157">SUM(M39:P39)</f>
        <v>0</v>
      </c>
      <c r="R39" s="1014">
        <f>SUM(G40:G41)</f>
        <v>0</v>
      </c>
      <c r="S39" s="1014">
        <f>SUM(H40:H41)</f>
        <v>0</v>
      </c>
      <c r="T39" s="1014">
        <f>SUM(I40:I41)</f>
        <v>0</v>
      </c>
      <c r="U39" s="1014">
        <f>SUM(J40:J41)</f>
        <v>0</v>
      </c>
      <c r="V39" s="1014">
        <f>SUM(K40:K41)</f>
        <v>0</v>
      </c>
      <c r="W39" s="405"/>
      <c r="X39" s="405"/>
      <c r="Y39" s="405"/>
      <c r="Z39" s="405"/>
      <c r="AA39" s="405"/>
      <c r="AB39" s="405"/>
      <c r="AC39" s="405"/>
      <c r="AD39" s="405"/>
      <c r="AE39" s="405"/>
      <c r="AF39" s="405"/>
      <c r="AG39" s="405"/>
      <c r="AH39" s="405"/>
      <c r="AI39" s="405"/>
      <c r="AJ39" s="405"/>
      <c r="AK39" s="405"/>
      <c r="AL39" s="405"/>
      <c r="AM39" s="405"/>
      <c r="AN39" s="405"/>
      <c r="AO39" s="405"/>
      <c r="AP39" s="405"/>
      <c r="AQ39" s="405"/>
      <c r="AR39" s="405"/>
      <c r="AS39" s="405"/>
      <c r="AT39" s="405"/>
      <c r="AU39" s="405"/>
      <c r="AV39" s="405"/>
      <c r="AW39" s="405"/>
      <c r="AX39" s="405"/>
      <c r="AY39" s="405"/>
      <c r="AZ39" s="405"/>
      <c r="BA39" s="405"/>
      <c r="BB39" s="405"/>
      <c r="DR39" s="362"/>
      <c r="DS39" s="362"/>
      <c r="DT39" s="362"/>
      <c r="DU39" s="362"/>
      <c r="DV39" s="362"/>
      <c r="DW39" s="362"/>
      <c r="DX39" s="362"/>
      <c r="DY39" s="362"/>
      <c r="DZ39" s="362"/>
      <c r="EA39" s="362"/>
      <c r="EB39" s="362"/>
      <c r="EC39" s="362"/>
      <c r="ED39" s="362"/>
      <c r="EE39" s="362"/>
      <c r="EF39" s="362"/>
      <c r="EG39" s="362"/>
      <c r="EH39" s="362"/>
      <c r="EI39" s="362"/>
      <c r="EJ39" s="362"/>
      <c r="EK39" s="362"/>
      <c r="EL39" s="362"/>
      <c r="EM39" s="362"/>
      <c r="EN39" s="362"/>
      <c r="EO39" s="362"/>
      <c r="EP39" s="362"/>
      <c r="EQ39" s="362"/>
      <c r="ER39" s="362"/>
      <c r="ES39" s="362"/>
      <c r="ET39" s="362"/>
      <c r="EU39" s="362"/>
      <c r="EV39" s="362"/>
    </row>
    <row r="40" spans="1:152" ht="15">
      <c r="A40" s="1046">
        <f t="shared" ref="A40:A99" si="158">A38+1</f>
        <v>46236</v>
      </c>
      <c r="B40" s="644"/>
      <c r="C40" s="392"/>
      <c r="D40" s="644"/>
      <c r="E40" s="392"/>
      <c r="F40" s="644">
        <f t="shared" si="156"/>
        <v>0</v>
      </c>
      <c r="G40" s="644"/>
      <c r="H40" s="644"/>
      <c r="I40" s="644"/>
      <c r="J40" s="644">
        <f t="shared" si="155"/>
        <v>0</v>
      </c>
      <c r="K40" s="1032"/>
      <c r="L40" s="1049" t="s">
        <v>159</v>
      </c>
      <c r="M40" s="1014">
        <f>SUM(B42:B43)</f>
        <v>0</v>
      </c>
      <c r="N40" s="1014">
        <f>SUM(C42:C43)</f>
        <v>0</v>
      </c>
      <c r="O40" s="1014">
        <f>SUM(D42:D43)</f>
        <v>0</v>
      </c>
      <c r="P40" s="1014">
        <f>SUM(E42:E43)</f>
        <v>0</v>
      </c>
      <c r="Q40" s="1014">
        <f t="shared" si="157"/>
        <v>0</v>
      </c>
      <c r="R40" s="1014">
        <f>SUM(G42:G43)</f>
        <v>0</v>
      </c>
      <c r="S40" s="1014">
        <f>SUM(H42:H43)</f>
        <v>0</v>
      </c>
      <c r="T40" s="1014">
        <f>SUM(I42:I43)</f>
        <v>0</v>
      </c>
      <c r="U40" s="1014">
        <f>SUM(J42:J43)</f>
        <v>0</v>
      </c>
      <c r="V40" s="1014">
        <f>SUM(K42:K43)</f>
        <v>0</v>
      </c>
      <c r="W40" s="1014"/>
      <c r="X40" s="1014"/>
      <c r="Y40" s="1014"/>
      <c r="Z40" s="1014"/>
      <c r="AA40" s="1014"/>
      <c r="AB40" s="1014"/>
      <c r="AC40" s="1014"/>
      <c r="AD40" s="1014"/>
      <c r="AE40" s="1014"/>
      <c r="AF40" s="1014"/>
      <c r="AG40" s="1014"/>
      <c r="AH40" s="1014"/>
      <c r="AI40" s="1014"/>
      <c r="AJ40" s="1014"/>
      <c r="AK40" s="1014"/>
      <c r="AL40" s="1014"/>
    </row>
    <row r="41" spans="1:152" ht="15">
      <c r="A41" s="1048">
        <f t="shared" si="158"/>
        <v>46236</v>
      </c>
      <c r="B41" s="644"/>
      <c r="C41" s="644"/>
      <c r="D41" s="644"/>
      <c r="E41" s="644"/>
      <c r="F41" s="644">
        <f t="shared" si="156"/>
        <v>0</v>
      </c>
      <c r="G41" s="644"/>
      <c r="H41" s="644"/>
      <c r="I41" s="644"/>
      <c r="J41" s="644">
        <f t="shared" si="155"/>
        <v>0</v>
      </c>
      <c r="K41" s="1032"/>
      <c r="L41" s="1049" t="s">
        <v>160</v>
      </c>
      <c r="M41" s="1014">
        <f>SUM(B44:B45)</f>
        <v>0</v>
      </c>
      <c r="N41" s="1014">
        <f>SUM(C44:C45)</f>
        <v>0</v>
      </c>
      <c r="O41" s="1014">
        <f>SUM(D44:D45)</f>
        <v>0</v>
      </c>
      <c r="P41" s="1014">
        <f>SUM(E44:E45)</f>
        <v>0</v>
      </c>
      <c r="Q41" s="1014">
        <f t="shared" si="157"/>
        <v>0</v>
      </c>
      <c r="R41" s="1014">
        <f>SUM(G44:G45)</f>
        <v>0</v>
      </c>
      <c r="S41" s="1014">
        <f>SUM(H44:H45)</f>
        <v>0</v>
      </c>
      <c r="T41" s="1014">
        <f>SUM(I44:I45)</f>
        <v>0</v>
      </c>
      <c r="U41" s="1014">
        <f>SUM(J44:J45)</f>
        <v>0</v>
      </c>
      <c r="V41" s="1014">
        <f>SUM(K44:K45)</f>
        <v>0</v>
      </c>
      <c r="W41" s="1014"/>
      <c r="X41" s="1014"/>
      <c r="Y41" s="1014"/>
      <c r="Z41" s="1014"/>
      <c r="AA41" s="1014"/>
      <c r="AB41" s="1014"/>
      <c r="AC41" s="1014"/>
      <c r="AD41" s="1014"/>
      <c r="AE41" s="1014"/>
      <c r="AF41" s="1014"/>
      <c r="AG41" s="1014"/>
      <c r="AH41" s="1014"/>
      <c r="AI41" s="1014"/>
      <c r="AJ41" s="1014"/>
      <c r="AK41" s="1014"/>
      <c r="AL41" s="1014"/>
    </row>
    <row r="42" spans="1:152" ht="15">
      <c r="A42" s="1046">
        <f t="shared" si="158"/>
        <v>46237</v>
      </c>
      <c r="B42" s="644"/>
      <c r="C42" s="644"/>
      <c r="D42" s="644"/>
      <c r="E42" s="644"/>
      <c r="F42" s="644">
        <f t="shared" si="156"/>
        <v>0</v>
      </c>
      <c r="G42" s="644"/>
      <c r="H42" s="644"/>
      <c r="I42" s="644"/>
      <c r="J42" s="644">
        <f t="shared" si="155"/>
        <v>0</v>
      </c>
      <c r="K42" s="1032"/>
      <c r="L42" s="1049" t="s">
        <v>161</v>
      </c>
      <c r="M42" s="1014">
        <f>SUM(B46:B47)</f>
        <v>0</v>
      </c>
      <c r="N42" s="1014">
        <f>SUM(C46:C47)</f>
        <v>0</v>
      </c>
      <c r="O42" s="1014">
        <f>SUM(D46:D47)</f>
        <v>0</v>
      </c>
      <c r="P42" s="1014">
        <f>SUM(E46:E47)</f>
        <v>0</v>
      </c>
      <c r="Q42" s="1014">
        <f t="shared" si="157"/>
        <v>0</v>
      </c>
      <c r="R42" s="1014">
        <f>SUM(G46:G47)</f>
        <v>0</v>
      </c>
      <c r="S42" s="1014">
        <f>SUM(H46:H47)</f>
        <v>0</v>
      </c>
      <c r="T42" s="1014">
        <f>SUM(I46:I47)</f>
        <v>0</v>
      </c>
      <c r="U42" s="1014">
        <f>SUM(J46:J47)</f>
        <v>0</v>
      </c>
      <c r="V42" s="1014">
        <f>SUM(K46:K47)</f>
        <v>0</v>
      </c>
      <c r="W42" s="1014"/>
      <c r="X42" s="1014"/>
      <c r="Y42" s="1014"/>
      <c r="Z42" s="1014"/>
      <c r="AA42" s="1014"/>
      <c r="AB42" s="1014"/>
      <c r="AC42" s="1014"/>
      <c r="AD42" s="1014"/>
      <c r="AE42" s="1014"/>
      <c r="AF42" s="1014"/>
      <c r="AG42" s="1014"/>
      <c r="AH42" s="1014"/>
      <c r="AI42" s="1014"/>
      <c r="AJ42" s="1014"/>
      <c r="AK42" s="1014"/>
      <c r="AL42" s="1014"/>
    </row>
    <row r="43" spans="1:152" ht="15">
      <c r="A43" s="1048">
        <f t="shared" si="158"/>
        <v>46237</v>
      </c>
      <c r="B43" s="644"/>
      <c r="C43" s="644"/>
      <c r="D43" s="644"/>
      <c r="E43" s="644"/>
      <c r="F43" s="644">
        <f t="shared" si="156"/>
        <v>0</v>
      </c>
      <c r="G43" s="644"/>
      <c r="H43" s="644"/>
      <c r="I43" s="644"/>
      <c r="J43" s="644">
        <f t="shared" si="155"/>
        <v>0</v>
      </c>
      <c r="K43" s="1032"/>
      <c r="L43" s="1049" t="s">
        <v>162</v>
      </c>
      <c r="M43" s="1014">
        <f>SUM(B48:B49)</f>
        <v>0</v>
      </c>
      <c r="N43" s="1014">
        <f>SUM(C48:C49)</f>
        <v>0</v>
      </c>
      <c r="O43" s="1014">
        <f>SUM(D48:D49)</f>
        <v>0</v>
      </c>
      <c r="P43" s="1014">
        <f>SUM(E48:E49)</f>
        <v>0</v>
      </c>
      <c r="Q43" s="1014">
        <f t="shared" si="157"/>
        <v>0</v>
      </c>
      <c r="R43" s="1014">
        <f>SUM(G48:G49)</f>
        <v>0</v>
      </c>
      <c r="S43" s="1014">
        <f>SUM(H48:H49)</f>
        <v>0</v>
      </c>
      <c r="T43" s="1014">
        <f>SUM(I48:I49)</f>
        <v>0</v>
      </c>
      <c r="U43" s="1014">
        <f>SUM(J48:J49)</f>
        <v>0</v>
      </c>
      <c r="V43" s="1014">
        <f>SUM(K48:K49)</f>
        <v>0</v>
      </c>
      <c r="W43" s="1014"/>
      <c r="X43" s="1014"/>
      <c r="Y43" s="1014"/>
      <c r="Z43" s="1014"/>
      <c r="AA43" s="1014"/>
      <c r="AB43" s="1014"/>
      <c r="AC43" s="1014"/>
      <c r="AD43" s="1014"/>
      <c r="AE43" s="1014"/>
      <c r="AF43" s="1014"/>
      <c r="AG43" s="1014"/>
      <c r="AH43" s="1014"/>
      <c r="AI43" s="1014"/>
      <c r="AJ43" s="1014"/>
      <c r="AK43" s="1014"/>
      <c r="AL43" s="1014"/>
    </row>
    <row r="44" spans="1:152" ht="15">
      <c r="A44" s="1046">
        <f t="shared" si="158"/>
        <v>46238</v>
      </c>
      <c r="B44" s="644"/>
      <c r="C44" s="644"/>
      <c r="D44" s="644"/>
      <c r="E44" s="644"/>
      <c r="F44" s="644">
        <f t="shared" si="156"/>
        <v>0</v>
      </c>
      <c r="G44" s="644"/>
      <c r="H44" s="644"/>
      <c r="I44" s="644"/>
      <c r="J44" s="644">
        <f t="shared" si="155"/>
        <v>0</v>
      </c>
      <c r="K44" s="1032"/>
      <c r="L44" s="1049" t="s">
        <v>163</v>
      </c>
      <c r="M44" s="1014">
        <f>SUM(B50:B51)</f>
        <v>0</v>
      </c>
      <c r="N44" s="1014">
        <f>SUM(C50:C51)</f>
        <v>0</v>
      </c>
      <c r="O44" s="1014">
        <f>SUM(D50:D51)</f>
        <v>0</v>
      </c>
      <c r="P44" s="1014">
        <f>SUM(E50:E51)</f>
        <v>0</v>
      </c>
      <c r="Q44" s="1014">
        <f t="shared" si="157"/>
        <v>0</v>
      </c>
      <c r="R44" s="1014">
        <f>SUM(G50:G51)</f>
        <v>0</v>
      </c>
      <c r="S44" s="1014">
        <f>SUM(H50:H51)</f>
        <v>0</v>
      </c>
      <c r="T44" s="1014">
        <f>SUM(I50:I51)</f>
        <v>0</v>
      </c>
      <c r="U44" s="1014">
        <f>SUM(J50:J51)</f>
        <v>0</v>
      </c>
      <c r="V44" s="1014">
        <f>SUM(K50:K51)</f>
        <v>0</v>
      </c>
      <c r="W44" s="1014"/>
      <c r="X44" s="1014"/>
      <c r="Y44" s="1014"/>
      <c r="Z44" s="1014"/>
      <c r="AA44" s="1014"/>
      <c r="AB44" s="1014"/>
      <c r="AC44" s="1014"/>
      <c r="AD44" s="1014"/>
      <c r="AE44" s="1014"/>
      <c r="AF44" s="1014"/>
      <c r="AG44" s="1014"/>
      <c r="AH44" s="1014"/>
      <c r="AI44" s="1014"/>
      <c r="AJ44" s="1014"/>
      <c r="AK44" s="1014"/>
      <c r="AL44" s="1014"/>
    </row>
    <row r="45" spans="1:152" ht="15">
      <c r="A45" s="1048">
        <f t="shared" si="158"/>
        <v>46238</v>
      </c>
      <c r="B45" s="644"/>
      <c r="C45" s="644"/>
      <c r="D45" s="644"/>
      <c r="E45" s="644"/>
      <c r="F45" s="644">
        <f t="shared" si="156"/>
        <v>0</v>
      </c>
      <c r="G45" s="644"/>
      <c r="H45" s="644"/>
      <c r="I45" s="644"/>
      <c r="J45" s="644">
        <f t="shared" si="155"/>
        <v>0</v>
      </c>
      <c r="K45" s="1032"/>
      <c r="L45" s="1049" t="s">
        <v>164</v>
      </c>
      <c r="M45" s="1014">
        <f>SUM(B52:B53)</f>
        <v>0</v>
      </c>
      <c r="N45" s="1014">
        <f>SUM(C52:C53)</f>
        <v>0</v>
      </c>
      <c r="O45" s="1014">
        <f>SUM(D52:D53)</f>
        <v>0</v>
      </c>
      <c r="P45" s="1014">
        <f>SUM(E52:E53)</f>
        <v>0</v>
      </c>
      <c r="Q45" s="1014">
        <f t="shared" si="157"/>
        <v>0</v>
      </c>
      <c r="R45" s="1014">
        <f>SUM(G52:G53)</f>
        <v>0</v>
      </c>
      <c r="S45" s="1014">
        <f>SUM(H52:H53)</f>
        <v>0</v>
      </c>
      <c r="T45" s="1014">
        <f>SUM(I52:I53)</f>
        <v>0</v>
      </c>
      <c r="U45" s="1014">
        <f>SUM(J52:J53)</f>
        <v>0</v>
      </c>
      <c r="V45" s="1014">
        <f>SUM(K52:K53)</f>
        <v>0</v>
      </c>
      <c r="W45" s="1014"/>
      <c r="X45" s="1014"/>
      <c r="Y45" s="1014"/>
      <c r="Z45" s="1014"/>
      <c r="AA45" s="1014"/>
      <c r="AB45" s="1014"/>
      <c r="AC45" s="1014"/>
      <c r="AD45" s="1014"/>
      <c r="AE45" s="1014"/>
      <c r="AF45" s="1014"/>
      <c r="AG45" s="1014"/>
      <c r="AH45" s="1014"/>
      <c r="AI45" s="1014"/>
      <c r="AJ45" s="1014"/>
      <c r="AK45" s="1014"/>
      <c r="AL45" s="1014"/>
    </row>
    <row r="46" spans="1:152" ht="15">
      <c r="A46" s="1046">
        <f t="shared" si="158"/>
        <v>46239</v>
      </c>
      <c r="B46" s="644"/>
      <c r="C46" s="644"/>
      <c r="D46" s="644"/>
      <c r="E46" s="644"/>
      <c r="F46" s="644">
        <f t="shared" si="156"/>
        <v>0</v>
      </c>
      <c r="G46" s="644"/>
      <c r="H46" s="644"/>
      <c r="I46" s="644"/>
      <c r="J46" s="644">
        <f t="shared" si="155"/>
        <v>0</v>
      </c>
      <c r="K46" s="1032"/>
      <c r="L46" s="1049" t="s">
        <v>165</v>
      </c>
      <c r="M46" s="1014">
        <f>SUM(B54:B55)</f>
        <v>0</v>
      </c>
      <c r="N46" s="1014">
        <f>SUM(C54:C55)</f>
        <v>0</v>
      </c>
      <c r="O46" s="1014">
        <f>SUM(D54:D55)</f>
        <v>0</v>
      </c>
      <c r="P46" s="1014">
        <f>SUM(E54:E55)</f>
        <v>0</v>
      </c>
      <c r="Q46" s="1014">
        <f t="shared" si="157"/>
        <v>0</v>
      </c>
      <c r="R46" s="1014">
        <f>SUM(G54:G55)</f>
        <v>0</v>
      </c>
      <c r="S46" s="1014">
        <f>SUM(H54:H55)</f>
        <v>0</v>
      </c>
      <c r="T46" s="1014">
        <f>SUM(I54:I55)</f>
        <v>0</v>
      </c>
      <c r="U46" s="1014">
        <f>SUM(J54:J55)</f>
        <v>0</v>
      </c>
      <c r="V46" s="1014">
        <f>SUM(K54:K55)</f>
        <v>0</v>
      </c>
      <c r="W46" s="1014"/>
      <c r="X46" s="1014"/>
      <c r="Y46" s="1014"/>
      <c r="Z46" s="1014"/>
      <c r="AA46" s="1014"/>
      <c r="AB46" s="1014"/>
      <c r="AC46" s="1014"/>
      <c r="AD46" s="1014"/>
      <c r="AE46" s="1014"/>
      <c r="AF46" s="1014"/>
      <c r="AG46" s="1014"/>
      <c r="AH46" s="1014"/>
      <c r="AI46" s="1014"/>
      <c r="AJ46" s="1014"/>
      <c r="AK46" s="1014"/>
      <c r="AL46" s="1014"/>
    </row>
    <row r="47" spans="1:152" ht="15">
      <c r="A47" s="1045">
        <f t="shared" si="158"/>
        <v>46239</v>
      </c>
      <c r="B47" s="644"/>
      <c r="C47" s="644"/>
      <c r="D47" s="644"/>
      <c r="E47" s="644"/>
      <c r="F47" s="644">
        <f t="shared" si="156"/>
        <v>0</v>
      </c>
      <c r="G47" s="644"/>
      <c r="H47" s="644"/>
      <c r="I47" s="644"/>
      <c r="J47" s="644">
        <f t="shared" si="155"/>
        <v>0</v>
      </c>
      <c r="K47" s="1032"/>
      <c r="L47" s="1049" t="s">
        <v>166</v>
      </c>
      <c r="M47" s="1014">
        <f>SUM(B56:B57)</f>
        <v>0</v>
      </c>
      <c r="N47" s="1014">
        <f>SUM(C56:C57)</f>
        <v>0</v>
      </c>
      <c r="O47" s="1014">
        <f>SUM(D56:D57)</f>
        <v>0</v>
      </c>
      <c r="P47" s="1014">
        <f>SUM(E56:E57)</f>
        <v>0</v>
      </c>
      <c r="Q47" s="1014">
        <f t="shared" si="157"/>
        <v>0</v>
      </c>
      <c r="R47" s="1014">
        <f>SUM(G56:G57)</f>
        <v>0</v>
      </c>
      <c r="S47" s="1014">
        <f>SUM(H56:H57)</f>
        <v>0</v>
      </c>
      <c r="T47" s="1014">
        <f>SUM(I56:I57)</f>
        <v>0</v>
      </c>
      <c r="U47" s="1014">
        <f>SUM(J56:J57)</f>
        <v>0</v>
      </c>
      <c r="V47" s="1014">
        <f>SUM(K56:K57)</f>
        <v>0</v>
      </c>
      <c r="W47" s="1014"/>
      <c r="X47" s="1014"/>
      <c r="Y47" s="1014"/>
      <c r="Z47" s="1014"/>
      <c r="AA47" s="1014"/>
      <c r="AB47" s="1014"/>
      <c r="AC47" s="1014"/>
      <c r="AD47" s="1014"/>
      <c r="AE47" s="1014"/>
      <c r="AF47" s="1014"/>
      <c r="AG47" s="1014"/>
      <c r="AH47" s="1014"/>
      <c r="AI47" s="1014"/>
      <c r="AJ47" s="1014"/>
      <c r="AK47" s="1014"/>
      <c r="AL47" s="1014"/>
    </row>
    <row r="48" spans="1:152" ht="15">
      <c r="A48" s="1046">
        <f t="shared" si="158"/>
        <v>46240</v>
      </c>
      <c r="B48" s="644"/>
      <c r="C48" s="644"/>
      <c r="D48" s="644"/>
      <c r="E48" s="644"/>
      <c r="F48" s="644">
        <f t="shared" si="156"/>
        <v>0</v>
      </c>
      <c r="G48" s="644"/>
      <c r="H48" s="644"/>
      <c r="I48" s="644"/>
      <c r="J48" s="644">
        <f t="shared" si="155"/>
        <v>0</v>
      </c>
      <c r="K48" s="1032"/>
      <c r="L48" s="1049" t="s">
        <v>167</v>
      </c>
      <c r="M48" s="1014">
        <f>SUM(B58:B59)</f>
        <v>0</v>
      </c>
      <c r="N48" s="1014">
        <f>SUM(C58:C59)</f>
        <v>0</v>
      </c>
      <c r="O48" s="1014">
        <f>SUM(D58:D59)</f>
        <v>0</v>
      </c>
      <c r="P48" s="1014">
        <f>SUM(E58:E59)</f>
        <v>0</v>
      </c>
      <c r="Q48" s="1014">
        <f t="shared" si="157"/>
        <v>0</v>
      </c>
      <c r="R48" s="1014">
        <f>SUM(G58:G59)</f>
        <v>0</v>
      </c>
      <c r="S48" s="1014">
        <f>SUM(H58:H59)</f>
        <v>0</v>
      </c>
      <c r="T48" s="1014">
        <f>SUM(I58:I59)</f>
        <v>0</v>
      </c>
      <c r="U48" s="1014">
        <f>SUM(J58:J59)</f>
        <v>0</v>
      </c>
      <c r="V48" s="1014">
        <f>SUM(K58:K59)</f>
        <v>0</v>
      </c>
      <c r="W48" s="1014"/>
      <c r="X48" s="1014"/>
      <c r="Y48" s="1014"/>
      <c r="Z48" s="1014"/>
      <c r="AA48" s="1014"/>
      <c r="AB48" s="1014"/>
      <c r="AC48" s="1014"/>
      <c r="AD48" s="1014"/>
      <c r="AE48" s="1014"/>
      <c r="AF48" s="1014"/>
      <c r="AG48" s="1014"/>
      <c r="AH48" s="1014"/>
      <c r="AI48" s="1014"/>
      <c r="AJ48" s="1014"/>
      <c r="AK48" s="1014"/>
      <c r="AL48" s="1014"/>
    </row>
    <row r="49" spans="1:38" ht="15">
      <c r="A49" s="1045">
        <f t="shared" si="158"/>
        <v>46240</v>
      </c>
      <c r="B49" s="644"/>
      <c r="C49" s="644"/>
      <c r="D49" s="644"/>
      <c r="E49" s="644"/>
      <c r="F49" s="644">
        <f t="shared" si="156"/>
        <v>0</v>
      </c>
      <c r="G49" s="644"/>
      <c r="H49" s="644"/>
      <c r="I49" s="644"/>
      <c r="J49" s="644">
        <f t="shared" si="155"/>
        <v>0</v>
      </c>
      <c r="K49" s="1032"/>
      <c r="L49" s="1049" t="s">
        <v>168</v>
      </c>
      <c r="M49" s="1014">
        <f>SUM(B60:B61)</f>
        <v>0</v>
      </c>
      <c r="N49" s="1014">
        <f>SUM(C60:C61)</f>
        <v>0</v>
      </c>
      <c r="O49" s="1014">
        <f>SUM(D60:D61)</f>
        <v>0</v>
      </c>
      <c r="P49" s="1014">
        <f>SUM(E60:E61)</f>
        <v>0</v>
      </c>
      <c r="Q49" s="1014">
        <f t="shared" si="157"/>
        <v>0</v>
      </c>
      <c r="R49" s="1014">
        <f>SUM(G60:G61)</f>
        <v>0</v>
      </c>
      <c r="S49" s="1014">
        <f>SUM(H60:H61)</f>
        <v>0</v>
      </c>
      <c r="T49" s="1014">
        <f>SUM(I60:I61)</f>
        <v>0</v>
      </c>
      <c r="U49" s="1014">
        <f>SUM(J60:J61)</f>
        <v>0</v>
      </c>
      <c r="V49" s="1014">
        <f>SUM(K60:K61)</f>
        <v>0</v>
      </c>
      <c r="W49" s="1014"/>
      <c r="X49" s="1014"/>
      <c r="Y49" s="1014"/>
      <c r="Z49" s="1014"/>
      <c r="AA49" s="1014"/>
      <c r="AB49" s="1014"/>
      <c r="AC49" s="1014"/>
      <c r="AD49" s="1014"/>
      <c r="AE49" s="1014"/>
      <c r="AF49" s="1014"/>
      <c r="AG49" s="1014"/>
      <c r="AH49" s="1014"/>
      <c r="AI49" s="1014"/>
      <c r="AJ49" s="1014"/>
      <c r="AK49" s="1014"/>
      <c r="AL49" s="1014"/>
    </row>
    <row r="50" spans="1:38" ht="15">
      <c r="A50" s="1046">
        <f t="shared" si="158"/>
        <v>46241</v>
      </c>
      <c r="B50" s="644"/>
      <c r="C50" s="644"/>
      <c r="D50" s="644"/>
      <c r="E50" s="644"/>
      <c r="F50" s="644">
        <f t="shared" si="156"/>
        <v>0</v>
      </c>
      <c r="G50" s="644"/>
      <c r="H50" s="644"/>
      <c r="I50" s="644"/>
      <c r="J50" s="644">
        <f t="shared" si="155"/>
        <v>0</v>
      </c>
      <c r="K50" s="1032"/>
      <c r="L50" s="1049" t="s">
        <v>169</v>
      </c>
      <c r="M50" s="1014">
        <f>SUM(B62:B63)</f>
        <v>0</v>
      </c>
      <c r="N50" s="1014">
        <f>SUM(C62:C63)</f>
        <v>0</v>
      </c>
      <c r="O50" s="1014">
        <f>SUM(D62:D63)</f>
        <v>0</v>
      </c>
      <c r="P50" s="1014">
        <f>SUM(E62:E63)</f>
        <v>0</v>
      </c>
      <c r="Q50" s="1014">
        <f>SUM(M50:P50)</f>
        <v>0</v>
      </c>
      <c r="R50" s="1014">
        <f>SUM(G62:G63)</f>
        <v>0</v>
      </c>
      <c r="S50" s="1014">
        <f>SUM(H62:H63)</f>
        <v>0</v>
      </c>
      <c r="T50" s="1014">
        <f>SUM(I62:I63)</f>
        <v>0</v>
      </c>
      <c r="U50" s="1014">
        <f>SUM(J62:J63)</f>
        <v>0</v>
      </c>
      <c r="V50" s="1014">
        <f>SUM(K62:K63)</f>
        <v>0</v>
      </c>
      <c r="W50" s="1014"/>
      <c r="X50" s="1014"/>
      <c r="Y50" s="1014"/>
      <c r="Z50" s="1014"/>
      <c r="AA50" s="1014"/>
      <c r="AB50" s="1014"/>
      <c r="AC50" s="1014"/>
      <c r="AD50" s="1014"/>
      <c r="AE50" s="1014"/>
      <c r="AF50" s="1014"/>
      <c r="AG50" s="1014"/>
      <c r="AH50" s="1014"/>
      <c r="AI50" s="1014"/>
      <c r="AJ50" s="1014"/>
      <c r="AK50" s="1014"/>
      <c r="AL50" s="1014"/>
    </row>
    <row r="51" spans="1:38" ht="15">
      <c r="A51" s="1045">
        <f t="shared" si="158"/>
        <v>46241</v>
      </c>
      <c r="B51" s="644"/>
      <c r="C51" s="644"/>
      <c r="D51" s="644"/>
      <c r="E51" s="644"/>
      <c r="F51" s="644">
        <f t="shared" si="156"/>
        <v>0</v>
      </c>
      <c r="G51" s="644"/>
      <c r="H51" s="644"/>
      <c r="I51" s="644"/>
      <c r="J51" s="644">
        <f t="shared" si="155"/>
        <v>0</v>
      </c>
      <c r="K51" s="1032"/>
      <c r="L51" s="1049" t="s">
        <v>170</v>
      </c>
      <c r="M51" s="1014">
        <f>SUM(B64:B65)</f>
        <v>0</v>
      </c>
      <c r="N51" s="1014">
        <f>SUM(C64:C65)</f>
        <v>0</v>
      </c>
      <c r="O51" s="1014">
        <f>SUM(D64:D65)</f>
        <v>0</v>
      </c>
      <c r="P51" s="1014">
        <f>SUM(E64:E65)</f>
        <v>0</v>
      </c>
      <c r="Q51" s="1014">
        <f t="shared" si="157"/>
        <v>0</v>
      </c>
      <c r="R51" s="1014">
        <f>SUM(G64:G65)</f>
        <v>0</v>
      </c>
      <c r="S51" s="1014">
        <f>SUM(H64:H65)</f>
        <v>0</v>
      </c>
      <c r="T51" s="1014">
        <f>SUM(I64:I65)</f>
        <v>0</v>
      </c>
      <c r="U51" s="1014">
        <f>SUM(J64:J65)</f>
        <v>0</v>
      </c>
      <c r="V51" s="1014">
        <f>SUM(K64:K65)</f>
        <v>0</v>
      </c>
      <c r="W51" s="1014"/>
      <c r="X51" s="1014"/>
      <c r="Y51" s="1014"/>
      <c r="Z51" s="1014"/>
      <c r="AA51" s="1014"/>
      <c r="AB51" s="1014"/>
      <c r="AC51" s="1014"/>
      <c r="AD51" s="1014"/>
      <c r="AE51" s="1014"/>
      <c r="AF51" s="1014"/>
      <c r="AG51" s="1014"/>
      <c r="AH51" s="1014"/>
      <c r="AI51" s="1014"/>
      <c r="AJ51" s="1014"/>
      <c r="AK51" s="1014"/>
      <c r="AL51" s="1014"/>
    </row>
    <row r="52" spans="1:38" ht="15">
      <c r="A52" s="1046">
        <f t="shared" si="158"/>
        <v>46242</v>
      </c>
      <c r="B52" s="644"/>
      <c r="C52" s="644"/>
      <c r="D52" s="644"/>
      <c r="E52" s="644"/>
      <c r="F52" s="644">
        <f t="shared" si="156"/>
        <v>0</v>
      </c>
      <c r="G52" s="644"/>
      <c r="H52" s="644"/>
      <c r="I52" s="392"/>
      <c r="J52" s="644">
        <f t="shared" si="155"/>
        <v>0</v>
      </c>
      <c r="K52" s="1032"/>
      <c r="L52" s="1049" t="s">
        <v>171</v>
      </c>
      <c r="M52" s="1014">
        <f>SUM(B66:B67)</f>
        <v>0</v>
      </c>
      <c r="N52" s="1014">
        <f>SUM(C66:C67)</f>
        <v>0</v>
      </c>
      <c r="O52" s="1014">
        <f>SUM(D66:D67)</f>
        <v>0</v>
      </c>
      <c r="P52" s="1014">
        <f>SUM(E66:E67)</f>
        <v>0</v>
      </c>
      <c r="Q52" s="1014">
        <f t="shared" si="157"/>
        <v>0</v>
      </c>
      <c r="R52" s="1014">
        <f>SUM(G66:G67)</f>
        <v>0</v>
      </c>
      <c r="S52" s="1014">
        <f>SUM(H66:H67)</f>
        <v>0</v>
      </c>
      <c r="T52" s="1014">
        <f>SUM(I66:I67)</f>
        <v>0</v>
      </c>
      <c r="U52" s="1014">
        <f>SUM(J66:J67)</f>
        <v>0</v>
      </c>
      <c r="V52" s="1014">
        <f>SUM(K66:K67)</f>
        <v>0</v>
      </c>
      <c r="W52" s="1014"/>
      <c r="X52" s="1014"/>
      <c r="Y52" s="1014"/>
      <c r="Z52" s="1014"/>
      <c r="AA52" s="1014"/>
      <c r="AB52" s="1014"/>
      <c r="AC52" s="1014"/>
      <c r="AD52" s="1014"/>
      <c r="AE52" s="1014"/>
      <c r="AF52" s="1014"/>
      <c r="AG52" s="1014"/>
      <c r="AH52" s="1014"/>
      <c r="AI52" s="1014"/>
      <c r="AJ52" s="1014"/>
      <c r="AK52" s="1014"/>
      <c r="AL52" s="1014"/>
    </row>
    <row r="53" spans="1:38" ht="15">
      <c r="A53" s="1045">
        <f t="shared" si="158"/>
        <v>46242</v>
      </c>
      <c r="B53" s="644"/>
      <c r="C53" s="644"/>
      <c r="D53" s="644"/>
      <c r="E53" s="644"/>
      <c r="F53" s="644">
        <f t="shared" si="156"/>
        <v>0</v>
      </c>
      <c r="G53" s="644"/>
      <c r="H53" s="644"/>
      <c r="I53" s="644"/>
      <c r="J53" s="644">
        <f t="shared" si="155"/>
        <v>0</v>
      </c>
      <c r="K53" s="1032"/>
      <c r="L53" s="1049" t="s">
        <v>172</v>
      </c>
      <c r="M53" s="1014">
        <f>SUM(B68:B69)</f>
        <v>0</v>
      </c>
      <c r="N53" s="1014">
        <f>SUM(C68:C69)</f>
        <v>0</v>
      </c>
      <c r="O53" s="1014">
        <f>SUM(D68:D69)</f>
        <v>0</v>
      </c>
      <c r="P53" s="1014">
        <f>SUM(E68:E69)</f>
        <v>0</v>
      </c>
      <c r="Q53" s="1014">
        <f t="shared" si="157"/>
        <v>0</v>
      </c>
      <c r="R53" s="1014">
        <f>SUM(G68:G69)</f>
        <v>0</v>
      </c>
      <c r="S53" s="1014">
        <f>SUM(H68:H69)</f>
        <v>0</v>
      </c>
      <c r="T53" s="1014">
        <f>SUM(I68:I69)</f>
        <v>0</v>
      </c>
      <c r="U53" s="1014">
        <f>SUM(J68:J69)</f>
        <v>0</v>
      </c>
      <c r="V53" s="1014">
        <f>SUM(K68:K69)</f>
        <v>0</v>
      </c>
      <c r="W53" s="1014"/>
      <c r="X53" s="1014"/>
      <c r="Y53" s="1014"/>
      <c r="Z53" s="1014"/>
      <c r="AA53" s="1014"/>
      <c r="AB53" s="1014"/>
      <c r="AC53" s="1014"/>
      <c r="AD53" s="1014"/>
      <c r="AE53" s="1014"/>
      <c r="AF53" s="1014"/>
      <c r="AG53" s="1014"/>
      <c r="AH53" s="1014"/>
      <c r="AI53" s="1014"/>
      <c r="AJ53" s="1014"/>
      <c r="AK53" s="1014"/>
      <c r="AL53" s="1014"/>
    </row>
    <row r="54" spans="1:38" ht="15">
      <c r="A54" s="1046">
        <f t="shared" si="158"/>
        <v>46243</v>
      </c>
      <c r="B54" s="644"/>
      <c r="C54" s="644"/>
      <c r="D54" s="644"/>
      <c r="E54" s="644"/>
      <c r="F54" s="644">
        <f t="shared" si="156"/>
        <v>0</v>
      </c>
      <c r="G54" s="644"/>
      <c r="H54" s="644"/>
      <c r="I54" s="644"/>
      <c r="J54" s="644">
        <f t="shared" si="155"/>
        <v>0</v>
      </c>
      <c r="K54" s="1032"/>
      <c r="L54" s="1049" t="s">
        <v>173</v>
      </c>
      <c r="M54" s="1014">
        <f>SUM(B70:B71)</f>
        <v>0</v>
      </c>
      <c r="N54" s="1014">
        <f>SUM(C70:C71)</f>
        <v>0</v>
      </c>
      <c r="O54" s="1014">
        <f>SUM(D70:D71)</f>
        <v>0</v>
      </c>
      <c r="P54" s="1014">
        <f>SUM(E70:E71)</f>
        <v>0</v>
      </c>
      <c r="Q54" s="1014">
        <f t="shared" si="157"/>
        <v>0</v>
      </c>
      <c r="R54" s="1014">
        <f>SUM(G70:G71)</f>
        <v>0</v>
      </c>
      <c r="S54" s="1014">
        <f>SUM(H70:H71)</f>
        <v>0</v>
      </c>
      <c r="T54" s="1014">
        <f>SUM(I70:I71)</f>
        <v>0</v>
      </c>
      <c r="U54" s="1014">
        <f>SUM(J70:J71)</f>
        <v>0</v>
      </c>
      <c r="V54" s="1014">
        <f>SUM(K70:K71)</f>
        <v>0</v>
      </c>
      <c r="W54" s="1014"/>
      <c r="X54" s="1014"/>
      <c r="Y54" s="1014"/>
      <c r="Z54" s="1014"/>
      <c r="AA54" s="1014"/>
      <c r="AB54" s="1014"/>
      <c r="AC54" s="1014"/>
      <c r="AD54" s="1014"/>
      <c r="AE54" s="1014"/>
      <c r="AF54" s="1014"/>
      <c r="AG54" s="1014"/>
      <c r="AH54" s="1014"/>
      <c r="AI54" s="1014"/>
      <c r="AJ54" s="1014"/>
      <c r="AK54" s="1014"/>
      <c r="AL54" s="1014"/>
    </row>
    <row r="55" spans="1:38" ht="15">
      <c r="A55" s="1045">
        <f t="shared" si="158"/>
        <v>46243</v>
      </c>
      <c r="B55" s="644"/>
      <c r="C55" s="644"/>
      <c r="D55" s="644"/>
      <c r="E55" s="644"/>
      <c r="F55" s="644">
        <f t="shared" si="156"/>
        <v>0</v>
      </c>
      <c r="G55" s="644"/>
      <c r="H55" s="644"/>
      <c r="I55" s="644"/>
      <c r="J55" s="644">
        <f t="shared" si="155"/>
        <v>0</v>
      </c>
      <c r="K55" s="1032"/>
      <c r="L55" s="1049" t="s">
        <v>174</v>
      </c>
      <c r="M55" s="1014">
        <f>SUM(B72:B73)</f>
        <v>0</v>
      </c>
      <c r="N55" s="1014">
        <f>SUM(C72:C73)</f>
        <v>0</v>
      </c>
      <c r="O55" s="1014">
        <f>SUM(D72:D73)</f>
        <v>0</v>
      </c>
      <c r="P55" s="1014">
        <f>SUM(E72:E73)</f>
        <v>0</v>
      </c>
      <c r="Q55" s="1014">
        <f t="shared" si="157"/>
        <v>0</v>
      </c>
      <c r="R55" s="1014">
        <f>SUM(G72:G73)</f>
        <v>0</v>
      </c>
      <c r="S55" s="1014">
        <f>SUM(H72:H73)</f>
        <v>0</v>
      </c>
      <c r="T55" s="1014">
        <f>SUM(I72:I73)</f>
        <v>0</v>
      </c>
      <c r="U55" s="1014">
        <f>SUM(J72:J73)</f>
        <v>0</v>
      </c>
      <c r="V55" s="1014">
        <f>SUM(K72:K73)</f>
        <v>0</v>
      </c>
      <c r="W55" s="1014"/>
      <c r="X55" s="1014"/>
      <c r="Y55" s="1014"/>
      <c r="Z55" s="1014"/>
      <c r="AA55" s="1014"/>
      <c r="AB55" s="1014"/>
      <c r="AC55" s="1014"/>
      <c r="AD55" s="1014"/>
      <c r="AE55" s="1014"/>
      <c r="AF55" s="1014"/>
      <c r="AG55" s="1014"/>
      <c r="AH55" s="1014"/>
      <c r="AI55" s="1014"/>
      <c r="AJ55" s="1014"/>
      <c r="AK55" s="1014"/>
      <c r="AL55" s="1014"/>
    </row>
    <row r="56" spans="1:38" ht="15">
      <c r="A56" s="1046">
        <f t="shared" si="158"/>
        <v>46244</v>
      </c>
      <c r="B56" s="644"/>
      <c r="C56" s="644"/>
      <c r="D56" s="644"/>
      <c r="E56" s="644"/>
      <c r="F56" s="644">
        <f t="shared" si="156"/>
        <v>0</v>
      </c>
      <c r="G56" s="644"/>
      <c r="H56" s="644"/>
      <c r="I56" s="644"/>
      <c r="J56" s="644">
        <f t="shared" si="155"/>
        <v>0</v>
      </c>
      <c r="K56" s="1032"/>
      <c r="L56" s="1049" t="s">
        <v>175</v>
      </c>
      <c r="M56" s="1014">
        <f>SUM(B74:B75)</f>
        <v>0</v>
      </c>
      <c r="N56" s="1014">
        <f>SUM(C74:C75)</f>
        <v>0</v>
      </c>
      <c r="O56" s="1014">
        <f>SUM(D74:D75)</f>
        <v>0</v>
      </c>
      <c r="P56" s="1014">
        <f>SUM(E74:E75)</f>
        <v>0</v>
      </c>
      <c r="Q56" s="1014">
        <f t="shared" si="157"/>
        <v>0</v>
      </c>
      <c r="R56" s="1014">
        <f>SUM(G74:G75)</f>
        <v>0</v>
      </c>
      <c r="S56" s="1014">
        <f>SUM(H74:H75)</f>
        <v>0</v>
      </c>
      <c r="T56" s="1014">
        <f>SUM(I74:I75)</f>
        <v>0</v>
      </c>
      <c r="U56" s="1014">
        <f>SUM(J74:J75)</f>
        <v>0</v>
      </c>
      <c r="V56" s="1014">
        <f>SUM(K74:K75)</f>
        <v>0</v>
      </c>
      <c r="W56" s="1014"/>
      <c r="X56" s="1014"/>
      <c r="Y56" s="1014"/>
      <c r="Z56" s="1014"/>
      <c r="AA56" s="1014"/>
      <c r="AB56" s="1014"/>
      <c r="AC56" s="1014"/>
      <c r="AD56" s="1014"/>
      <c r="AE56" s="1014"/>
      <c r="AF56" s="1014"/>
      <c r="AG56" s="1014"/>
      <c r="AH56" s="1014"/>
      <c r="AI56" s="1014"/>
      <c r="AJ56" s="1014"/>
      <c r="AK56" s="1014"/>
      <c r="AL56" s="1014"/>
    </row>
    <row r="57" spans="1:38" ht="15">
      <c r="A57" s="1045">
        <f t="shared" si="158"/>
        <v>46244</v>
      </c>
      <c r="B57" s="644"/>
      <c r="C57" s="644"/>
      <c r="D57" s="644"/>
      <c r="E57" s="644"/>
      <c r="F57" s="644">
        <f t="shared" si="156"/>
        <v>0</v>
      </c>
      <c r="G57" s="644"/>
      <c r="H57" s="644"/>
      <c r="I57" s="644"/>
      <c r="J57" s="644">
        <f t="shared" si="155"/>
        <v>0</v>
      </c>
      <c r="K57" s="1032"/>
      <c r="L57" s="1049" t="s">
        <v>176</v>
      </c>
      <c r="M57" s="1014">
        <f>SUM(B76:B77)</f>
        <v>0</v>
      </c>
      <c r="N57" s="1014">
        <f>SUM(C76:C77)</f>
        <v>0</v>
      </c>
      <c r="O57" s="1014">
        <f>SUM(D76:D77)</f>
        <v>0</v>
      </c>
      <c r="P57" s="1014">
        <f>SUM(E76:E77)</f>
        <v>0</v>
      </c>
      <c r="Q57" s="1014">
        <f t="shared" si="157"/>
        <v>0</v>
      </c>
      <c r="R57" s="1014">
        <f>SUM(G76:G77)</f>
        <v>0</v>
      </c>
      <c r="S57" s="1014">
        <f>SUM(H76:H77)</f>
        <v>0</v>
      </c>
      <c r="T57" s="1014">
        <f>SUM(I76:I77)</f>
        <v>0</v>
      </c>
      <c r="U57" s="1014">
        <f>SUM(J76:J77)</f>
        <v>0</v>
      </c>
      <c r="V57" s="1014">
        <f>SUM(K76:K77)</f>
        <v>0</v>
      </c>
      <c r="W57" s="1014"/>
      <c r="X57" s="1014"/>
      <c r="Y57" s="1014"/>
      <c r="Z57" s="1014"/>
      <c r="AA57" s="1014"/>
      <c r="AB57" s="1014"/>
      <c r="AC57" s="1014"/>
      <c r="AD57" s="1014"/>
      <c r="AE57" s="1014"/>
      <c r="AF57" s="1014"/>
      <c r="AG57" s="1014"/>
      <c r="AH57" s="1014"/>
      <c r="AI57" s="1014"/>
      <c r="AJ57" s="1014"/>
      <c r="AK57" s="1014"/>
      <c r="AL57" s="1014"/>
    </row>
    <row r="58" spans="1:38" ht="15">
      <c r="A58" s="1046">
        <f t="shared" si="158"/>
        <v>46245</v>
      </c>
      <c r="B58" s="644"/>
      <c r="C58" s="644"/>
      <c r="D58" s="644"/>
      <c r="E58" s="644"/>
      <c r="F58" s="644">
        <f t="shared" si="156"/>
        <v>0</v>
      </c>
      <c r="G58" s="644"/>
      <c r="H58" s="644"/>
      <c r="I58" s="644"/>
      <c r="J58" s="644">
        <f t="shared" si="155"/>
        <v>0</v>
      </c>
      <c r="K58" s="1032"/>
      <c r="L58" s="1049" t="s">
        <v>177</v>
      </c>
      <c r="M58" s="1014">
        <f>SUM(B78:B79)</f>
        <v>0</v>
      </c>
      <c r="N58" s="1014">
        <f>SUM(C78:C79)</f>
        <v>0</v>
      </c>
      <c r="O58" s="1014">
        <f>SUM(D78:D79)</f>
        <v>0</v>
      </c>
      <c r="P58" s="1014">
        <f>SUM(E78:E79)</f>
        <v>0</v>
      </c>
      <c r="Q58" s="1014">
        <f t="shared" si="157"/>
        <v>0</v>
      </c>
      <c r="R58" s="1014">
        <f>SUM(G78:G79)</f>
        <v>0</v>
      </c>
      <c r="S58" s="1014">
        <f>SUM(H78:H79)</f>
        <v>0</v>
      </c>
      <c r="T58" s="1014">
        <f>SUM(I78:I79)</f>
        <v>0</v>
      </c>
      <c r="U58" s="1014">
        <f>SUM(J78:J79)</f>
        <v>0</v>
      </c>
      <c r="V58" s="1014">
        <f>SUM(K78:K79)</f>
        <v>0</v>
      </c>
      <c r="W58" s="1014"/>
      <c r="X58" s="1014"/>
      <c r="Y58" s="1014"/>
      <c r="Z58" s="1014"/>
      <c r="AA58" s="1014"/>
      <c r="AB58" s="1014"/>
      <c r="AC58" s="1014"/>
      <c r="AD58" s="1014"/>
      <c r="AE58" s="1014"/>
      <c r="AF58" s="1014"/>
      <c r="AG58" s="1014"/>
      <c r="AH58" s="1014"/>
      <c r="AI58" s="1014"/>
      <c r="AJ58" s="1014"/>
      <c r="AK58" s="1014"/>
      <c r="AL58" s="1014"/>
    </row>
    <row r="59" spans="1:38" ht="15">
      <c r="A59" s="1045">
        <f t="shared" si="158"/>
        <v>46245</v>
      </c>
      <c r="B59" s="644"/>
      <c r="C59" s="644"/>
      <c r="D59" s="644"/>
      <c r="E59" s="644"/>
      <c r="F59" s="644">
        <f t="shared" si="156"/>
        <v>0</v>
      </c>
      <c r="G59" s="644"/>
      <c r="H59" s="644"/>
      <c r="I59" s="644"/>
      <c r="J59" s="644">
        <f t="shared" si="155"/>
        <v>0</v>
      </c>
      <c r="K59" s="1032"/>
      <c r="L59" s="1049" t="s">
        <v>178</v>
      </c>
      <c r="M59" s="1014">
        <f>SUM(B80:B81)</f>
        <v>0</v>
      </c>
      <c r="N59" s="1014">
        <f>SUM(C80:C81)</f>
        <v>0</v>
      </c>
      <c r="O59" s="1014">
        <f>SUM(D80:D81)</f>
        <v>0</v>
      </c>
      <c r="P59" s="1014">
        <f>SUM(E80:E81)</f>
        <v>0</v>
      </c>
      <c r="Q59" s="1014">
        <f t="shared" si="157"/>
        <v>0</v>
      </c>
      <c r="R59" s="1014">
        <f>SUM(G80:G81)</f>
        <v>0</v>
      </c>
      <c r="S59" s="1014">
        <f>SUM(H80:H81)</f>
        <v>0</v>
      </c>
      <c r="T59" s="1014">
        <f>SUM(I80:I81)</f>
        <v>0</v>
      </c>
      <c r="U59" s="1014">
        <f>SUM(J80:J81)</f>
        <v>0</v>
      </c>
      <c r="V59" s="1014">
        <f>SUM(K80:K81)</f>
        <v>0</v>
      </c>
      <c r="W59" s="1014"/>
      <c r="X59" s="1014"/>
      <c r="Y59" s="1014"/>
      <c r="Z59" s="1014"/>
      <c r="AA59" s="1014"/>
      <c r="AB59" s="1014"/>
      <c r="AC59" s="1014"/>
      <c r="AD59" s="1014"/>
      <c r="AE59" s="1014"/>
      <c r="AF59" s="1014"/>
      <c r="AG59" s="1014"/>
      <c r="AH59" s="1014"/>
      <c r="AI59" s="1014"/>
      <c r="AJ59" s="1014"/>
      <c r="AK59" s="1014"/>
      <c r="AL59" s="1014"/>
    </row>
    <row r="60" spans="1:38" ht="15">
      <c r="A60" s="1046">
        <f t="shared" si="158"/>
        <v>46246</v>
      </c>
      <c r="B60" s="644"/>
      <c r="C60" s="644"/>
      <c r="D60" s="644"/>
      <c r="E60" s="644"/>
      <c r="F60" s="644">
        <f t="shared" si="156"/>
        <v>0</v>
      </c>
      <c r="G60" s="644"/>
      <c r="H60" s="644"/>
      <c r="I60" s="644"/>
      <c r="J60" s="644">
        <f t="shared" si="155"/>
        <v>0</v>
      </c>
      <c r="K60" s="1032"/>
      <c r="L60" s="1049" t="s">
        <v>179</v>
      </c>
      <c r="M60" s="1014">
        <f>SUM(B82:B83)</f>
        <v>0</v>
      </c>
      <c r="N60" s="1014">
        <f>SUM(C82:C83)</f>
        <v>0</v>
      </c>
      <c r="O60" s="1014">
        <f>SUM(D82:D83)</f>
        <v>0</v>
      </c>
      <c r="P60" s="1014">
        <f>SUM(E82:E83)</f>
        <v>0</v>
      </c>
      <c r="Q60" s="1014">
        <f t="shared" si="157"/>
        <v>0</v>
      </c>
      <c r="R60" s="1014">
        <f>SUM(G82:G83)</f>
        <v>0</v>
      </c>
      <c r="S60" s="1014">
        <f>SUM(H82:H83)</f>
        <v>0</v>
      </c>
      <c r="T60" s="1014">
        <f>SUM(I82:I83)</f>
        <v>0</v>
      </c>
      <c r="U60" s="1014">
        <f>SUM(J82:J83)</f>
        <v>0</v>
      </c>
      <c r="V60" s="1014">
        <f>SUM(K82:K83)</f>
        <v>0</v>
      </c>
      <c r="W60" s="1014"/>
      <c r="X60" s="1014"/>
      <c r="Y60" s="1014"/>
      <c r="Z60" s="1014"/>
      <c r="AA60" s="1014"/>
      <c r="AB60" s="1014"/>
      <c r="AC60" s="1014"/>
      <c r="AD60" s="1014"/>
      <c r="AE60" s="1014"/>
      <c r="AF60" s="1014"/>
      <c r="AG60" s="1014"/>
      <c r="AH60" s="1014"/>
      <c r="AI60" s="1014"/>
      <c r="AJ60" s="1014"/>
      <c r="AK60" s="1014"/>
      <c r="AL60" s="1014"/>
    </row>
    <row r="61" spans="1:38" ht="15">
      <c r="A61" s="1045">
        <f t="shared" si="158"/>
        <v>46246</v>
      </c>
      <c r="B61" s="644"/>
      <c r="C61" s="644"/>
      <c r="D61" s="644"/>
      <c r="E61" s="644"/>
      <c r="F61" s="644">
        <f t="shared" si="156"/>
        <v>0</v>
      </c>
      <c r="G61" s="644"/>
      <c r="H61" s="644"/>
      <c r="I61" s="644"/>
      <c r="J61" s="644">
        <f t="shared" si="155"/>
        <v>0</v>
      </c>
      <c r="K61" s="1032"/>
      <c r="L61" s="1049" t="s">
        <v>180</v>
      </c>
      <c r="M61" s="1014">
        <f>SUM(B84:B85)</f>
        <v>0</v>
      </c>
      <c r="N61" s="1014">
        <f>SUM(C84:C85)</f>
        <v>0</v>
      </c>
      <c r="O61" s="1014">
        <f>SUM(D84:D85)</f>
        <v>0</v>
      </c>
      <c r="P61" s="1014">
        <f>SUM(E84:E85)</f>
        <v>0</v>
      </c>
      <c r="Q61" s="1014">
        <f t="shared" si="157"/>
        <v>0</v>
      </c>
      <c r="R61" s="1014">
        <f>SUM(G84:G85)</f>
        <v>0</v>
      </c>
      <c r="S61" s="1014">
        <f>SUM(H84:H85)</f>
        <v>0</v>
      </c>
      <c r="T61" s="1014">
        <f>SUM(I84:I85)</f>
        <v>0</v>
      </c>
      <c r="U61" s="1014">
        <f>SUM(J84:J85)</f>
        <v>0</v>
      </c>
      <c r="V61" s="1014">
        <f>SUM(K84:K85)</f>
        <v>0</v>
      </c>
      <c r="W61" s="1014"/>
      <c r="X61" s="1014"/>
      <c r="Y61" s="1014"/>
      <c r="Z61" s="1014"/>
      <c r="AA61" s="1014"/>
      <c r="AB61" s="1014"/>
      <c r="AC61" s="1014"/>
      <c r="AD61" s="1014"/>
      <c r="AE61" s="1014"/>
      <c r="AF61" s="1014"/>
      <c r="AG61" s="1014"/>
      <c r="AH61" s="1014"/>
      <c r="AI61" s="1014"/>
      <c r="AJ61" s="1014"/>
      <c r="AK61" s="1014"/>
      <c r="AL61" s="1014"/>
    </row>
    <row r="62" spans="1:38" ht="15">
      <c r="A62" s="1046">
        <f t="shared" si="158"/>
        <v>46247</v>
      </c>
      <c r="B62" s="644"/>
      <c r="C62" s="644"/>
      <c r="D62" s="644"/>
      <c r="E62" s="644"/>
      <c r="F62" s="644">
        <f t="shared" si="156"/>
        <v>0</v>
      </c>
      <c r="G62" s="644"/>
      <c r="H62" s="644"/>
      <c r="I62" s="392"/>
      <c r="J62" s="644">
        <f t="shared" si="155"/>
        <v>0</v>
      </c>
      <c r="K62" s="1032"/>
      <c r="L62" s="1049" t="s">
        <v>181</v>
      </c>
      <c r="M62" s="1014">
        <f>SUM(B86:B87)</f>
        <v>0</v>
      </c>
      <c r="N62" s="1014">
        <f>SUM(C86:C87)</f>
        <v>0</v>
      </c>
      <c r="O62" s="1014">
        <f>SUM(D86:D87)</f>
        <v>0</v>
      </c>
      <c r="P62" s="1014">
        <f>SUM(E86:E87)</f>
        <v>0</v>
      </c>
      <c r="Q62" s="1014">
        <f t="shared" si="157"/>
        <v>0</v>
      </c>
      <c r="R62" s="1014">
        <f>SUM(G86:G87)</f>
        <v>0</v>
      </c>
      <c r="S62" s="1014">
        <f>SUM(H86:H87)</f>
        <v>0</v>
      </c>
      <c r="T62" s="1014">
        <f>SUM(I86:I87)</f>
        <v>0</v>
      </c>
      <c r="U62" s="1014">
        <f>SUM(J86:J87)</f>
        <v>0</v>
      </c>
      <c r="V62" s="1014">
        <f>SUM(K86:K87)</f>
        <v>0</v>
      </c>
      <c r="W62" s="1014"/>
      <c r="X62" s="1014"/>
      <c r="Y62" s="1014"/>
      <c r="Z62" s="1014"/>
      <c r="AA62" s="1014"/>
      <c r="AB62" s="1014"/>
      <c r="AC62" s="1014"/>
      <c r="AD62" s="1014"/>
      <c r="AE62" s="1014"/>
      <c r="AF62" s="1014"/>
      <c r="AG62" s="1014"/>
      <c r="AH62" s="1014"/>
      <c r="AI62" s="1014"/>
      <c r="AJ62" s="1014"/>
      <c r="AK62" s="1014"/>
      <c r="AL62" s="1014"/>
    </row>
    <row r="63" spans="1:38" ht="15">
      <c r="A63" s="1045">
        <f t="shared" si="158"/>
        <v>46247</v>
      </c>
      <c r="B63" s="644"/>
      <c r="C63" s="644"/>
      <c r="D63" s="644"/>
      <c r="E63" s="644"/>
      <c r="F63" s="644">
        <f t="shared" si="156"/>
        <v>0</v>
      </c>
      <c r="G63" s="644"/>
      <c r="H63" s="644"/>
      <c r="I63" s="644"/>
      <c r="J63" s="644">
        <f t="shared" si="155"/>
        <v>0</v>
      </c>
      <c r="K63" s="1032"/>
      <c r="L63" s="1049" t="s">
        <v>182</v>
      </c>
      <c r="M63" s="1014">
        <f>SUM(B88:B89)</f>
        <v>0</v>
      </c>
      <c r="N63" s="1014">
        <f>SUM(C88:C89)</f>
        <v>0</v>
      </c>
      <c r="O63" s="1014">
        <f>SUM(D88:D89)</f>
        <v>0</v>
      </c>
      <c r="P63" s="1014">
        <f>SUM(E88:E89)</f>
        <v>0</v>
      </c>
      <c r="Q63" s="1014">
        <f t="shared" si="157"/>
        <v>0</v>
      </c>
      <c r="R63" s="1014">
        <f>SUM(G88:G89)</f>
        <v>0</v>
      </c>
      <c r="S63" s="1014">
        <f>SUM(H88:H89)</f>
        <v>0</v>
      </c>
      <c r="T63" s="1014">
        <f>SUM(I88:I89)</f>
        <v>0</v>
      </c>
      <c r="U63" s="1014">
        <f>SUM(J88:J89)</f>
        <v>0</v>
      </c>
      <c r="V63" s="1014">
        <f>SUM(K88:K89)</f>
        <v>0</v>
      </c>
      <c r="W63" s="1014"/>
      <c r="X63" s="1014"/>
      <c r="Y63" s="1014"/>
      <c r="Z63" s="1014"/>
      <c r="AA63" s="1014"/>
      <c r="AB63" s="1014"/>
      <c r="AC63" s="1014"/>
      <c r="AD63" s="1014"/>
      <c r="AE63" s="1014"/>
      <c r="AF63" s="1014"/>
      <c r="AG63" s="1014"/>
      <c r="AH63" s="1014"/>
      <c r="AI63" s="1014"/>
      <c r="AJ63" s="1014"/>
      <c r="AK63" s="1014"/>
      <c r="AL63" s="1014"/>
    </row>
    <row r="64" spans="1:38" ht="15">
      <c r="A64" s="1046">
        <f t="shared" si="158"/>
        <v>46248</v>
      </c>
      <c r="B64" s="644"/>
      <c r="C64" s="644"/>
      <c r="D64" s="644"/>
      <c r="E64" s="644"/>
      <c r="F64" s="644">
        <f t="shared" si="156"/>
        <v>0</v>
      </c>
      <c r="G64" s="644"/>
      <c r="H64" s="644"/>
      <c r="I64" s="392"/>
      <c r="J64" s="644">
        <f t="shared" si="155"/>
        <v>0</v>
      </c>
      <c r="K64" s="1032"/>
      <c r="L64" s="1049" t="s">
        <v>183</v>
      </c>
      <c r="M64" s="1014">
        <f>SUM(B90:B91)</f>
        <v>0</v>
      </c>
      <c r="N64" s="1014">
        <f>SUM(C90:C91)</f>
        <v>0</v>
      </c>
      <c r="O64" s="1014">
        <f>SUM(D90:D91)</f>
        <v>0</v>
      </c>
      <c r="P64" s="1014">
        <f>SUM(E90:E91)</f>
        <v>0</v>
      </c>
      <c r="Q64" s="1014">
        <f t="shared" si="157"/>
        <v>0</v>
      </c>
      <c r="R64" s="1014">
        <f>SUM(G90:G91)</f>
        <v>0</v>
      </c>
      <c r="S64" s="1014">
        <f>SUM(H90:H91)</f>
        <v>0</v>
      </c>
      <c r="T64" s="1014">
        <f>SUM(I90:I91)</f>
        <v>0</v>
      </c>
      <c r="U64" s="1014">
        <f>SUM(J90:J91)</f>
        <v>0</v>
      </c>
      <c r="V64" s="1014">
        <f>SUM(K90:K91)</f>
        <v>0</v>
      </c>
      <c r="W64" s="1014"/>
      <c r="X64" s="1014"/>
      <c r="Y64" s="1014"/>
      <c r="Z64" s="1014"/>
      <c r="AA64" s="1014"/>
      <c r="AB64" s="1014"/>
      <c r="AC64" s="1014"/>
      <c r="AD64" s="1014"/>
      <c r="AE64" s="1014"/>
      <c r="AF64" s="1014"/>
      <c r="AG64" s="1014"/>
      <c r="AH64" s="1014"/>
      <c r="AI64" s="1014"/>
      <c r="AJ64" s="1014"/>
      <c r="AK64" s="1014"/>
      <c r="AL64" s="1014"/>
    </row>
    <row r="65" spans="1:38" ht="15">
      <c r="A65" s="1045">
        <f t="shared" si="158"/>
        <v>46248</v>
      </c>
      <c r="B65" s="644"/>
      <c r="C65" s="644"/>
      <c r="D65" s="644"/>
      <c r="E65" s="644"/>
      <c r="F65" s="644">
        <f t="shared" si="156"/>
        <v>0</v>
      </c>
      <c r="G65" s="644"/>
      <c r="H65" s="644"/>
      <c r="I65" s="644"/>
      <c r="J65" s="644">
        <f t="shared" si="155"/>
        <v>0</v>
      </c>
      <c r="K65" s="1032"/>
      <c r="L65" s="1049" t="s">
        <v>184</v>
      </c>
      <c r="M65" s="1014">
        <f>SUM(B92:B93)</f>
        <v>0</v>
      </c>
      <c r="N65" s="1014">
        <f>SUM(C92:C93)</f>
        <v>0</v>
      </c>
      <c r="O65" s="1014">
        <f>SUM(D92:D93)</f>
        <v>0</v>
      </c>
      <c r="P65" s="1014">
        <f>SUM(E92:E93)</f>
        <v>0</v>
      </c>
      <c r="Q65" s="1014">
        <f t="shared" si="157"/>
        <v>0</v>
      </c>
      <c r="R65" s="1014">
        <f>SUM(G92:G93)</f>
        <v>0</v>
      </c>
      <c r="S65" s="1014">
        <f>SUM(H92:H93)</f>
        <v>0</v>
      </c>
      <c r="T65" s="1014">
        <f>SUM(I92:I93)</f>
        <v>0</v>
      </c>
      <c r="U65" s="1014">
        <f>SUM(J92:J93)</f>
        <v>0</v>
      </c>
      <c r="V65" s="1014">
        <f>SUM(K92:K93)</f>
        <v>0</v>
      </c>
      <c r="W65" s="1014"/>
      <c r="X65" s="1014"/>
      <c r="Y65" s="1014"/>
      <c r="Z65" s="1014"/>
      <c r="AA65" s="1014"/>
      <c r="AB65" s="1014"/>
      <c r="AC65" s="1014"/>
      <c r="AD65" s="1014"/>
      <c r="AE65" s="1014"/>
      <c r="AF65" s="1014"/>
      <c r="AG65" s="1014"/>
      <c r="AH65" s="1014"/>
      <c r="AI65" s="1014"/>
      <c r="AJ65" s="1014"/>
      <c r="AK65" s="1014"/>
      <c r="AL65" s="1014"/>
    </row>
    <row r="66" spans="1:38" ht="15">
      <c r="A66" s="1046">
        <f t="shared" si="158"/>
        <v>46249</v>
      </c>
      <c r="B66" s="644"/>
      <c r="C66" s="644"/>
      <c r="D66" s="644"/>
      <c r="E66" s="644"/>
      <c r="F66" s="644">
        <f t="shared" si="156"/>
        <v>0</v>
      </c>
      <c r="G66" s="644"/>
      <c r="H66" s="644"/>
      <c r="I66" s="644"/>
      <c r="J66" s="644">
        <f t="shared" si="155"/>
        <v>0</v>
      </c>
      <c r="K66" s="1032"/>
      <c r="L66" s="1049" t="s">
        <v>185</v>
      </c>
      <c r="M66" s="1014">
        <f>SUM(B94:B95)</f>
        <v>0</v>
      </c>
      <c r="N66" s="1014">
        <f>SUM(C94:C95)</f>
        <v>0</v>
      </c>
      <c r="O66" s="1014">
        <f>SUM(D94:D95)</f>
        <v>0</v>
      </c>
      <c r="P66" s="1014">
        <f>SUM(E94:E95)</f>
        <v>0</v>
      </c>
      <c r="Q66" s="1014">
        <f t="shared" si="157"/>
        <v>0</v>
      </c>
      <c r="R66" s="1014">
        <f>SUM(G94:G95)</f>
        <v>0</v>
      </c>
      <c r="S66" s="1014">
        <f>SUM(H94:H95)</f>
        <v>0</v>
      </c>
      <c r="T66" s="1014">
        <f>SUM(I94:I95)</f>
        <v>0</v>
      </c>
      <c r="U66" s="1014">
        <f>SUM(J94:J95)</f>
        <v>0</v>
      </c>
      <c r="V66" s="1014">
        <f>SUM(K94:K95)</f>
        <v>0</v>
      </c>
      <c r="W66" s="1014"/>
      <c r="X66" s="1014"/>
      <c r="Y66" s="1014"/>
      <c r="Z66" s="1014"/>
      <c r="AA66" s="1014"/>
      <c r="AB66" s="1014"/>
      <c r="AC66" s="1014"/>
      <c r="AD66" s="1014"/>
      <c r="AE66" s="1014"/>
      <c r="AF66" s="1014"/>
      <c r="AG66" s="1014"/>
      <c r="AH66" s="1014"/>
      <c r="AI66" s="1014"/>
      <c r="AJ66" s="1014"/>
      <c r="AK66" s="1014"/>
      <c r="AL66" s="1014"/>
    </row>
    <row r="67" spans="1:38" ht="15">
      <c r="A67" s="1045">
        <f t="shared" si="158"/>
        <v>46249</v>
      </c>
      <c r="B67" s="644"/>
      <c r="C67" s="644"/>
      <c r="D67" s="644"/>
      <c r="E67" s="644"/>
      <c r="F67" s="644">
        <f t="shared" si="156"/>
        <v>0</v>
      </c>
      <c r="G67" s="644"/>
      <c r="H67" s="644"/>
      <c r="I67" s="644"/>
      <c r="J67" s="644">
        <f t="shared" si="155"/>
        <v>0</v>
      </c>
      <c r="K67" s="1032"/>
      <c r="L67" s="1049" t="s">
        <v>186</v>
      </c>
      <c r="M67" s="1014">
        <f>SUM(B96:B97)</f>
        <v>0</v>
      </c>
      <c r="N67" s="1014">
        <f>SUM(C96:C97)</f>
        <v>0</v>
      </c>
      <c r="O67" s="1014">
        <f>SUM(D96:D97)</f>
        <v>0</v>
      </c>
      <c r="P67" s="1014">
        <f>SUM(E96:E97)</f>
        <v>0</v>
      </c>
      <c r="Q67" s="1014">
        <f t="shared" si="157"/>
        <v>0</v>
      </c>
      <c r="R67" s="1014">
        <f>SUM(G96:G97)</f>
        <v>0</v>
      </c>
      <c r="S67" s="1014">
        <f>SUM(H96:H97)</f>
        <v>0</v>
      </c>
      <c r="T67" s="1014">
        <f>SUM(I96:I97)</f>
        <v>0</v>
      </c>
      <c r="U67" s="1014">
        <f>SUM(J96:J97)</f>
        <v>0</v>
      </c>
      <c r="V67" s="1014">
        <f>SUM(K96:K97)</f>
        <v>0</v>
      </c>
      <c r="W67" s="1014"/>
      <c r="X67" s="1014"/>
      <c r="Y67" s="1014"/>
      <c r="Z67" s="1014"/>
      <c r="AA67" s="1014"/>
      <c r="AB67" s="1014"/>
      <c r="AC67" s="1014"/>
      <c r="AD67" s="1014"/>
      <c r="AE67" s="1014"/>
      <c r="AF67" s="1014"/>
      <c r="AG67" s="1014"/>
      <c r="AH67" s="1014"/>
      <c r="AI67" s="1014"/>
      <c r="AJ67" s="1014"/>
      <c r="AK67" s="1014"/>
      <c r="AL67" s="1014"/>
    </row>
    <row r="68" spans="1:38" ht="15">
      <c r="A68" s="1046">
        <f t="shared" si="158"/>
        <v>46250</v>
      </c>
      <c r="B68" s="644"/>
      <c r="C68" s="644"/>
      <c r="D68" s="644"/>
      <c r="E68" s="644"/>
      <c r="F68" s="644">
        <f t="shared" si="156"/>
        <v>0</v>
      </c>
      <c r="G68" s="644"/>
      <c r="H68" s="644"/>
      <c r="I68" s="644"/>
      <c r="J68" s="644">
        <f t="shared" si="155"/>
        <v>0</v>
      </c>
      <c r="K68" s="1033"/>
      <c r="L68" s="1049" t="s">
        <v>187</v>
      </c>
      <c r="M68" s="1014">
        <f>SUM(B98:B99)</f>
        <v>0</v>
      </c>
      <c r="N68" s="1014">
        <f>SUM(C98:C99)</f>
        <v>0</v>
      </c>
      <c r="O68" s="1014">
        <f>SUM(D98:D99)</f>
        <v>0</v>
      </c>
      <c r="P68" s="1014">
        <f>SUM(E98:E99)</f>
        <v>0</v>
      </c>
      <c r="Q68" s="1014">
        <f t="shared" si="157"/>
        <v>0</v>
      </c>
      <c r="R68" s="1014">
        <f>SUM(G98:G99)</f>
        <v>0</v>
      </c>
      <c r="S68" s="1014">
        <f>SUM(H98:H99)</f>
        <v>0</v>
      </c>
      <c r="T68" s="1014">
        <f>SUM(I98:I99)</f>
        <v>0</v>
      </c>
      <c r="U68" s="1014">
        <f>SUM(J98:J99)</f>
        <v>0</v>
      </c>
      <c r="V68" s="1014">
        <f>SUM(K98:K99)</f>
        <v>0</v>
      </c>
      <c r="W68" s="1014"/>
      <c r="X68" s="1014"/>
      <c r="Y68" s="1014"/>
      <c r="Z68" s="1014"/>
      <c r="AA68" s="1014"/>
      <c r="AB68" s="1014"/>
      <c r="AC68" s="1014"/>
      <c r="AD68" s="1014"/>
      <c r="AE68" s="1014"/>
      <c r="AF68" s="1014"/>
      <c r="AG68" s="1014"/>
      <c r="AH68" s="1014"/>
      <c r="AI68" s="1014"/>
      <c r="AJ68" s="1014"/>
      <c r="AK68" s="1014"/>
      <c r="AL68" s="1014"/>
    </row>
    <row r="69" spans="1:38" ht="15">
      <c r="A69" s="1045">
        <f t="shared" si="158"/>
        <v>46250</v>
      </c>
      <c r="B69" s="644"/>
      <c r="C69" s="644"/>
      <c r="D69" s="644"/>
      <c r="E69" s="644"/>
      <c r="F69" s="644">
        <f t="shared" si="156"/>
        <v>0</v>
      </c>
      <c r="G69" s="644"/>
      <c r="H69" s="644"/>
      <c r="I69" s="644"/>
      <c r="J69" s="644">
        <f t="shared" si="155"/>
        <v>0</v>
      </c>
      <c r="K69" s="1033"/>
      <c r="L69" s="1049"/>
      <c r="M69" s="1014"/>
      <c r="N69" s="1014"/>
      <c r="O69" s="1014"/>
      <c r="P69" s="1014"/>
      <c r="Q69" s="1014"/>
      <c r="R69" s="1014"/>
      <c r="S69" s="1014"/>
      <c r="T69" s="1014"/>
      <c r="U69" s="1014"/>
      <c r="V69" s="1014"/>
      <c r="W69" s="1014"/>
      <c r="X69" s="1014"/>
      <c r="Y69" s="1014"/>
      <c r="Z69" s="1014"/>
      <c r="AA69" s="1014"/>
      <c r="AB69" s="1014"/>
      <c r="AC69" s="1014"/>
      <c r="AD69" s="1014"/>
      <c r="AE69" s="1014"/>
      <c r="AF69" s="1014"/>
      <c r="AG69" s="1014"/>
      <c r="AH69" s="1014"/>
      <c r="AI69" s="1014"/>
      <c r="AJ69" s="1014"/>
      <c r="AK69" s="1014"/>
    </row>
    <row r="70" spans="1:38" ht="15">
      <c r="A70" s="1046">
        <f t="shared" si="158"/>
        <v>46251</v>
      </c>
      <c r="B70" s="644"/>
      <c r="C70" s="644"/>
      <c r="D70" s="644"/>
      <c r="E70" s="644"/>
      <c r="F70" s="644">
        <f t="shared" si="156"/>
        <v>0</v>
      </c>
      <c r="G70" s="644"/>
      <c r="H70" s="644"/>
      <c r="I70" s="644"/>
      <c r="J70" s="644">
        <f t="shared" si="155"/>
        <v>0</v>
      </c>
      <c r="K70" s="1033"/>
      <c r="L70" s="1049"/>
      <c r="M70" s="1014"/>
      <c r="N70" s="1014"/>
      <c r="O70" s="1014"/>
      <c r="P70" s="1014"/>
      <c r="Q70" s="1014"/>
      <c r="R70" s="1014"/>
      <c r="S70" s="1014"/>
      <c r="T70" s="1014"/>
      <c r="U70" s="1014"/>
      <c r="V70" s="1014"/>
      <c r="W70" s="1014"/>
      <c r="X70" s="1014"/>
      <c r="Y70" s="1014"/>
      <c r="Z70" s="1014"/>
      <c r="AA70" s="1014"/>
      <c r="AB70" s="1014"/>
      <c r="AC70" s="1014"/>
      <c r="AD70" s="1014"/>
      <c r="AE70" s="1014"/>
      <c r="AF70" s="1014"/>
      <c r="AG70" s="1014"/>
      <c r="AH70" s="1014"/>
      <c r="AI70" s="1014"/>
      <c r="AJ70" s="1014"/>
      <c r="AK70" s="1014"/>
    </row>
    <row r="71" spans="1:38" ht="15">
      <c r="A71" s="1045">
        <f t="shared" si="158"/>
        <v>46251</v>
      </c>
      <c r="B71" s="644"/>
      <c r="C71" s="644"/>
      <c r="D71" s="644"/>
      <c r="E71" s="644"/>
      <c r="F71" s="644">
        <f t="shared" si="156"/>
        <v>0</v>
      </c>
      <c r="G71" s="644"/>
      <c r="H71" s="644"/>
      <c r="I71" s="644"/>
      <c r="J71" s="644">
        <f t="shared" si="155"/>
        <v>0</v>
      </c>
      <c r="K71" s="1033"/>
      <c r="L71" s="1049"/>
      <c r="M71" s="1014"/>
      <c r="N71" s="1014"/>
      <c r="O71" s="1014"/>
      <c r="P71" s="1014"/>
      <c r="Q71" s="1014"/>
      <c r="R71" s="1014"/>
      <c r="S71" s="1014"/>
      <c r="T71" s="1014"/>
      <c r="U71" s="1014"/>
      <c r="V71" s="1014"/>
      <c r="W71" s="1014"/>
      <c r="X71" s="1014"/>
      <c r="Y71" s="1014"/>
      <c r="Z71" s="1014"/>
      <c r="AA71" s="1014"/>
      <c r="AB71" s="1014"/>
      <c r="AC71" s="1014"/>
      <c r="AD71" s="1014"/>
      <c r="AE71" s="1014"/>
      <c r="AF71" s="1014"/>
      <c r="AG71" s="1014"/>
      <c r="AH71" s="1014"/>
      <c r="AI71" s="1014"/>
      <c r="AJ71" s="1014"/>
      <c r="AK71" s="1014"/>
    </row>
    <row r="72" spans="1:38" ht="15">
      <c r="A72" s="1046">
        <f t="shared" si="158"/>
        <v>46252</v>
      </c>
      <c r="B72" s="644"/>
      <c r="C72" s="644"/>
      <c r="D72" s="644"/>
      <c r="E72" s="644"/>
      <c r="F72" s="644">
        <f t="shared" si="156"/>
        <v>0</v>
      </c>
      <c r="G72" s="644"/>
      <c r="H72" s="644"/>
      <c r="I72" s="644"/>
      <c r="J72" s="644">
        <f t="shared" si="155"/>
        <v>0</v>
      </c>
      <c r="K72" s="1033"/>
      <c r="L72" s="1049"/>
      <c r="M72" s="1014"/>
      <c r="N72" s="1014"/>
      <c r="O72" s="1014"/>
      <c r="P72" s="1014"/>
      <c r="Q72" s="1014"/>
      <c r="R72" s="1014"/>
      <c r="S72" s="1014"/>
      <c r="T72" s="1014"/>
      <c r="U72" s="1014"/>
      <c r="V72" s="1014"/>
      <c r="W72" s="1014"/>
      <c r="X72" s="1014"/>
      <c r="Y72" s="1014"/>
      <c r="Z72" s="1014"/>
      <c r="AA72" s="1014"/>
      <c r="AB72" s="1014"/>
      <c r="AC72" s="1014"/>
      <c r="AD72" s="1014"/>
      <c r="AE72" s="1014"/>
      <c r="AF72" s="1014"/>
      <c r="AG72" s="1014"/>
      <c r="AH72" s="1014"/>
      <c r="AI72" s="1014"/>
      <c r="AJ72" s="1014"/>
      <c r="AK72" s="1014"/>
    </row>
    <row r="73" spans="1:38" ht="15">
      <c r="A73" s="1045">
        <f t="shared" si="158"/>
        <v>46252</v>
      </c>
      <c r="B73" s="644"/>
      <c r="C73" s="644"/>
      <c r="D73" s="644"/>
      <c r="E73" s="644"/>
      <c r="F73" s="644">
        <f t="shared" si="156"/>
        <v>0</v>
      </c>
      <c r="G73" s="644"/>
      <c r="H73" s="644"/>
      <c r="I73" s="392"/>
      <c r="J73" s="644">
        <f t="shared" si="155"/>
        <v>0</v>
      </c>
      <c r="K73" s="1033"/>
      <c r="L73" s="1049"/>
      <c r="M73" s="1014"/>
      <c r="N73" s="1014"/>
      <c r="O73" s="1014"/>
      <c r="P73" s="1014"/>
      <c r="Q73" s="1014"/>
      <c r="R73" s="1014"/>
      <c r="S73" s="1014"/>
      <c r="T73" s="1014"/>
      <c r="U73" s="1014"/>
      <c r="V73" s="1014"/>
      <c r="W73" s="1014"/>
      <c r="X73" s="1014"/>
      <c r="Y73" s="1014"/>
      <c r="Z73" s="1014"/>
      <c r="AA73" s="1014"/>
      <c r="AB73" s="1014"/>
      <c r="AC73" s="1014"/>
      <c r="AD73" s="1014"/>
      <c r="AE73" s="1014"/>
      <c r="AF73" s="1014"/>
      <c r="AG73" s="1014"/>
      <c r="AH73" s="1014"/>
      <c r="AI73" s="1014"/>
      <c r="AJ73" s="1014"/>
      <c r="AK73" s="1014"/>
    </row>
    <row r="74" spans="1:38" ht="15">
      <c r="A74" s="1046">
        <f t="shared" si="158"/>
        <v>46253</v>
      </c>
      <c r="B74" s="644"/>
      <c r="C74" s="644"/>
      <c r="D74" s="644"/>
      <c r="E74" s="644"/>
      <c r="F74" s="644">
        <f t="shared" si="156"/>
        <v>0</v>
      </c>
      <c r="G74" s="644"/>
      <c r="H74" s="644"/>
      <c r="I74" s="644"/>
      <c r="J74" s="644">
        <f t="shared" si="155"/>
        <v>0</v>
      </c>
      <c r="K74" s="1033"/>
      <c r="L74" s="1049"/>
      <c r="M74" s="1014"/>
      <c r="N74" s="1014"/>
      <c r="O74" s="1014"/>
      <c r="P74" s="1014"/>
      <c r="Q74" s="1014"/>
      <c r="R74" s="1014"/>
      <c r="S74" s="1014"/>
      <c r="T74" s="1014"/>
      <c r="U74" s="1014"/>
      <c r="V74" s="1014"/>
      <c r="W74" s="1014"/>
      <c r="X74" s="1014"/>
      <c r="Y74" s="1014"/>
      <c r="Z74" s="1014"/>
      <c r="AA74" s="1014"/>
      <c r="AB74" s="1014"/>
      <c r="AC74" s="1014"/>
      <c r="AD74" s="1014"/>
      <c r="AE74" s="1014"/>
      <c r="AF74" s="1014"/>
      <c r="AG74" s="1014"/>
      <c r="AH74" s="1014"/>
      <c r="AI74" s="1014"/>
      <c r="AJ74" s="1014"/>
      <c r="AK74" s="1014"/>
    </row>
    <row r="75" spans="1:38" ht="15">
      <c r="A75" s="1045">
        <f t="shared" si="158"/>
        <v>46253</v>
      </c>
      <c r="B75" s="644"/>
      <c r="C75" s="644"/>
      <c r="D75" s="644"/>
      <c r="E75" s="644"/>
      <c r="F75" s="644">
        <f t="shared" si="156"/>
        <v>0</v>
      </c>
      <c r="G75" s="644"/>
      <c r="H75" s="644"/>
      <c r="I75" s="644"/>
      <c r="J75" s="644">
        <f t="shared" si="155"/>
        <v>0</v>
      </c>
      <c r="K75" s="1033"/>
      <c r="L75" s="1049"/>
      <c r="Q75" s="1014"/>
    </row>
    <row r="76" spans="1:38" ht="15">
      <c r="A76" s="1046">
        <f t="shared" si="158"/>
        <v>46254</v>
      </c>
      <c r="B76" s="644"/>
      <c r="C76" s="644"/>
      <c r="D76" s="644"/>
      <c r="E76" s="644"/>
      <c r="F76" s="644">
        <f t="shared" si="156"/>
        <v>0</v>
      </c>
      <c r="G76" s="644"/>
      <c r="H76" s="644"/>
      <c r="I76" s="644"/>
      <c r="J76" s="644">
        <f t="shared" si="155"/>
        <v>0</v>
      </c>
      <c r="K76" s="1033"/>
      <c r="L76" s="1049"/>
      <c r="Q76" s="1014"/>
    </row>
    <row r="77" spans="1:38" ht="15">
      <c r="A77" s="1045">
        <f t="shared" si="158"/>
        <v>46254</v>
      </c>
      <c r="B77" s="644"/>
      <c r="C77" s="644"/>
      <c r="D77" s="644"/>
      <c r="E77" s="644"/>
      <c r="F77" s="644">
        <f t="shared" si="156"/>
        <v>0</v>
      </c>
      <c r="G77" s="644"/>
      <c r="H77" s="644"/>
      <c r="I77" s="644"/>
      <c r="J77" s="644">
        <f t="shared" si="155"/>
        <v>0</v>
      </c>
      <c r="K77" s="1033"/>
      <c r="L77" s="1049"/>
      <c r="Q77" s="1014"/>
    </row>
    <row r="78" spans="1:38" ht="15">
      <c r="A78" s="1046">
        <f t="shared" si="158"/>
        <v>46255</v>
      </c>
      <c r="B78" s="644"/>
      <c r="C78" s="644"/>
      <c r="D78" s="644"/>
      <c r="E78" s="644"/>
      <c r="F78" s="644">
        <f t="shared" si="156"/>
        <v>0</v>
      </c>
      <c r="G78" s="644"/>
      <c r="H78" s="644"/>
      <c r="I78" s="644"/>
      <c r="J78" s="644">
        <f t="shared" si="155"/>
        <v>0</v>
      </c>
      <c r="K78" s="1033"/>
      <c r="L78" s="1049"/>
      <c r="Q78" s="1014"/>
    </row>
    <row r="79" spans="1:38" ht="15">
      <c r="A79" s="1045">
        <f t="shared" si="158"/>
        <v>46255</v>
      </c>
      <c r="B79" s="644"/>
      <c r="C79" s="644"/>
      <c r="D79" s="644"/>
      <c r="E79" s="644"/>
      <c r="F79" s="644">
        <f t="shared" si="156"/>
        <v>0</v>
      </c>
      <c r="G79" s="644"/>
      <c r="H79" s="644"/>
      <c r="I79" s="644"/>
      <c r="J79" s="644">
        <f t="shared" si="155"/>
        <v>0</v>
      </c>
      <c r="K79" s="1033"/>
      <c r="L79" s="1049"/>
      <c r="Q79" s="1014"/>
    </row>
    <row r="80" spans="1:38" ht="15">
      <c r="A80" s="1046">
        <f t="shared" si="158"/>
        <v>46256</v>
      </c>
      <c r="B80" s="644"/>
      <c r="C80" s="644"/>
      <c r="D80" s="644"/>
      <c r="E80" s="644"/>
      <c r="F80" s="644">
        <f t="shared" si="156"/>
        <v>0</v>
      </c>
      <c r="G80" s="644"/>
      <c r="H80" s="644"/>
      <c r="I80" s="392"/>
      <c r="J80" s="644">
        <f t="shared" si="155"/>
        <v>0</v>
      </c>
      <c r="K80" s="1033"/>
      <c r="L80" s="1049"/>
      <c r="Q80" s="1014"/>
    </row>
    <row r="81" spans="1:17" ht="15">
      <c r="A81" s="1045">
        <f t="shared" si="158"/>
        <v>46256</v>
      </c>
      <c r="B81" s="644"/>
      <c r="C81" s="644"/>
      <c r="D81" s="644"/>
      <c r="E81" s="644"/>
      <c r="F81" s="644">
        <f t="shared" si="156"/>
        <v>0</v>
      </c>
      <c r="G81" s="644"/>
      <c r="H81" s="644"/>
      <c r="I81" s="392"/>
      <c r="J81" s="644">
        <f t="shared" si="155"/>
        <v>0</v>
      </c>
      <c r="K81" s="1033"/>
      <c r="L81" s="1049"/>
      <c r="Q81" s="1014"/>
    </row>
    <row r="82" spans="1:17" ht="15">
      <c r="A82" s="1046">
        <f t="shared" si="158"/>
        <v>46257</v>
      </c>
      <c r="B82" s="644"/>
      <c r="C82" s="644"/>
      <c r="D82" s="644"/>
      <c r="E82" s="644"/>
      <c r="F82" s="644">
        <f t="shared" si="156"/>
        <v>0</v>
      </c>
      <c r="G82" s="644"/>
      <c r="H82" s="644"/>
      <c r="I82" s="644"/>
      <c r="J82" s="644">
        <f t="shared" si="155"/>
        <v>0</v>
      </c>
      <c r="K82" s="1033"/>
      <c r="L82" s="1049"/>
      <c r="Q82" s="1014"/>
    </row>
    <row r="83" spans="1:17" ht="15">
      <c r="A83" s="1045">
        <f t="shared" si="158"/>
        <v>46257</v>
      </c>
      <c r="B83" s="644"/>
      <c r="C83" s="644"/>
      <c r="D83" s="644"/>
      <c r="E83" s="644"/>
      <c r="F83" s="644">
        <f t="shared" si="156"/>
        <v>0</v>
      </c>
      <c r="G83" s="644"/>
      <c r="H83" s="644"/>
      <c r="I83" s="644"/>
      <c r="J83" s="644">
        <f t="shared" si="155"/>
        <v>0</v>
      </c>
      <c r="K83" s="1033"/>
      <c r="L83" s="1049"/>
      <c r="Q83" s="1014"/>
    </row>
    <row r="84" spans="1:17" ht="15">
      <c r="A84" s="1046">
        <f t="shared" si="158"/>
        <v>46258</v>
      </c>
      <c r="B84" s="644"/>
      <c r="C84" s="644"/>
      <c r="D84" s="644"/>
      <c r="E84" s="644"/>
      <c r="F84" s="644">
        <f t="shared" si="156"/>
        <v>0</v>
      </c>
      <c r="G84" s="644"/>
      <c r="H84" s="644"/>
      <c r="I84" s="644"/>
      <c r="J84" s="644">
        <f t="shared" si="155"/>
        <v>0</v>
      </c>
      <c r="K84" s="1033"/>
      <c r="L84" s="1049"/>
      <c r="Q84" s="1014"/>
    </row>
    <row r="85" spans="1:17" ht="15">
      <c r="A85" s="1045">
        <f t="shared" si="158"/>
        <v>46258</v>
      </c>
      <c r="B85" s="644"/>
      <c r="C85" s="644"/>
      <c r="D85" s="644"/>
      <c r="E85" s="644"/>
      <c r="F85" s="644">
        <f t="shared" si="156"/>
        <v>0</v>
      </c>
      <c r="G85" s="644"/>
      <c r="H85" s="644"/>
      <c r="I85" s="644"/>
      <c r="J85" s="644">
        <f t="shared" si="155"/>
        <v>0</v>
      </c>
      <c r="K85" s="1033"/>
      <c r="L85" s="1049"/>
      <c r="Q85" s="1014"/>
    </row>
    <row r="86" spans="1:17" ht="15">
      <c r="A86" s="1046">
        <f t="shared" si="158"/>
        <v>46259</v>
      </c>
      <c r="B86" s="644"/>
      <c r="C86" s="644"/>
      <c r="D86" s="644"/>
      <c r="E86" s="644"/>
      <c r="F86" s="644">
        <f t="shared" si="156"/>
        <v>0</v>
      </c>
      <c r="G86" s="644"/>
      <c r="H86" s="644"/>
      <c r="I86" s="644"/>
      <c r="J86" s="644">
        <f t="shared" si="155"/>
        <v>0</v>
      </c>
      <c r="K86" s="1033"/>
      <c r="L86" s="1049"/>
      <c r="Q86" s="1014"/>
    </row>
    <row r="87" spans="1:17" ht="15">
      <c r="A87" s="1045">
        <f t="shared" si="158"/>
        <v>46259</v>
      </c>
      <c r="B87" s="1033"/>
      <c r="C87" s="1033"/>
      <c r="D87" s="1033"/>
      <c r="E87" s="1033"/>
      <c r="F87" s="1030">
        <f t="shared" si="156"/>
        <v>0</v>
      </c>
      <c r="G87" s="1030"/>
      <c r="H87" s="1030"/>
      <c r="I87" s="1031"/>
      <c r="J87" s="1030">
        <f t="shared" si="155"/>
        <v>0</v>
      </c>
      <c r="K87" s="1033"/>
      <c r="L87" s="1049"/>
      <c r="Q87" s="1014"/>
    </row>
    <row r="88" spans="1:17" ht="15">
      <c r="A88" s="1046">
        <f t="shared" si="158"/>
        <v>46260</v>
      </c>
      <c r="B88" s="1033"/>
      <c r="C88" s="1033"/>
      <c r="D88" s="1033"/>
      <c r="E88" s="1033"/>
      <c r="F88" s="1030">
        <f t="shared" si="156"/>
        <v>0</v>
      </c>
      <c r="G88" s="1030"/>
      <c r="H88" s="1030"/>
      <c r="I88" s="1031"/>
      <c r="J88" s="1030">
        <f t="shared" si="155"/>
        <v>0</v>
      </c>
      <c r="K88" s="1033"/>
      <c r="L88" s="1049"/>
      <c r="Q88" s="1014"/>
    </row>
    <row r="89" spans="1:17" ht="15">
      <c r="A89" s="1045">
        <f t="shared" si="158"/>
        <v>46260</v>
      </c>
      <c r="B89" s="1033"/>
      <c r="C89" s="1033"/>
      <c r="D89" s="1033"/>
      <c r="E89" s="1033"/>
      <c r="F89" s="1030">
        <f t="shared" si="156"/>
        <v>0</v>
      </c>
      <c r="G89" s="1030"/>
      <c r="H89" s="1030"/>
      <c r="I89" s="1031"/>
      <c r="J89" s="1030">
        <f t="shared" si="155"/>
        <v>0</v>
      </c>
      <c r="K89" s="1033"/>
      <c r="L89" s="1049"/>
      <c r="Q89" s="1014"/>
    </row>
    <row r="90" spans="1:17" ht="15">
      <c r="A90" s="1046">
        <f t="shared" si="158"/>
        <v>46261</v>
      </c>
      <c r="B90" s="1033"/>
      <c r="C90" s="1033"/>
      <c r="D90" s="1033"/>
      <c r="E90" s="1033"/>
      <c r="F90" s="1030">
        <f t="shared" si="156"/>
        <v>0</v>
      </c>
      <c r="G90" s="1030"/>
      <c r="H90" s="1030"/>
      <c r="I90" s="1030"/>
      <c r="J90" s="1030">
        <f t="shared" si="155"/>
        <v>0</v>
      </c>
      <c r="K90" s="1033"/>
      <c r="L90" s="1049"/>
      <c r="Q90" s="1014"/>
    </row>
    <row r="91" spans="1:17" ht="15">
      <c r="A91" s="1045">
        <f t="shared" si="158"/>
        <v>46261</v>
      </c>
      <c r="B91" s="1033"/>
      <c r="C91" s="1033"/>
      <c r="D91" s="1033"/>
      <c r="E91" s="1033"/>
      <c r="F91" s="1030">
        <f t="shared" si="156"/>
        <v>0</v>
      </c>
      <c r="G91" s="1030"/>
      <c r="H91" s="1030"/>
      <c r="I91" s="1030"/>
      <c r="J91" s="1030">
        <f t="shared" si="155"/>
        <v>0</v>
      </c>
      <c r="K91" s="1033"/>
      <c r="L91" s="1049"/>
      <c r="Q91" s="1014"/>
    </row>
    <row r="92" spans="1:17" ht="15">
      <c r="A92" s="1046">
        <f t="shared" si="158"/>
        <v>46262</v>
      </c>
      <c r="B92" s="1033"/>
      <c r="C92" s="1033"/>
      <c r="D92" s="1033"/>
      <c r="E92" s="1033"/>
      <c r="F92" s="1030">
        <f t="shared" si="156"/>
        <v>0</v>
      </c>
      <c r="G92" s="1030"/>
      <c r="H92" s="1030"/>
      <c r="I92" s="1030"/>
      <c r="J92" s="1030">
        <f t="shared" si="155"/>
        <v>0</v>
      </c>
      <c r="K92" s="1033"/>
      <c r="L92" s="1049"/>
      <c r="Q92" s="1014"/>
    </row>
    <row r="93" spans="1:17" ht="15">
      <c r="A93" s="1045">
        <f t="shared" si="158"/>
        <v>46262</v>
      </c>
      <c r="B93" s="1033"/>
      <c r="C93" s="1033"/>
      <c r="D93" s="1033"/>
      <c r="E93" s="1033"/>
      <c r="F93" s="1030">
        <f t="shared" si="156"/>
        <v>0</v>
      </c>
      <c r="G93" s="1030"/>
      <c r="H93" s="1030"/>
      <c r="I93" s="1030"/>
      <c r="J93" s="1030">
        <f t="shared" si="155"/>
        <v>0</v>
      </c>
      <c r="K93" s="1033"/>
      <c r="L93" s="1049"/>
      <c r="Q93" s="1014"/>
    </row>
    <row r="94" spans="1:17" ht="15">
      <c r="A94" s="1046">
        <f t="shared" si="158"/>
        <v>46263</v>
      </c>
      <c r="B94" s="1033"/>
      <c r="C94" s="1033"/>
      <c r="D94" s="1033"/>
      <c r="E94" s="1033"/>
      <c r="F94" s="1030">
        <f t="shared" si="156"/>
        <v>0</v>
      </c>
      <c r="G94" s="1030"/>
      <c r="H94" s="1030"/>
      <c r="I94" s="1031"/>
      <c r="J94" s="1030">
        <f t="shared" si="155"/>
        <v>0</v>
      </c>
      <c r="K94" s="1033"/>
      <c r="L94" s="1049"/>
      <c r="Q94" s="1014"/>
    </row>
    <row r="95" spans="1:17" ht="15">
      <c r="A95" s="1045">
        <f t="shared" si="158"/>
        <v>46263</v>
      </c>
      <c r="B95" s="1033"/>
      <c r="C95" s="1033"/>
      <c r="D95" s="1033"/>
      <c r="E95" s="1033"/>
      <c r="F95" s="1030">
        <f t="shared" si="156"/>
        <v>0</v>
      </c>
      <c r="G95" s="1030"/>
      <c r="H95" s="1030"/>
      <c r="I95" s="1030"/>
      <c r="J95" s="1030">
        <f t="shared" si="155"/>
        <v>0</v>
      </c>
      <c r="K95" s="1033"/>
      <c r="L95" s="1049"/>
      <c r="Q95" s="1014"/>
    </row>
    <row r="96" spans="1:17" ht="15">
      <c r="A96" s="1046">
        <f t="shared" si="158"/>
        <v>46264</v>
      </c>
      <c r="B96" s="1033"/>
      <c r="C96" s="1033"/>
      <c r="D96" s="1033"/>
      <c r="E96" s="1033"/>
      <c r="F96" s="1030">
        <f t="shared" si="156"/>
        <v>0</v>
      </c>
      <c r="G96" s="1030"/>
      <c r="H96" s="1030"/>
      <c r="I96" s="1030"/>
      <c r="J96" s="1030">
        <f t="shared" si="155"/>
        <v>0</v>
      </c>
      <c r="K96" s="1033"/>
      <c r="L96" s="1049"/>
      <c r="Q96" s="1014"/>
    </row>
    <row r="97" spans="1:17" ht="15">
      <c r="A97" s="1045">
        <f t="shared" si="158"/>
        <v>46264</v>
      </c>
      <c r="B97" s="1033"/>
      <c r="C97" s="1033"/>
      <c r="D97" s="1033"/>
      <c r="E97" s="1033"/>
      <c r="F97" s="1030">
        <f t="shared" si="156"/>
        <v>0</v>
      </c>
      <c r="G97" s="1030"/>
      <c r="H97" s="1030"/>
      <c r="I97" s="1030"/>
      <c r="J97" s="1030">
        <f t="shared" si="155"/>
        <v>0</v>
      </c>
      <c r="K97" s="1033"/>
      <c r="L97" s="1049"/>
      <c r="Q97" s="1014"/>
    </row>
    <row r="98" spans="1:17" ht="15">
      <c r="A98" s="1046">
        <f t="shared" si="158"/>
        <v>46265</v>
      </c>
      <c r="B98" s="1033"/>
      <c r="C98" s="1033"/>
      <c r="D98" s="1033"/>
      <c r="E98" s="1033"/>
      <c r="F98" s="1030">
        <f t="shared" si="156"/>
        <v>0</v>
      </c>
      <c r="G98" s="1030"/>
      <c r="H98" s="1030"/>
      <c r="I98" s="1031"/>
      <c r="J98" s="1030">
        <f t="shared" si="155"/>
        <v>0</v>
      </c>
      <c r="K98" s="1033"/>
      <c r="L98" s="1049"/>
      <c r="Q98" s="1014"/>
    </row>
    <row r="99" spans="1:17" ht="15">
      <c r="A99" s="1045">
        <f t="shared" si="158"/>
        <v>46265</v>
      </c>
      <c r="B99" s="1033"/>
      <c r="C99" s="1033"/>
      <c r="D99" s="1033"/>
      <c r="E99" s="1033"/>
      <c r="F99" s="1030">
        <f t="shared" si="156"/>
        <v>0</v>
      </c>
      <c r="G99" s="1030"/>
      <c r="H99" s="1030"/>
      <c r="I99" s="1031"/>
      <c r="J99" s="1030">
        <f t="shared" si="155"/>
        <v>0</v>
      </c>
      <c r="K99" s="1033"/>
      <c r="L99" s="1049"/>
      <c r="Q99" s="1014"/>
    </row>
    <row r="100" spans="1:17">
      <c r="A100" s="362"/>
      <c r="B100" s="1034">
        <f t="shared" ref="B100:K100" si="159">SUM(B38:B99)</f>
        <v>0</v>
      </c>
      <c r="C100" s="1034">
        <f t="shared" si="159"/>
        <v>0</v>
      </c>
      <c r="D100" s="1034">
        <f t="shared" si="159"/>
        <v>0</v>
      </c>
      <c r="E100" s="1034">
        <f t="shared" si="159"/>
        <v>0</v>
      </c>
      <c r="F100" s="1034">
        <f>SUM(F38:F99)</f>
        <v>0</v>
      </c>
      <c r="G100" s="1034">
        <f t="shared" si="159"/>
        <v>0</v>
      </c>
      <c r="H100" s="1224">
        <f t="shared" si="159"/>
        <v>0</v>
      </c>
      <c r="I100" s="1034">
        <f t="shared" si="159"/>
        <v>0</v>
      </c>
      <c r="J100" s="1034">
        <f t="shared" si="159"/>
        <v>0</v>
      </c>
      <c r="K100" s="1034">
        <f t="shared" si="159"/>
        <v>0</v>
      </c>
      <c r="L100" s="1227">
        <f>SUM(B100:K100)</f>
        <v>0</v>
      </c>
    </row>
    <row r="101" spans="1:17">
      <c r="M101" s="362"/>
    </row>
    <row r="103" spans="1:17" ht="15.6">
      <c r="A103" s="780" t="s">
        <v>62</v>
      </c>
      <c r="B103" s="781"/>
      <c r="C103" s="1252" t="s">
        <v>64</v>
      </c>
      <c r="D103" s="1253"/>
      <c r="E103" s="1253"/>
      <c r="F103" s="1253"/>
      <c r="G103" s="1253"/>
      <c r="H103" s="1254"/>
    </row>
    <row r="104" spans="1:17" ht="15.6">
      <c r="A104" s="782"/>
      <c r="B104" s="783" t="s">
        <v>531</v>
      </c>
      <c r="C104" s="366" t="s">
        <v>379</v>
      </c>
      <c r="D104" s="367" t="s">
        <v>380</v>
      </c>
      <c r="E104" s="367" t="s">
        <v>67</v>
      </c>
      <c r="F104" s="367" t="s">
        <v>66</v>
      </c>
      <c r="G104" s="368" t="s">
        <v>381</v>
      </c>
      <c r="H104" s="368" t="s">
        <v>65</v>
      </c>
    </row>
    <row r="105" spans="1:17">
      <c r="A105" s="392" t="s">
        <v>69</v>
      </c>
      <c r="B105" s="1212">
        <f>B33</f>
        <v>98828.664106000011</v>
      </c>
      <c r="C105" s="1212">
        <f t="shared" ref="C105:H105" si="160">C33</f>
        <v>39.0128571428572</v>
      </c>
      <c r="D105" s="1212">
        <f t="shared" si="160"/>
        <v>19.8028571428571</v>
      </c>
      <c r="E105" s="1212">
        <f t="shared" si="160"/>
        <v>7.3742857142857092</v>
      </c>
      <c r="F105" s="1212">
        <f t="shared" si="160"/>
        <v>0.13999999999999999</v>
      </c>
      <c r="G105" s="1212">
        <f t="shared" si="160"/>
        <v>4906.7583999999997</v>
      </c>
      <c r="H105" s="1212">
        <f t="shared" si="160"/>
        <v>3731.4194102818005</v>
      </c>
    </row>
    <row r="106" spans="1:17">
      <c r="A106" s="392" t="s">
        <v>397</v>
      </c>
      <c r="B106" s="1212">
        <f>W33</f>
        <v>0</v>
      </c>
      <c r="C106" s="1212">
        <f t="shared" ref="C106:H106" si="161">X33</f>
        <v>0</v>
      </c>
      <c r="D106" s="1212">
        <f t="shared" si="161"/>
        <v>0</v>
      </c>
      <c r="E106" s="1212">
        <f t="shared" si="161"/>
        <v>0</v>
      </c>
      <c r="F106" s="1212">
        <f t="shared" si="161"/>
        <v>0</v>
      </c>
      <c r="G106" s="1212">
        <f t="shared" si="161"/>
        <v>0</v>
      </c>
      <c r="H106" s="1212">
        <f t="shared" si="161"/>
        <v>0</v>
      </c>
    </row>
    <row r="107" spans="1:17">
      <c r="A107" s="392" t="s">
        <v>70</v>
      </c>
      <c r="B107" s="1212">
        <f>AR33</f>
        <v>2697.3303620000002</v>
      </c>
      <c r="C107" s="1212">
        <f t="shared" ref="C107:H107" si="162">AS33</f>
        <v>39.54</v>
      </c>
      <c r="D107" s="1212">
        <f t="shared" si="162"/>
        <v>22.28</v>
      </c>
      <c r="E107" s="1212">
        <f t="shared" si="162"/>
        <v>8.8800000000000008</v>
      </c>
      <c r="F107" s="1212">
        <f t="shared" si="162"/>
        <v>0.1</v>
      </c>
      <c r="G107" s="1212">
        <f t="shared" si="162"/>
        <v>4728</v>
      </c>
      <c r="H107" s="1212">
        <f t="shared" si="162"/>
        <v>3678.0092640247044</v>
      </c>
    </row>
    <row r="108" spans="1:17">
      <c r="A108" s="1215"/>
      <c r="B108" s="1133"/>
      <c r="C108" s="1133"/>
      <c r="D108" s="1133"/>
      <c r="E108" s="1133"/>
      <c r="F108" s="1133"/>
      <c r="G108" s="1133"/>
      <c r="H108" s="1133"/>
    </row>
    <row r="109" spans="1:17">
      <c r="A109" s="363" t="s">
        <v>126</v>
      </c>
      <c r="B109" s="364">
        <f>SUM(B105:B108)</f>
        <v>101525.994468</v>
      </c>
      <c r="C109" s="1136">
        <f t="shared" ref="C109:H109" si="163">IFERROR(SUMPRODUCT($B$105:$B$107,C105:C107)/$B$109,0)</f>
        <v>39.026862210634505</v>
      </c>
      <c r="D109" s="1136">
        <f t="shared" si="163"/>
        <v>19.868669575176483</v>
      </c>
      <c r="E109" s="1136">
        <f t="shared" si="163"/>
        <v>7.4142893496170972</v>
      </c>
      <c r="F109" s="1136">
        <f t="shared" si="163"/>
        <v>0.13893728482990622</v>
      </c>
      <c r="G109" s="1136">
        <f t="shared" si="163"/>
        <v>4902.0091684134577</v>
      </c>
      <c r="H109" s="1136">
        <f t="shared" si="163"/>
        <v>3730.0004159651917</v>
      </c>
    </row>
    <row r="110" spans="1:17">
      <c r="A110" s="392"/>
      <c r="B110" s="1133"/>
      <c r="C110" s="1133"/>
      <c r="D110" s="1133"/>
      <c r="E110" s="1133"/>
      <c r="F110" s="1133"/>
      <c r="G110" s="1133"/>
      <c r="H110" s="1133"/>
    </row>
    <row r="111" spans="1:17">
      <c r="A111" s="392" t="s">
        <v>562</v>
      </c>
      <c r="B111" s="1134">
        <f>BM33</f>
        <v>0</v>
      </c>
      <c r="C111" s="1134">
        <f t="shared" ref="C111:H111" si="164">BN33</f>
        <v>0</v>
      </c>
      <c r="D111" s="1134">
        <f t="shared" si="164"/>
        <v>0</v>
      </c>
      <c r="E111" s="1134">
        <f t="shared" si="164"/>
        <v>0</v>
      </c>
      <c r="F111" s="1134">
        <f t="shared" si="164"/>
        <v>0</v>
      </c>
      <c r="G111" s="1134">
        <f t="shared" si="164"/>
        <v>0</v>
      </c>
      <c r="H111" s="1134">
        <f t="shared" si="164"/>
        <v>0</v>
      </c>
    </row>
    <row r="112" spans="1:17">
      <c r="A112" s="392" t="s">
        <v>549</v>
      </c>
      <c r="B112" s="1134">
        <f>CH33</f>
        <v>0</v>
      </c>
      <c r="C112" s="1134">
        <f t="shared" ref="C112:H112" si="165">CI33</f>
        <v>0</v>
      </c>
      <c r="D112" s="1134">
        <f t="shared" si="165"/>
        <v>0</v>
      </c>
      <c r="E112" s="1134">
        <f t="shared" si="165"/>
        <v>0</v>
      </c>
      <c r="F112" s="1134">
        <f t="shared" si="165"/>
        <v>0</v>
      </c>
      <c r="G112" s="1134">
        <f t="shared" si="165"/>
        <v>0</v>
      </c>
      <c r="H112" s="1134">
        <f t="shared" si="165"/>
        <v>0</v>
      </c>
    </row>
    <row r="113" spans="1:8">
      <c r="A113" s="392" t="s">
        <v>552</v>
      </c>
      <c r="B113" s="1134">
        <f>DC33</f>
        <v>56651.176224000003</v>
      </c>
      <c r="C113" s="1134">
        <f t="shared" ref="C113:G113" si="166">DD33</f>
        <v>38.944000000000003</v>
      </c>
      <c r="D113" s="1134">
        <f t="shared" si="166"/>
        <v>20.835999999999999</v>
      </c>
      <c r="E113" s="1134">
        <f>DF33</f>
        <v>8.9700000000000006</v>
      </c>
      <c r="F113" s="1134">
        <f t="shared" si="166"/>
        <v>0.16800000000000001</v>
      </c>
      <c r="G113" s="1134">
        <f t="shared" si="166"/>
        <v>4728</v>
      </c>
      <c r="H113" s="1134">
        <f>DI33</f>
        <v>3646.5156889495224</v>
      </c>
    </row>
    <row r="114" spans="1:8">
      <c r="A114" s="362"/>
      <c r="B114" s="362"/>
      <c r="C114" s="362"/>
      <c r="D114" s="362"/>
      <c r="E114" s="362"/>
      <c r="F114" s="362"/>
      <c r="G114" s="362"/>
      <c r="H114" s="362"/>
    </row>
    <row r="115" spans="1:8">
      <c r="A115" s="363" t="s">
        <v>126</v>
      </c>
      <c r="B115" s="1226">
        <f>SUM(B110:B114)</f>
        <v>56651.176224000003</v>
      </c>
      <c r="C115" s="1135">
        <f t="shared" ref="C115:H115" si="167">SUMPRODUCT($B$110:$B$113,C110:C113)/$B$115</f>
        <v>38.944000000000003</v>
      </c>
      <c r="D115" s="1135">
        <f t="shared" si="167"/>
        <v>20.835999999999999</v>
      </c>
      <c r="E115" s="1135">
        <f t="shared" si="167"/>
        <v>8.9700000000000006</v>
      </c>
      <c r="F115" s="1135">
        <f t="shared" si="167"/>
        <v>0.16800000000000001</v>
      </c>
      <c r="G115" s="1135">
        <f t="shared" si="167"/>
        <v>4728</v>
      </c>
      <c r="H115" s="1136">
        <f t="shared" si="167"/>
        <v>3646.5156889495224</v>
      </c>
    </row>
  </sheetData>
  <mergeCells count="25">
    <mergeCell ref="C103:H103"/>
    <mergeCell ref="W36:Z36"/>
    <mergeCell ref="AA36:AD36"/>
    <mergeCell ref="CH1:CN1"/>
    <mergeCell ref="CO1:CU1"/>
    <mergeCell ref="DQ1:DW1"/>
    <mergeCell ref="B1:H1"/>
    <mergeCell ref="I1:O1"/>
    <mergeCell ref="P1:V1"/>
    <mergeCell ref="W1:AC1"/>
    <mergeCell ref="AD1:AJ1"/>
    <mergeCell ref="AK1:AQ1"/>
    <mergeCell ref="BF1:BL1"/>
    <mergeCell ref="BM1:BS1"/>
    <mergeCell ref="BT1:BZ1"/>
    <mergeCell ref="CA1:CG1"/>
    <mergeCell ref="CV1:DB1"/>
    <mergeCell ref="DC1:DI1"/>
    <mergeCell ref="DJ1:DP1"/>
    <mergeCell ref="A36:A37"/>
    <mergeCell ref="G36:K36"/>
    <mergeCell ref="AR1:AX1"/>
    <mergeCell ref="A1:A2"/>
    <mergeCell ref="AY1:BE1"/>
    <mergeCell ref="M36:P3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AL96"/>
  <sheetViews>
    <sheetView showGridLines="0" zoomScale="90" zoomScaleNormal="90" workbookViewId="0">
      <selection activeCell="A32" sqref="A32:O96"/>
    </sheetView>
  </sheetViews>
  <sheetFormatPr defaultRowHeight="14.45"/>
  <cols>
    <col min="1" max="1" width="16" style="362" bestFit="1" customWidth="1"/>
    <col min="2" max="2" width="12.7109375" bestFit="1" customWidth="1"/>
    <col min="3" max="3" width="11.28515625" bestFit="1" customWidth="1"/>
    <col min="4" max="4" width="11.140625" customWidth="1"/>
    <col min="5" max="5" width="10.28515625" customWidth="1"/>
    <col min="6" max="6" width="12.28515625" bestFit="1" customWidth="1"/>
    <col min="7" max="7" width="10.28515625" customWidth="1"/>
    <col min="8" max="8" width="11.28515625" bestFit="1" customWidth="1"/>
    <col min="9" max="9" width="11" bestFit="1" customWidth="1"/>
    <col min="10" max="10" width="9.85546875" bestFit="1" customWidth="1"/>
    <col min="11" max="11" width="9.28515625" bestFit="1" customWidth="1"/>
    <col min="12" max="12" width="10.28515625" bestFit="1" customWidth="1"/>
    <col min="13" max="14" width="11.140625" bestFit="1" customWidth="1"/>
    <col min="15" max="16" width="9.28515625" bestFit="1" customWidth="1"/>
    <col min="17" max="17" width="9.85546875" bestFit="1" customWidth="1"/>
    <col min="18" max="18" width="9.28515625" bestFit="1" customWidth="1"/>
    <col min="19" max="19" width="10" bestFit="1" customWidth="1"/>
    <col min="21" max="21" width="10" bestFit="1" customWidth="1"/>
    <col min="34" max="34" width="12.85546875" bestFit="1" customWidth="1"/>
    <col min="37" max="37" width="11.85546875" customWidth="1"/>
  </cols>
  <sheetData>
    <row r="1" spans="1:37">
      <c r="B1" t="s">
        <v>563</v>
      </c>
    </row>
    <row r="2" spans="1:37">
      <c r="A2" s="1029" t="s">
        <v>564</v>
      </c>
      <c r="B2" s="518" t="s">
        <v>213</v>
      </c>
      <c r="C2" s="519" t="s">
        <v>157</v>
      </c>
      <c r="D2" s="519" t="s">
        <v>158</v>
      </c>
      <c r="E2" s="519" t="s">
        <v>159</v>
      </c>
      <c r="F2" s="519" t="s">
        <v>160</v>
      </c>
      <c r="G2" s="519" t="s">
        <v>161</v>
      </c>
      <c r="H2" s="519" t="s">
        <v>162</v>
      </c>
      <c r="I2" s="519" t="s">
        <v>163</v>
      </c>
      <c r="J2" s="519" t="s">
        <v>164</v>
      </c>
      <c r="K2" s="519" t="s">
        <v>165</v>
      </c>
      <c r="L2" s="519" t="s">
        <v>166</v>
      </c>
      <c r="M2" s="519" t="s">
        <v>167</v>
      </c>
      <c r="N2" s="519" t="s">
        <v>168</v>
      </c>
      <c r="O2" s="519" t="s">
        <v>169</v>
      </c>
      <c r="P2" s="519" t="s">
        <v>170</v>
      </c>
      <c r="Q2" s="519" t="s">
        <v>171</v>
      </c>
      <c r="R2" s="519" t="s">
        <v>172</v>
      </c>
      <c r="S2" s="519" t="s">
        <v>173</v>
      </c>
      <c r="T2" s="519" t="s">
        <v>174</v>
      </c>
      <c r="U2" s="519" t="s">
        <v>175</v>
      </c>
      <c r="V2" s="519" t="s">
        <v>176</v>
      </c>
      <c r="W2" s="519" t="s">
        <v>177</v>
      </c>
      <c r="X2" s="519" t="s">
        <v>178</v>
      </c>
      <c r="Y2" s="519" t="s">
        <v>179</v>
      </c>
      <c r="Z2" s="519" t="s">
        <v>180</v>
      </c>
      <c r="AA2" s="519" t="s">
        <v>181</v>
      </c>
      <c r="AB2" s="519" t="s">
        <v>182</v>
      </c>
      <c r="AC2" s="519" t="s">
        <v>183</v>
      </c>
      <c r="AD2" s="519" t="s">
        <v>184</v>
      </c>
      <c r="AE2" s="519" t="s">
        <v>185</v>
      </c>
      <c r="AF2" s="519" t="s">
        <v>186</v>
      </c>
      <c r="AG2" s="519" t="s">
        <v>187</v>
      </c>
      <c r="AH2" s="623" t="s">
        <v>206</v>
      </c>
      <c r="AK2" s="1029" t="s">
        <v>564</v>
      </c>
    </row>
    <row r="3" spans="1:37">
      <c r="A3" s="1029"/>
      <c r="B3" s="392" t="s">
        <v>208</v>
      </c>
      <c r="C3" s="33">
        <f>Actual!F51+Actual!F67+Actual!F83</f>
        <v>0</v>
      </c>
      <c r="D3" s="33">
        <f>Actual!G51+Actual!G67+Actual!G83</f>
        <v>0</v>
      </c>
      <c r="E3" s="33">
        <f>Actual!H51+Actual!H67+Actual!H83</f>
        <v>0</v>
      </c>
      <c r="F3" s="33">
        <f>Actual!I51+Actual!I67+Actual!I83</f>
        <v>0</v>
      </c>
      <c r="G3" s="33">
        <f>Actual!J51+Actual!J67+Actual!J83</f>
        <v>0</v>
      </c>
      <c r="H3" s="33">
        <f>Actual!K51+Actual!K67+Actual!K83</f>
        <v>0</v>
      </c>
      <c r="I3" s="33">
        <f>Actual!L51+Actual!L67+Actual!L83</f>
        <v>0</v>
      </c>
      <c r="J3" s="33">
        <f>Actual!M51+Actual!M67+Actual!M83</f>
        <v>0</v>
      </c>
      <c r="K3" s="33">
        <f>Actual!N51+Actual!N67+Actual!N83</f>
        <v>0</v>
      </c>
      <c r="L3" s="33">
        <f>Actual!O51+Actual!O67+Actual!O83</f>
        <v>0</v>
      </c>
      <c r="M3" s="33">
        <f>Actual!P51+Actual!P67+Actual!P83</f>
        <v>0</v>
      </c>
      <c r="N3" s="33">
        <f>Actual!Q51+Actual!Q67+Actual!Q83</f>
        <v>0</v>
      </c>
      <c r="O3" s="33">
        <f>Actual!R51+Actual!R67+Actual!R83</f>
        <v>0</v>
      </c>
      <c r="P3" s="33">
        <f>Actual!S51+Actual!S67+Actual!S83</f>
        <v>0</v>
      </c>
      <c r="Q3" s="33">
        <f>Actual!T51+Actual!T67+Actual!T83</f>
        <v>0</v>
      </c>
      <c r="R3" s="33">
        <f>Actual!U51+Actual!U67+Actual!U83</f>
        <v>0</v>
      </c>
      <c r="S3" s="33">
        <f>Actual!V51+Actual!V67+Actual!V83</f>
        <v>0</v>
      </c>
      <c r="T3" s="33">
        <f>Actual!W51+Actual!W67+Actual!W83</f>
        <v>0</v>
      </c>
      <c r="U3" s="33">
        <f>Actual!X51+Actual!X67+Actual!X83</f>
        <v>0</v>
      </c>
      <c r="V3" s="33">
        <f>Actual!Y51+Actual!Y67+Actual!Y83</f>
        <v>0</v>
      </c>
      <c r="W3" s="33">
        <f>Actual!Z51+Actual!Z67+Actual!Z83</f>
        <v>0</v>
      </c>
      <c r="X3" s="33">
        <f>Actual!AA51+Actual!AA67+Actual!AA83</f>
        <v>0</v>
      </c>
      <c r="Y3" s="33">
        <f>Actual!AB51+Actual!AB67+Actual!AB83</f>
        <v>0</v>
      </c>
      <c r="Z3" s="33">
        <f>Actual!AC51+Actual!AC67+Actual!AC83</f>
        <v>0</v>
      </c>
      <c r="AA3" s="33">
        <f>Actual!AD51+Actual!AD67+Actual!AD83</f>
        <v>0</v>
      </c>
      <c r="AB3" s="33">
        <f>Actual!AE51+Actual!AE67+Actual!AE83</f>
        <v>0</v>
      </c>
      <c r="AC3" s="33">
        <f>Actual!AF51+Actual!AF67+Actual!AF83</f>
        <v>0</v>
      </c>
      <c r="AD3" s="33">
        <f>Actual!AG51+Actual!AG67+Actual!AG83</f>
        <v>0</v>
      </c>
      <c r="AE3" s="33">
        <f>Actual!AH51+Actual!AH67+Actual!AH83</f>
        <v>0</v>
      </c>
      <c r="AF3" s="33">
        <f>Actual!AI51+Actual!AI67+Actual!AI83</f>
        <v>0</v>
      </c>
      <c r="AG3" s="33">
        <f>Actual!AJ51+Actual!AJ67+Actual!AJ83</f>
        <v>0</v>
      </c>
      <c r="AH3" s="43">
        <f>SUM(C3:AG3)+(A3)</f>
        <v>0</v>
      </c>
      <c r="AI3" s="449">
        <f>+AH3/Actual!$AK$167</f>
        <v>0</v>
      </c>
    </row>
    <row r="4" spans="1:37">
      <c r="A4" s="1029">
        <v>24296.7791</v>
      </c>
      <c r="B4" s="392" t="s">
        <v>209</v>
      </c>
      <c r="C4" s="33">
        <f>Actual!F55+Actual!F71+Actual!F87</f>
        <v>0</v>
      </c>
      <c r="D4" s="33">
        <f>Actual!G55+Actual!G71+Actual!G87</f>
        <v>0</v>
      </c>
      <c r="E4" s="33">
        <f>Actual!H55+Actual!H71+Actual!H87</f>
        <v>0</v>
      </c>
      <c r="F4" s="33">
        <f>Actual!I55+Actual!I71+Actual!I87</f>
        <v>0</v>
      </c>
      <c r="G4" s="33">
        <f>Actual!J55+Actual!J71+Actual!J87</f>
        <v>1312.8979999999999</v>
      </c>
      <c r="H4" s="33">
        <f>Actual!K55+Actual!K71+Actual!K87</f>
        <v>0</v>
      </c>
      <c r="I4" s="33">
        <f>Actual!L55+Actual!L71+Actual!L87</f>
        <v>0</v>
      </c>
      <c r="J4" s="33">
        <f>Actual!M55+Actual!M71+Actual!M87</f>
        <v>0</v>
      </c>
      <c r="K4" s="33">
        <f>Actual!N55+Actual!N71+Actual!N87</f>
        <v>0</v>
      </c>
      <c r="L4" s="33">
        <f>Actual!O55+Actual!O71+Actual!O87</f>
        <v>0</v>
      </c>
      <c r="M4" s="33">
        <f>Actual!P55+Actual!P71+Actual!P87</f>
        <v>0</v>
      </c>
      <c r="N4" s="33">
        <f>Actual!Q55+Actual!Q71+Actual!Q87</f>
        <v>0</v>
      </c>
      <c r="O4" s="33">
        <f>Actual!R55+Actual!R71+Actual!R87</f>
        <v>0</v>
      </c>
      <c r="P4" s="33">
        <f>Actual!S55+Actual!S71+Actual!S87</f>
        <v>0</v>
      </c>
      <c r="Q4" s="33">
        <f>Actual!T55+Actual!T71+Actual!T87</f>
        <v>0</v>
      </c>
      <c r="R4" s="33">
        <f>Actual!U55+Actual!U71+Actual!U87</f>
        <v>0</v>
      </c>
      <c r="S4" s="33">
        <f>Actual!V55+Actual!V71+Actual!V87</f>
        <v>0</v>
      </c>
      <c r="T4" s="33">
        <f>Actual!W55+Actual!W71+Actual!W87</f>
        <v>0</v>
      </c>
      <c r="U4" s="33">
        <f>Actual!X55+Actual!X71+Actual!X87</f>
        <v>0</v>
      </c>
      <c r="V4" s="33">
        <f>Actual!Y55+Actual!Y71+Actual!Y87</f>
        <v>0</v>
      </c>
      <c r="W4" s="33">
        <f>Actual!Z55+Actual!Z71+Actual!Z87</f>
        <v>0</v>
      </c>
      <c r="X4" s="33">
        <f>Actual!AA55+Actual!AA71+Actual!AA87</f>
        <v>0</v>
      </c>
      <c r="Y4" s="33">
        <f>Actual!AB55+Actual!AB71+Actual!AB87</f>
        <v>0</v>
      </c>
      <c r="Z4" s="33">
        <f>Actual!AC55+Actual!AC71+Actual!AC87</f>
        <v>0</v>
      </c>
      <c r="AA4" s="33">
        <f>Actual!AD55+Actual!AD71+Actual!AD87</f>
        <v>0</v>
      </c>
      <c r="AB4" s="33">
        <f>Actual!AE55+Actual!AE71+Actual!AE87</f>
        <v>0</v>
      </c>
      <c r="AC4" s="33">
        <f>Actual!AF55+Actual!AF71+Actual!AF87</f>
        <v>0</v>
      </c>
      <c r="AD4" s="33">
        <f>Actual!AG55+Actual!AG71+Actual!AG87</f>
        <v>0</v>
      </c>
      <c r="AE4" s="33">
        <f>Actual!AH55+Actual!AH71+Actual!AH87</f>
        <v>0</v>
      </c>
      <c r="AF4" s="33">
        <f>Actual!AI55+Actual!AI71+Actual!AI87</f>
        <v>0</v>
      </c>
      <c r="AG4" s="33">
        <f>Actual!AJ55+Actual!AJ71+Actual!AJ87</f>
        <v>0</v>
      </c>
      <c r="AH4" s="43">
        <f>SUM(C4:AG4)</f>
        <v>1312.8979999999999</v>
      </c>
      <c r="AI4" s="449">
        <f>+AH4/Actual!$AK$167</f>
        <v>1.2931643830524728E-2</v>
      </c>
      <c r="AK4" s="362">
        <f>AH4-B96+A4</f>
        <v>25609.677100000001</v>
      </c>
    </row>
    <row r="5" spans="1:37">
      <c r="A5" s="1029">
        <v>5389.4210000000003</v>
      </c>
      <c r="B5" s="392" t="s">
        <v>210</v>
      </c>
      <c r="C5" s="937">
        <f>+Actual!F59+Actual!F75+Actual!F91</f>
        <v>0</v>
      </c>
      <c r="D5" s="937">
        <f>+Actual!G59+Actual!G75+Actual!G91</f>
        <v>0</v>
      </c>
      <c r="E5" s="937">
        <f>+Actual!H59+Actual!H75+Actual!H91</f>
        <v>0</v>
      </c>
      <c r="F5" s="937">
        <f>+Actual!I59+Actual!I75+Actual!I91</f>
        <v>0</v>
      </c>
      <c r="G5" s="937">
        <f>+Actual!J59+Actual!J75+Actual!J91</f>
        <v>0</v>
      </c>
      <c r="H5" s="937">
        <f>+Actual!K59+Actual!K75+Actual!K91</f>
        <v>0</v>
      </c>
      <c r="I5" s="937">
        <f>+Actual!L59+Actual!L75+Actual!L91</f>
        <v>0</v>
      </c>
      <c r="J5" s="937">
        <f>+Actual!M59+Actual!M75+Actual!M91</f>
        <v>0</v>
      </c>
      <c r="K5" s="937">
        <f>+Actual!N59+Actual!N75+Actual!N91</f>
        <v>0</v>
      </c>
      <c r="L5" s="937">
        <f>+Actual!O59+Actual!O75+Actual!O91</f>
        <v>0</v>
      </c>
      <c r="M5" s="937">
        <f>+Actual!P59+Actual!P75+Actual!P91</f>
        <v>0</v>
      </c>
      <c r="N5" s="937">
        <f>+Actual!Q59+Actual!Q75+Actual!Q91</f>
        <v>0</v>
      </c>
      <c r="O5" s="937">
        <f>+Actual!R59+Actual!R75+Actual!R91</f>
        <v>0</v>
      </c>
      <c r="P5" s="937">
        <f>+Actual!S59+Actual!S75+Actual!S91</f>
        <v>0</v>
      </c>
      <c r="Q5" s="937">
        <f>+Actual!T59+Actual!T75+Actual!T91</f>
        <v>0</v>
      </c>
      <c r="R5" s="937">
        <f>+Actual!U59+Actual!U75+Actual!U91</f>
        <v>0</v>
      </c>
      <c r="S5" s="937">
        <f>+Actual!V59+Actual!V75+Actual!V91</f>
        <v>0</v>
      </c>
      <c r="T5" s="937">
        <f>+Actual!W59+Actual!W75+Actual!W91</f>
        <v>0</v>
      </c>
      <c r="U5" s="937">
        <f>+Actual!X59+Actual!X75+Actual!X91</f>
        <v>0</v>
      </c>
      <c r="V5" s="937">
        <f>+Actual!Y59+Actual!Y75+Actual!Y91</f>
        <v>0</v>
      </c>
      <c r="W5" s="937">
        <f>+Actual!Z59+Actual!Z75+Actual!Z91</f>
        <v>0</v>
      </c>
      <c r="X5" s="937">
        <f>+Actual!AA59+Actual!AA75+Actual!AA91</f>
        <v>0</v>
      </c>
      <c r="Y5" s="937">
        <f>+Actual!AB59+Actual!AB75+Actual!AB91</f>
        <v>0</v>
      </c>
      <c r="Z5" s="937">
        <f>+Actual!AC59+Actual!AC75+Actual!AC91</f>
        <v>0</v>
      </c>
      <c r="AA5" s="937">
        <f>+Actual!AD59+Actual!AD75+Actual!AD91</f>
        <v>0</v>
      </c>
      <c r="AB5" s="937">
        <f>+Actual!AE59+Actual!AE75+Actual!AE91</f>
        <v>0</v>
      </c>
      <c r="AC5" s="937">
        <f>+Actual!AF59+Actual!AF75+Actual!AF91</f>
        <v>0</v>
      </c>
      <c r="AD5" s="937">
        <f>+Actual!AG59+Actual!AG75+Actual!AG91</f>
        <v>0</v>
      </c>
      <c r="AE5" s="937">
        <f>+Actual!AH59+Actual!AH75+Actual!AH91</f>
        <v>0</v>
      </c>
      <c r="AF5" s="937">
        <f>+Actual!AI59+Actual!AI75+Actual!AI91</f>
        <v>0</v>
      </c>
      <c r="AG5" s="937">
        <f>+Actual!AJ59+Actual!AJ75+Actual!AJ91</f>
        <v>0</v>
      </c>
      <c r="AH5" s="43">
        <f>SUM(C5:AG5)</f>
        <v>0</v>
      </c>
      <c r="AI5" s="449">
        <f>+AH5/Actual!$AK$167</f>
        <v>0</v>
      </c>
      <c r="AJ5" s="449">
        <f>+SUM(AH3,AH5)/Actual!AK167</f>
        <v>0</v>
      </c>
      <c r="AK5" s="362">
        <f>AH5-D96+A5</f>
        <v>-3955.3289999999997</v>
      </c>
    </row>
    <row r="6" spans="1:37">
      <c r="A6" s="1029"/>
      <c r="B6" s="55" t="s">
        <v>197</v>
      </c>
      <c r="C6" s="87">
        <f t="shared" ref="C6:AG6" si="0">SUM(C1:C5)</f>
        <v>0</v>
      </c>
      <c r="D6" s="87">
        <f t="shared" si="0"/>
        <v>0</v>
      </c>
      <c r="E6" s="87">
        <f t="shared" si="0"/>
        <v>0</v>
      </c>
      <c r="F6" s="87">
        <f t="shared" si="0"/>
        <v>0</v>
      </c>
      <c r="G6" s="87">
        <f t="shared" si="0"/>
        <v>1312.8979999999999</v>
      </c>
      <c r="H6" s="87">
        <f t="shared" si="0"/>
        <v>0</v>
      </c>
      <c r="I6" s="87">
        <f t="shared" si="0"/>
        <v>0</v>
      </c>
      <c r="J6" s="87">
        <f t="shared" si="0"/>
        <v>0</v>
      </c>
      <c r="K6" s="87">
        <f t="shared" si="0"/>
        <v>0</v>
      </c>
      <c r="L6" s="87">
        <f t="shared" si="0"/>
        <v>0</v>
      </c>
      <c r="M6" s="87">
        <f t="shared" si="0"/>
        <v>0</v>
      </c>
      <c r="N6" s="87">
        <f t="shared" si="0"/>
        <v>0</v>
      </c>
      <c r="O6" s="87">
        <f t="shared" si="0"/>
        <v>0</v>
      </c>
      <c r="P6" s="87">
        <f t="shared" si="0"/>
        <v>0</v>
      </c>
      <c r="Q6" s="87">
        <f t="shared" si="0"/>
        <v>0</v>
      </c>
      <c r="R6" s="87">
        <f t="shared" si="0"/>
        <v>0</v>
      </c>
      <c r="S6" s="87">
        <f t="shared" si="0"/>
        <v>0</v>
      </c>
      <c r="T6" s="87">
        <f t="shared" si="0"/>
        <v>0</v>
      </c>
      <c r="U6" s="87">
        <f>SUM(U1:U5)</f>
        <v>0</v>
      </c>
      <c r="V6" s="87">
        <f t="shared" si="0"/>
        <v>0</v>
      </c>
      <c r="W6" s="87">
        <f t="shared" si="0"/>
        <v>0</v>
      </c>
      <c r="X6" s="87">
        <f>SUM(X1:X5)</f>
        <v>0</v>
      </c>
      <c r="Y6" s="84">
        <f t="shared" si="0"/>
        <v>0</v>
      </c>
      <c r="Z6" s="87">
        <f t="shared" si="0"/>
        <v>0</v>
      </c>
      <c r="AA6" s="87">
        <f t="shared" si="0"/>
        <v>0</v>
      </c>
      <c r="AB6" s="87">
        <f t="shared" si="0"/>
        <v>0</v>
      </c>
      <c r="AC6" s="87">
        <f t="shared" si="0"/>
        <v>0</v>
      </c>
      <c r="AD6" s="87">
        <f t="shared" si="0"/>
        <v>0</v>
      </c>
      <c r="AE6" s="87">
        <f t="shared" si="0"/>
        <v>0</v>
      </c>
      <c r="AF6" s="87">
        <f t="shared" si="0"/>
        <v>0</v>
      </c>
      <c r="AG6" s="87">
        <f t="shared" si="0"/>
        <v>0</v>
      </c>
      <c r="AH6" s="821">
        <f>SUM(AH1:AH5)</f>
        <v>1312.8979999999999</v>
      </c>
    </row>
    <row r="7" spans="1:37">
      <c r="A7" s="1029"/>
    </row>
    <row r="8" spans="1:37">
      <c r="A8" s="1029"/>
    </row>
    <row r="9" spans="1:37">
      <c r="A9" s="1029"/>
      <c r="B9" s="518" t="s">
        <v>214</v>
      </c>
      <c r="C9" s="519" t="s">
        <v>157</v>
      </c>
      <c r="D9" s="519" t="s">
        <v>158</v>
      </c>
      <c r="E9" s="519" t="s">
        <v>159</v>
      </c>
      <c r="F9" s="519" t="s">
        <v>160</v>
      </c>
      <c r="G9" s="519" t="s">
        <v>161</v>
      </c>
      <c r="H9" s="519" t="s">
        <v>162</v>
      </c>
      <c r="I9" s="519" t="s">
        <v>163</v>
      </c>
      <c r="J9" s="519" t="s">
        <v>164</v>
      </c>
      <c r="K9" s="519" t="s">
        <v>165</v>
      </c>
      <c r="L9" s="519" t="s">
        <v>166</v>
      </c>
      <c r="M9" s="519" t="s">
        <v>167</v>
      </c>
      <c r="N9" s="519" t="s">
        <v>168</v>
      </c>
      <c r="O9" s="519" t="s">
        <v>169</v>
      </c>
      <c r="P9" s="519" t="s">
        <v>170</v>
      </c>
      <c r="Q9" s="519" t="s">
        <v>171</v>
      </c>
      <c r="R9" s="519" t="s">
        <v>172</v>
      </c>
      <c r="S9" s="519" t="s">
        <v>173</v>
      </c>
      <c r="T9" s="519" t="s">
        <v>174</v>
      </c>
      <c r="U9" s="519" t="s">
        <v>175</v>
      </c>
      <c r="V9" s="519" t="s">
        <v>176</v>
      </c>
      <c r="W9" s="519" t="s">
        <v>177</v>
      </c>
      <c r="X9" s="519" t="s">
        <v>178</v>
      </c>
      <c r="Y9" s="519" t="s">
        <v>179</v>
      </c>
      <c r="Z9" s="519" t="s">
        <v>180</v>
      </c>
      <c r="AA9" s="519" t="s">
        <v>181</v>
      </c>
      <c r="AB9" s="519" t="s">
        <v>182</v>
      </c>
      <c r="AC9" s="519" t="s">
        <v>183</v>
      </c>
      <c r="AD9" s="519" t="s">
        <v>184</v>
      </c>
      <c r="AE9" s="519" t="s">
        <v>185</v>
      </c>
      <c r="AF9" s="519" t="s">
        <v>186</v>
      </c>
      <c r="AG9" s="519" t="s">
        <v>187</v>
      </c>
      <c r="AH9" s="623" t="s">
        <v>206</v>
      </c>
    </row>
    <row r="10" spans="1:37">
      <c r="A10" s="1029"/>
      <c r="B10" s="392" t="s">
        <v>208</v>
      </c>
      <c r="C10" s="33">
        <f>Actual!F52+Actual!F68+Actual!F84</f>
        <v>0</v>
      </c>
      <c r="D10" s="33">
        <f>Actual!G52+Actual!G68+Actual!G84</f>
        <v>0</v>
      </c>
      <c r="E10" s="33">
        <f>Actual!H52+Actual!H68+Actual!H84</f>
        <v>0</v>
      </c>
      <c r="F10" s="33">
        <f>Actual!I52+Actual!I68+Actual!I84</f>
        <v>0</v>
      </c>
      <c r="G10" s="33">
        <f>Actual!J52+Actual!J68+Actual!J84</f>
        <v>0</v>
      </c>
      <c r="H10" s="33">
        <f>Actual!K52+Actual!K68+Actual!K84</f>
        <v>0</v>
      </c>
      <c r="I10" s="33">
        <f>Actual!L52+Actual!L68+Actual!L84</f>
        <v>0</v>
      </c>
      <c r="J10" s="33">
        <f>Actual!M52+Actual!M68+Actual!M84</f>
        <v>0</v>
      </c>
      <c r="K10" s="33">
        <f>Actual!N52+Actual!N68+Actual!N84</f>
        <v>0</v>
      </c>
      <c r="L10" s="33">
        <f>Actual!O52+Actual!O68+Actual!O84</f>
        <v>0</v>
      </c>
      <c r="M10" s="33">
        <f>Actual!P52+Actual!P68+Actual!P84</f>
        <v>0</v>
      </c>
      <c r="N10" s="33">
        <f>Actual!Q52+Actual!Q68+Actual!Q84</f>
        <v>0</v>
      </c>
      <c r="O10" s="33">
        <f>Actual!R52+Actual!R68+Actual!R84</f>
        <v>0</v>
      </c>
      <c r="P10" s="33">
        <f>Actual!S52+Actual!S68+Actual!S84</f>
        <v>0</v>
      </c>
      <c r="Q10" s="33">
        <f>Actual!T52+Actual!T68+Actual!T84</f>
        <v>0</v>
      </c>
      <c r="R10" s="33">
        <f>Actual!U52+Actual!U68+Actual!U84</f>
        <v>0</v>
      </c>
      <c r="S10" s="33">
        <f>Actual!V52+Actual!V68+Actual!V84</f>
        <v>0</v>
      </c>
      <c r="T10" s="33">
        <f>Actual!W52+Actual!W68+Actual!W84</f>
        <v>0</v>
      </c>
      <c r="U10" s="33">
        <f>Actual!X52+Actual!X68+Actual!X84</f>
        <v>0</v>
      </c>
      <c r="V10" s="33">
        <f>Actual!Y52+Actual!Y68+Actual!Y84</f>
        <v>0</v>
      </c>
      <c r="W10" s="33">
        <f>Actual!Z52+Actual!Z68+Actual!Z84</f>
        <v>0</v>
      </c>
      <c r="X10" s="33">
        <f>Actual!AA52+Actual!AA68+Actual!AA84</f>
        <v>0</v>
      </c>
      <c r="Y10" s="33">
        <f>Actual!AB52+Actual!AB68+Actual!AB84</f>
        <v>0</v>
      </c>
      <c r="Z10" s="33">
        <f>Actual!AC52+Actual!AC68+Actual!AC84</f>
        <v>0</v>
      </c>
      <c r="AA10" s="33">
        <f>Actual!AD52+Actual!AD68+Actual!AD84</f>
        <v>0</v>
      </c>
      <c r="AB10" s="33">
        <f>Actual!AE52+Actual!AE68+Actual!AE84</f>
        <v>0</v>
      </c>
      <c r="AC10" s="33">
        <f>Actual!AF52+Actual!AF68+Actual!AF84</f>
        <v>0</v>
      </c>
      <c r="AD10" s="33">
        <f>Actual!AG52+Actual!AG68+Actual!AG84</f>
        <v>0</v>
      </c>
      <c r="AE10" s="33">
        <f>Actual!AH52+Actual!AH68+Actual!AH84</f>
        <v>0</v>
      </c>
      <c r="AF10" s="33">
        <f>Actual!AI52+Actual!AI68+Actual!AI84</f>
        <v>0</v>
      </c>
      <c r="AG10" s="33">
        <f>Actual!AJ52+Actual!AJ68+Actual!AJ84</f>
        <v>0</v>
      </c>
      <c r="AH10" s="43">
        <f>SUM(C10:AG10)</f>
        <v>0</v>
      </c>
    </row>
    <row r="11" spans="1:37">
      <c r="A11" s="1029"/>
      <c r="B11" s="392" t="s">
        <v>209</v>
      </c>
      <c r="C11" s="33">
        <f>Actual!F56+Actual!F72+Actual!F88</f>
        <v>0</v>
      </c>
      <c r="D11" s="33">
        <f>Actual!G56+Actual!G72+Actual!G88</f>
        <v>0</v>
      </c>
      <c r="E11" s="33">
        <f>Actual!H56+Actual!H72+Actual!H88</f>
        <v>0</v>
      </c>
      <c r="F11" s="33">
        <f>Actual!I56+Actual!I72+Actual!I88</f>
        <v>0</v>
      </c>
      <c r="G11" s="33">
        <f>Actual!J56+Actual!J72+Actual!J88</f>
        <v>0</v>
      </c>
      <c r="H11" s="33">
        <f>Actual!K56+Actual!K72+Actual!K88</f>
        <v>0</v>
      </c>
      <c r="I11" s="33">
        <f>Actual!L56+Actual!L72+Actual!L88</f>
        <v>0</v>
      </c>
      <c r="J11" s="33">
        <f>Actual!M56+Actual!M72+Actual!M88</f>
        <v>0</v>
      </c>
      <c r="K11" s="33">
        <f>Actual!N56+Actual!N72+Actual!N88</f>
        <v>0</v>
      </c>
      <c r="L11" s="33">
        <f>Actual!O56+Actual!O72+Actual!O88</f>
        <v>0</v>
      </c>
      <c r="M11" s="33">
        <f>Actual!P56+Actual!P72+Actual!P88</f>
        <v>0</v>
      </c>
      <c r="N11" s="33">
        <f>Actual!Q56+Actual!Q72+Actual!Q88</f>
        <v>0</v>
      </c>
      <c r="O11" s="33">
        <f>Actual!R56+Actual!R72+Actual!R88</f>
        <v>0</v>
      </c>
      <c r="P11" s="33">
        <f>Actual!S56+Actual!S72+Actual!S88</f>
        <v>0</v>
      </c>
      <c r="Q11" s="33">
        <f>Actual!T56+Actual!T72+Actual!T88</f>
        <v>0</v>
      </c>
      <c r="R11" s="33">
        <f>Actual!U56+Actual!U72+Actual!U88</f>
        <v>0</v>
      </c>
      <c r="S11" s="33">
        <f>Actual!V56+Actual!V72+Actual!V88</f>
        <v>0</v>
      </c>
      <c r="T11" s="33">
        <f>Actual!W56+Actual!W72+Actual!W88</f>
        <v>0</v>
      </c>
      <c r="U11" s="33">
        <f>Actual!X56+Actual!X72+Actual!X88</f>
        <v>0</v>
      </c>
      <c r="V11" s="33">
        <f>Actual!Y56+Actual!Y72+Actual!Y88</f>
        <v>0</v>
      </c>
      <c r="W11" s="33">
        <f>Actual!Z56+Actual!Z72+Actual!Z88</f>
        <v>0</v>
      </c>
      <c r="X11" s="33">
        <f>Actual!AA56+Actual!AA72+Actual!AA88</f>
        <v>0</v>
      </c>
      <c r="Y11" s="33">
        <f>Actual!AB56+Actual!AB72+Actual!AB88</f>
        <v>0</v>
      </c>
      <c r="Z11" s="33">
        <f>Actual!AC56+Actual!AC72+Actual!AC88</f>
        <v>0</v>
      </c>
      <c r="AA11" s="33">
        <f>Actual!AD56+Actual!AD72+Actual!AD88</f>
        <v>0</v>
      </c>
      <c r="AB11" s="33">
        <f>Actual!AE56+Actual!AE72+Actual!AE88</f>
        <v>0</v>
      </c>
      <c r="AC11" s="33">
        <f>Actual!AF56+Actual!AF72+Actual!AF88</f>
        <v>0</v>
      </c>
      <c r="AD11" s="33">
        <f>Actual!AG56+Actual!AG72+Actual!AG88</f>
        <v>0</v>
      </c>
      <c r="AE11" s="33">
        <f>Actual!AH56+Actual!AH72+Actual!AH88</f>
        <v>0</v>
      </c>
      <c r="AF11" s="33">
        <f>Actual!AI56+Actual!AI72+Actual!AI88</f>
        <v>0</v>
      </c>
      <c r="AG11" s="33">
        <f>Actual!AJ56+Actual!AJ72+Actual!AJ88</f>
        <v>0</v>
      </c>
      <c r="AH11" s="43">
        <f>SUM(C11:AG11)+A11</f>
        <v>0</v>
      </c>
    </row>
    <row r="12" spans="1:37">
      <c r="A12" s="1029"/>
      <c r="B12" s="392" t="s">
        <v>210</v>
      </c>
      <c r="C12" s="937">
        <f>+Actual!F60+Actual!F76+Actual!F92</f>
        <v>0</v>
      </c>
      <c r="D12" s="937">
        <f>+Actual!G60+Actual!G76+Actual!G92</f>
        <v>0</v>
      </c>
      <c r="E12" s="937">
        <f>+Actual!H60+Actual!H76+Actual!H92</f>
        <v>0</v>
      </c>
      <c r="F12" s="937">
        <f>+Actual!I60+Actual!I76+Actual!I92</f>
        <v>0</v>
      </c>
      <c r="G12" s="937">
        <f>+Actual!J60+Actual!J76+Actual!J92</f>
        <v>0</v>
      </c>
      <c r="H12" s="937">
        <f>+Actual!K60+Actual!K76+Actual!K92</f>
        <v>0</v>
      </c>
      <c r="I12" s="937">
        <f>+Actual!L60+Actual!L76+Actual!L92</f>
        <v>0</v>
      </c>
      <c r="J12" s="937">
        <f>+Actual!M60+Actual!M76+Actual!M92</f>
        <v>0</v>
      </c>
      <c r="K12" s="937">
        <f>+Actual!N60+Actual!N76+Actual!N92</f>
        <v>0</v>
      </c>
      <c r="L12" s="937">
        <f>+Actual!O60+Actual!O76+Actual!O92</f>
        <v>0</v>
      </c>
      <c r="M12" s="937">
        <f>+Actual!P60+Actual!P76+Actual!P92</f>
        <v>0</v>
      </c>
      <c r="N12" s="937">
        <f>+Actual!Q60+Actual!Q76+Actual!Q92</f>
        <v>0</v>
      </c>
      <c r="O12" s="937">
        <f>+Actual!R60+Actual!R76+Actual!R92</f>
        <v>0</v>
      </c>
      <c r="P12" s="937">
        <f>+Actual!S60+Actual!S76+Actual!S92</f>
        <v>0</v>
      </c>
      <c r="Q12" s="937">
        <f>+Actual!T60+Actual!T76+Actual!T92</f>
        <v>0</v>
      </c>
      <c r="R12" s="937">
        <f>+Actual!U60+Actual!U76+Actual!U92</f>
        <v>0</v>
      </c>
      <c r="S12" s="937">
        <f>+Actual!V60+Actual!V76+Actual!V92</f>
        <v>0</v>
      </c>
      <c r="T12" s="937">
        <f>+Actual!W60+Actual!W76+Actual!W92</f>
        <v>0</v>
      </c>
      <c r="U12" s="937">
        <f>+Actual!X60+Actual!X76+Actual!X92</f>
        <v>0</v>
      </c>
      <c r="V12" s="937">
        <f>+Actual!Y60+Actual!Y76+Actual!Y92</f>
        <v>0</v>
      </c>
      <c r="W12" s="937">
        <f>+Actual!Z60+Actual!Z76+Actual!Z92</f>
        <v>0</v>
      </c>
      <c r="X12" s="937">
        <f>+Actual!AA60+Actual!AA76+Actual!AA92</f>
        <v>0</v>
      </c>
      <c r="Y12" s="937">
        <f>+Actual!AB60+Actual!AB76+Actual!AB92</f>
        <v>0</v>
      </c>
      <c r="Z12" s="937">
        <f>+Actual!AC60+Actual!AC76+Actual!AC92</f>
        <v>0</v>
      </c>
      <c r="AA12" s="937">
        <f>+Actual!AD60+Actual!AD76+Actual!AD92</f>
        <v>0</v>
      </c>
      <c r="AB12" s="937">
        <f>+Actual!AE60+Actual!AE76+Actual!AE92</f>
        <v>0</v>
      </c>
      <c r="AC12" s="937">
        <f>+Actual!AF60+Actual!AF76+Actual!AF92</f>
        <v>0</v>
      </c>
      <c r="AD12" s="937">
        <f>+Actual!AG60+Actual!AG76+Actual!AG92</f>
        <v>0</v>
      </c>
      <c r="AE12" s="937">
        <f>+Actual!AH60+Actual!AH76+Actual!AH92</f>
        <v>0</v>
      </c>
      <c r="AF12" s="937">
        <f>+Actual!AI60+Actual!AI76+Actual!AI92</f>
        <v>0</v>
      </c>
      <c r="AG12" s="937">
        <f>+Actual!AJ60+Actual!AJ76+Actual!AJ92</f>
        <v>0</v>
      </c>
      <c r="AH12" s="43">
        <f>SUM(C12:AG12)</f>
        <v>0</v>
      </c>
    </row>
    <row r="13" spans="1:37">
      <c r="B13" s="55" t="s">
        <v>197</v>
      </c>
      <c r="C13" s="87">
        <f t="shared" ref="C13:T13" si="1">SUM(C8:C12)</f>
        <v>0</v>
      </c>
      <c r="D13" s="87">
        <f t="shared" si="1"/>
        <v>0</v>
      </c>
      <c r="E13" s="87">
        <f t="shared" si="1"/>
        <v>0</v>
      </c>
      <c r="F13" s="87">
        <f t="shared" si="1"/>
        <v>0</v>
      </c>
      <c r="G13" s="87">
        <f t="shared" si="1"/>
        <v>0</v>
      </c>
      <c r="H13" s="87">
        <f t="shared" si="1"/>
        <v>0</v>
      </c>
      <c r="I13" s="87">
        <f t="shared" si="1"/>
        <v>0</v>
      </c>
      <c r="J13" s="87">
        <f t="shared" si="1"/>
        <v>0</v>
      </c>
      <c r="K13" s="87">
        <f t="shared" si="1"/>
        <v>0</v>
      </c>
      <c r="L13" s="87">
        <f t="shared" si="1"/>
        <v>0</v>
      </c>
      <c r="M13" s="87">
        <f t="shared" si="1"/>
        <v>0</v>
      </c>
      <c r="N13" s="87">
        <f t="shared" si="1"/>
        <v>0</v>
      </c>
      <c r="O13" s="87">
        <f t="shared" si="1"/>
        <v>0</v>
      </c>
      <c r="P13" s="87">
        <f t="shared" si="1"/>
        <v>0</v>
      </c>
      <c r="Q13" s="87">
        <f t="shared" si="1"/>
        <v>0</v>
      </c>
      <c r="R13" s="87">
        <f t="shared" si="1"/>
        <v>0</v>
      </c>
      <c r="S13" s="87">
        <f t="shared" si="1"/>
        <v>0</v>
      </c>
      <c r="T13" s="87">
        <f t="shared" si="1"/>
        <v>0</v>
      </c>
      <c r="U13" s="87">
        <f>SUM(U8:U12)</f>
        <v>0</v>
      </c>
      <c r="V13" s="87">
        <f>SUM(V8:V12)</f>
        <v>0</v>
      </c>
      <c r="W13" s="87">
        <f>SUM(W8:W12)</f>
        <v>0</v>
      </c>
      <c r="X13" s="87">
        <f>SUM(X8:X12)</f>
        <v>0</v>
      </c>
      <c r="Y13" s="84">
        <f t="shared" ref="Y13:AG13" si="2">SUM(Y8:Y12)</f>
        <v>0</v>
      </c>
      <c r="Z13" s="87">
        <f t="shared" si="2"/>
        <v>0</v>
      </c>
      <c r="AA13" s="87">
        <f t="shared" si="2"/>
        <v>0</v>
      </c>
      <c r="AB13" s="87">
        <f t="shared" si="2"/>
        <v>0</v>
      </c>
      <c r="AC13" s="87">
        <f t="shared" si="2"/>
        <v>0</v>
      </c>
      <c r="AD13" s="87">
        <f t="shared" si="2"/>
        <v>0</v>
      </c>
      <c r="AE13" s="87">
        <f t="shared" si="2"/>
        <v>0</v>
      </c>
      <c r="AF13" s="87">
        <f t="shared" si="2"/>
        <v>0</v>
      </c>
      <c r="AG13" s="87">
        <f t="shared" si="2"/>
        <v>0</v>
      </c>
      <c r="AH13" s="821">
        <f>SUM(AH8:AH12)</f>
        <v>0</v>
      </c>
    </row>
    <row r="15" spans="1:37">
      <c r="O15" s="366" t="s">
        <v>379</v>
      </c>
      <c r="P15" s="367" t="s">
        <v>380</v>
      </c>
      <c r="Q15" s="367" t="s">
        <v>67</v>
      </c>
      <c r="R15" s="367" t="s">
        <v>66</v>
      </c>
      <c r="S15" s="368" t="s">
        <v>381</v>
      </c>
      <c r="T15" s="368" t="s">
        <v>65</v>
      </c>
    </row>
    <row r="16" spans="1:37">
      <c r="B16" s="1378" t="s">
        <v>487</v>
      </c>
      <c r="C16" s="1379"/>
      <c r="D16" s="1252" t="s">
        <v>64</v>
      </c>
      <c r="E16" s="1253"/>
      <c r="F16" s="1253"/>
      <c r="G16" s="1253"/>
      <c r="H16" s="1253"/>
      <c r="I16" s="1254"/>
      <c r="K16" t="s">
        <v>494</v>
      </c>
      <c r="L16" s="362">
        <v>4419.0910822059786</v>
      </c>
      <c r="M16" s="362">
        <v>4506.1451880294417</v>
      </c>
      <c r="N16" s="362">
        <v>4685.710821706205</v>
      </c>
      <c r="O16" s="362">
        <v>37.6234274853161</v>
      </c>
      <c r="P16" s="362">
        <v>23.347907109967743</v>
      </c>
      <c r="Q16" s="362">
        <v>11.245575804773784</v>
      </c>
      <c r="R16" s="362">
        <v>0.1860585659844522</v>
      </c>
      <c r="S16" s="362">
        <v>4419.0910822059786</v>
      </c>
      <c r="T16" s="362">
        <v>3596.0890948361703</v>
      </c>
    </row>
    <row r="17" spans="1:20">
      <c r="B17" s="1380"/>
      <c r="C17" s="1381"/>
      <c r="D17" s="366" t="s">
        <v>379</v>
      </c>
      <c r="E17" s="367" t="s">
        <v>380</v>
      </c>
      <c r="F17" s="367" t="s">
        <v>67</v>
      </c>
      <c r="G17" s="367" t="s">
        <v>66</v>
      </c>
      <c r="H17" s="368" t="s">
        <v>381</v>
      </c>
      <c r="I17" s="368" t="s">
        <v>65</v>
      </c>
      <c r="K17" t="s">
        <v>565</v>
      </c>
      <c r="L17" s="362">
        <v>3596.0890948361703</v>
      </c>
      <c r="M17" s="362">
        <v>3756.0598007416934</v>
      </c>
      <c r="N17" s="362">
        <v>3619.4069439489804</v>
      </c>
      <c r="O17" s="362">
        <v>37.857147852660063</v>
      </c>
      <c r="P17" s="362">
        <v>25.447216224069276</v>
      </c>
      <c r="Q17" s="362">
        <v>7.1608679119485465</v>
      </c>
      <c r="R17" s="362">
        <v>0.11421871504666306</v>
      </c>
      <c r="S17" s="405">
        <v>4506.1451880294417</v>
      </c>
      <c r="T17" s="405">
        <v>3756.0598007416934</v>
      </c>
    </row>
    <row r="18" spans="1:20">
      <c r="B18" s="392" t="s">
        <v>208</v>
      </c>
      <c r="C18" s="506">
        <f>AH3-$C$96</f>
        <v>0</v>
      </c>
      <c r="D18" s="933">
        <v>38.334179504163409</v>
      </c>
      <c r="E18" s="933">
        <v>27.392258487114852</v>
      </c>
      <c r="F18" s="933">
        <v>11.404187280986164</v>
      </c>
      <c r="G18" s="933">
        <v>0.12724100966159793</v>
      </c>
      <c r="H18" s="934">
        <v>4087.7050151810249</v>
      </c>
      <c r="I18" s="934">
        <v>3471.6915642025688</v>
      </c>
      <c r="J18" t="s">
        <v>399</v>
      </c>
      <c r="K18" s="362" t="s">
        <v>566</v>
      </c>
      <c r="L18" s="362">
        <v>0.1860585659844522</v>
      </c>
      <c r="M18" s="362">
        <v>0.11421871504666306</v>
      </c>
      <c r="N18" s="362">
        <v>0.21507303800350722</v>
      </c>
      <c r="O18" s="362">
        <v>38.958306914465879</v>
      </c>
      <c r="P18" s="362">
        <v>20.974975653307514</v>
      </c>
      <c r="Q18" s="362">
        <v>8.4930511146996235</v>
      </c>
      <c r="R18" s="362">
        <v>0.21507303800350722</v>
      </c>
      <c r="S18" s="405">
        <v>4685.710821706205</v>
      </c>
      <c r="T18" s="405">
        <v>3619.4069439489804</v>
      </c>
    </row>
    <row r="19" spans="1:20">
      <c r="B19" s="392" t="s">
        <v>209</v>
      </c>
      <c r="C19" s="506">
        <f>AH4</f>
        <v>1312.8979999999999</v>
      </c>
      <c r="D19" s="507">
        <v>38.838769179974413</v>
      </c>
      <c r="E19" s="507">
        <v>21.771841670441866</v>
      </c>
      <c r="F19" s="507">
        <v>7.3062261448130794</v>
      </c>
      <c r="G19" s="507">
        <v>0.10935535223375241</v>
      </c>
      <c r="H19" s="1037">
        <v>4803.4957405386931</v>
      </c>
      <c r="I19" s="1037">
        <v>3755.5238165320634</v>
      </c>
      <c r="J19" t="s">
        <v>399</v>
      </c>
      <c r="K19" s="362" t="s">
        <v>567</v>
      </c>
      <c r="L19" s="362">
        <v>11.245575804773784</v>
      </c>
      <c r="M19" s="362">
        <v>7.1608679119485465</v>
      </c>
      <c r="N19" s="362">
        <v>8.4930511146996235</v>
      </c>
      <c r="O19" s="362"/>
      <c r="P19" s="362"/>
      <c r="Q19" s="362"/>
    </row>
    <row r="20" spans="1:20">
      <c r="B20" s="392" t="s">
        <v>210</v>
      </c>
      <c r="C20" s="506">
        <f>AH5</f>
        <v>0</v>
      </c>
      <c r="D20" s="1038">
        <v>38.746907094228128</v>
      </c>
      <c r="E20" s="1039">
        <v>25.60484067527641</v>
      </c>
      <c r="F20" s="507">
        <v>9.5612623055198647</v>
      </c>
      <c r="G20" s="507">
        <v>0.13975936422796797</v>
      </c>
      <c r="H20" s="1037">
        <v>4400.6675100148486</v>
      </c>
      <c r="I20" s="1037">
        <v>3623.280039791121</v>
      </c>
      <c r="J20" t="s">
        <v>568</v>
      </c>
      <c r="K20" s="362" t="s">
        <v>502</v>
      </c>
      <c r="L20" s="362">
        <v>37.6234274853161</v>
      </c>
      <c r="M20" s="362">
        <v>37.857147852660063</v>
      </c>
      <c r="N20" s="362">
        <v>38.958306914465879</v>
      </c>
      <c r="O20" s="362"/>
      <c r="P20" s="362"/>
      <c r="Q20" s="362"/>
    </row>
    <row r="21" spans="1:20">
      <c r="B21" s="363" t="s">
        <v>126</v>
      </c>
      <c r="C21" s="364">
        <f>SUM(C18:C20)</f>
        <v>1312.8979999999999</v>
      </c>
      <c r="D21" s="900">
        <f t="shared" ref="D21:I21" si="3">IFERROR(SUMPRODUCT($C$18:$C$20,D18:D20)/$C$21,0)</f>
        <v>38.838769179974413</v>
      </c>
      <c r="E21" s="900">
        <f t="shared" si="3"/>
        <v>21.771841670441866</v>
      </c>
      <c r="F21" s="900">
        <f t="shared" si="3"/>
        <v>7.3062261448130785</v>
      </c>
      <c r="G21" s="900">
        <f t="shared" si="3"/>
        <v>0.10935535223375241</v>
      </c>
      <c r="H21" s="977">
        <f t="shared" si="3"/>
        <v>4803.4957405386931</v>
      </c>
      <c r="I21" s="977">
        <f t="shared" si="3"/>
        <v>3755.5238165320629</v>
      </c>
      <c r="K21" t="s">
        <v>392</v>
      </c>
      <c r="L21" s="362">
        <v>23.347907109967743</v>
      </c>
      <c r="M21" s="362">
        <v>25.447216224069276</v>
      </c>
      <c r="N21" s="362">
        <v>20.974975653307514</v>
      </c>
      <c r="O21" s="362"/>
      <c r="Q21" s="362"/>
    </row>
    <row r="22" spans="1:20">
      <c r="K22" t="s">
        <v>393</v>
      </c>
      <c r="L22" s="362">
        <v>37.207393948440185</v>
      </c>
      <c r="M22" s="362">
        <v>37.513887630368245</v>
      </c>
      <c r="N22" s="362">
        <v>40.339687500257888</v>
      </c>
      <c r="O22" s="362"/>
      <c r="Q22" s="362"/>
    </row>
    <row r="23" spans="1:20">
      <c r="O23" s="362"/>
      <c r="Q23" s="362"/>
    </row>
    <row r="24" spans="1:20">
      <c r="B24" s="1378" t="s">
        <v>71</v>
      </c>
      <c r="C24" s="1379"/>
      <c r="D24" s="1252" t="s">
        <v>64</v>
      </c>
      <c r="E24" s="1253"/>
      <c r="F24" s="1253"/>
      <c r="G24" s="1253"/>
      <c r="H24" s="1253"/>
      <c r="I24" s="1254"/>
      <c r="M24" s="362"/>
      <c r="R24" s="362"/>
    </row>
    <row r="25" spans="1:20">
      <c r="B25" s="1380"/>
      <c r="C25" s="1381"/>
      <c r="D25" s="366" t="s">
        <v>379</v>
      </c>
      <c r="E25" s="367" t="s">
        <v>380</v>
      </c>
      <c r="F25" s="367" t="s">
        <v>67</v>
      </c>
      <c r="G25" s="367" t="s">
        <v>66</v>
      </c>
      <c r="H25" s="368" t="s">
        <v>381</v>
      </c>
      <c r="I25" s="368" t="s">
        <v>65</v>
      </c>
    </row>
    <row r="26" spans="1:20">
      <c r="B26" s="392" t="s">
        <v>208</v>
      </c>
      <c r="C26" s="506">
        <f>AH10</f>
        <v>0</v>
      </c>
      <c r="D26" s="933">
        <v>38.334179504163409</v>
      </c>
      <c r="E26" s="933">
        <v>27.392258487114852</v>
      </c>
      <c r="F26" s="933">
        <v>11.404187280986164</v>
      </c>
      <c r="G26" s="933">
        <v>0.12724100966159793</v>
      </c>
      <c r="H26" s="934">
        <v>4087.7050151810249</v>
      </c>
      <c r="I26" s="934">
        <v>3471.6915642025688</v>
      </c>
      <c r="J26" t="s">
        <v>399</v>
      </c>
    </row>
    <row r="27" spans="1:20">
      <c r="B27" s="392" t="s">
        <v>209</v>
      </c>
      <c r="C27" s="506">
        <f>AH11</f>
        <v>0</v>
      </c>
      <c r="D27" s="507">
        <v>38.838769179974413</v>
      </c>
      <c r="E27" s="507">
        <v>21.771841670441866</v>
      </c>
      <c r="F27" s="507">
        <v>7.3062261448130794</v>
      </c>
      <c r="G27" s="507">
        <v>0.10935535223375241</v>
      </c>
      <c r="H27" s="1037">
        <v>4803.4957405386931</v>
      </c>
      <c r="I27" s="1037">
        <v>3755.5238165320634</v>
      </c>
      <c r="J27" t="s">
        <v>399</v>
      </c>
    </row>
    <row r="28" spans="1:20">
      <c r="B28" s="392" t="s">
        <v>210</v>
      </c>
      <c r="C28" s="506">
        <f>AH12</f>
        <v>0</v>
      </c>
      <c r="D28" s="1038">
        <v>38.746907094228128</v>
      </c>
      <c r="E28" s="1039">
        <v>25.60484067527641</v>
      </c>
      <c r="F28" s="507">
        <v>9.5612623055198647</v>
      </c>
      <c r="G28" s="507">
        <v>0.13975936422796797</v>
      </c>
      <c r="H28" s="1037">
        <v>4400.6675100148486</v>
      </c>
      <c r="I28" s="1037">
        <v>3623.280039791121</v>
      </c>
      <c r="J28" t="s">
        <v>399</v>
      </c>
    </row>
    <row r="29" spans="1:20">
      <c r="B29" s="363" t="s">
        <v>126</v>
      </c>
      <c r="C29" s="364">
        <f>SUM(C26:C28)</f>
        <v>0</v>
      </c>
      <c r="D29" s="900">
        <f t="shared" ref="D29:I29" si="4">IFERROR(SUMPRODUCT($C$26:$C$28,D26:D28)/$C$29,0)</f>
        <v>0</v>
      </c>
      <c r="E29" s="900">
        <f t="shared" si="4"/>
        <v>0</v>
      </c>
      <c r="F29" s="900">
        <f t="shared" si="4"/>
        <v>0</v>
      </c>
      <c r="G29" s="900">
        <f t="shared" si="4"/>
        <v>0</v>
      </c>
      <c r="H29" s="977">
        <f t="shared" si="4"/>
        <v>0</v>
      </c>
      <c r="I29" s="977">
        <f t="shared" si="4"/>
        <v>0</v>
      </c>
    </row>
    <row r="32" spans="1:20" ht="28.9">
      <c r="A32" s="1398" t="s">
        <v>5</v>
      </c>
      <c r="B32" s="1015" t="s">
        <v>555</v>
      </c>
      <c r="C32" s="1016"/>
      <c r="D32" s="1016"/>
      <c r="E32" s="1017"/>
      <c r="F32" s="1015"/>
      <c r="G32" s="1402" t="s">
        <v>556</v>
      </c>
      <c r="H32" s="1402"/>
      <c r="I32" s="1402"/>
      <c r="J32" s="1402"/>
      <c r="K32" s="1402"/>
    </row>
    <row r="33" spans="1:38" ht="28.9">
      <c r="A33" s="1398"/>
      <c r="B33" s="989" t="s">
        <v>557</v>
      </c>
      <c r="C33" s="989" t="s">
        <v>558</v>
      </c>
      <c r="D33" s="989" t="s">
        <v>559</v>
      </c>
      <c r="E33" s="989" t="s">
        <v>560</v>
      </c>
      <c r="F33" s="990" t="s">
        <v>126</v>
      </c>
      <c r="G33" s="1066" t="s">
        <v>209</v>
      </c>
      <c r="H33" s="1066" t="s">
        <v>561</v>
      </c>
      <c r="I33" s="1066" t="s">
        <v>210</v>
      </c>
      <c r="J33" s="990" t="s">
        <v>126</v>
      </c>
      <c r="K33" s="990" t="s">
        <v>247</v>
      </c>
    </row>
    <row r="34" spans="1:38" ht="15">
      <c r="A34" s="1046">
        <v>46113</v>
      </c>
      <c r="B34" s="644"/>
      <c r="C34" s="392"/>
      <c r="D34" s="644"/>
      <c r="E34" s="392"/>
      <c r="F34" s="644">
        <f>SUM(B34:E34)</f>
        <v>0</v>
      </c>
      <c r="G34" s="644"/>
      <c r="H34" s="644"/>
      <c r="I34" s="392"/>
      <c r="J34" s="644">
        <f t="shared" ref="J34:J65" si="5">SUM(G34:I34)</f>
        <v>0</v>
      </c>
      <c r="K34" s="1030"/>
      <c r="L34" s="1049" t="s">
        <v>157</v>
      </c>
      <c r="M34" s="1014">
        <f>SUM(F34:F35)</f>
        <v>0</v>
      </c>
      <c r="N34" s="1014">
        <f>SUM(J34:J35)</f>
        <v>0</v>
      </c>
      <c r="O34" s="1014">
        <f>SUM(K34:K35)</f>
        <v>0</v>
      </c>
      <c r="P34" s="1014"/>
      <c r="Q34" s="1014"/>
      <c r="R34" s="1014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/>
      <c r="AE34" s="362"/>
      <c r="AF34" s="362"/>
      <c r="AG34" s="362"/>
      <c r="AH34" s="362"/>
      <c r="AI34" s="362"/>
      <c r="AJ34" s="362"/>
      <c r="AK34" s="362"/>
      <c r="AL34" s="362"/>
    </row>
    <row r="35" spans="1:38" ht="15">
      <c r="A35" s="1047">
        <v>46113</v>
      </c>
      <c r="B35" s="644"/>
      <c r="C35" s="644"/>
      <c r="D35" s="644"/>
      <c r="E35" s="644"/>
      <c r="F35" s="644">
        <f t="shared" ref="F35:F95" si="6">SUM(B35:E35)</f>
        <v>0</v>
      </c>
      <c r="G35" s="644"/>
      <c r="H35" s="644"/>
      <c r="I35" s="392"/>
      <c r="J35" s="644">
        <f t="shared" si="5"/>
        <v>0</v>
      </c>
      <c r="K35" s="1032"/>
      <c r="L35" s="1049" t="s">
        <v>158</v>
      </c>
      <c r="M35" s="1014">
        <f>SUM(F36:F37)</f>
        <v>5640</v>
      </c>
      <c r="N35" s="1014">
        <f>SUM(J36:J37)</f>
        <v>643.6</v>
      </c>
      <c r="O35" s="1014">
        <f>SUM(K36:K37)</f>
        <v>0</v>
      </c>
      <c r="P35" s="86"/>
      <c r="Q35" s="86"/>
      <c r="R35" s="86"/>
    </row>
    <row r="36" spans="1:38" ht="15">
      <c r="A36" s="1046">
        <f t="shared" ref="A36:A67" si="7">A34+1</f>
        <v>46114</v>
      </c>
      <c r="B36" s="644"/>
      <c r="C36" s="392"/>
      <c r="D36" s="644">
        <v>4000</v>
      </c>
      <c r="E36" s="392"/>
      <c r="F36" s="644">
        <f t="shared" si="6"/>
        <v>4000</v>
      </c>
      <c r="G36" s="644"/>
      <c r="H36" s="644">
        <v>643.6</v>
      </c>
      <c r="I36" s="644"/>
      <c r="J36" s="644">
        <f t="shared" si="5"/>
        <v>643.6</v>
      </c>
      <c r="K36" s="1032"/>
      <c r="L36" s="1049" t="s">
        <v>159</v>
      </c>
      <c r="M36" s="1014">
        <f>SUM(F38:F39)</f>
        <v>1564.6</v>
      </c>
      <c r="N36" s="1014">
        <f>SUM(J38:J39)</f>
        <v>700.7</v>
      </c>
      <c r="O36" s="1014">
        <f>SUM(K38:K39)</f>
        <v>0</v>
      </c>
      <c r="P36" s="86"/>
      <c r="Q36" s="86"/>
      <c r="R36" s="86"/>
    </row>
    <row r="37" spans="1:38" ht="15">
      <c r="A37" s="1048">
        <f t="shared" si="7"/>
        <v>46114</v>
      </c>
      <c r="B37" s="644"/>
      <c r="C37" s="644"/>
      <c r="D37" s="644">
        <v>1640</v>
      </c>
      <c r="E37" s="644"/>
      <c r="F37" s="644">
        <f t="shared" si="6"/>
        <v>1640</v>
      </c>
      <c r="G37" s="644"/>
      <c r="H37" s="644"/>
      <c r="I37" s="644"/>
      <c r="J37" s="644">
        <f t="shared" si="5"/>
        <v>0</v>
      </c>
      <c r="K37" s="1032"/>
      <c r="L37" s="1049" t="s">
        <v>160</v>
      </c>
      <c r="M37" s="1014">
        <f>SUM(F40:F41)</f>
        <v>903.15</v>
      </c>
      <c r="N37" s="1014">
        <f>SUM(J40:J41)</f>
        <v>1643.6399999999999</v>
      </c>
      <c r="O37" s="1014">
        <f>SUM(K40:K41)</f>
        <v>0</v>
      </c>
      <c r="P37" s="86"/>
      <c r="Q37" s="86"/>
      <c r="R37" s="86"/>
    </row>
    <row r="38" spans="1:38" ht="15">
      <c r="A38" s="1046">
        <f t="shared" si="7"/>
        <v>46115</v>
      </c>
      <c r="B38" s="644"/>
      <c r="C38" s="644"/>
      <c r="D38" s="644">
        <v>680</v>
      </c>
      <c r="E38" s="644"/>
      <c r="F38" s="644">
        <f t="shared" si="6"/>
        <v>680</v>
      </c>
      <c r="G38" s="644"/>
      <c r="H38" s="644">
        <v>700.7</v>
      </c>
      <c r="I38" s="644"/>
      <c r="J38" s="644">
        <f t="shared" si="5"/>
        <v>700.7</v>
      </c>
      <c r="K38" s="1032"/>
      <c r="L38" s="1049" t="s">
        <v>161</v>
      </c>
      <c r="M38" s="1014">
        <f>SUM(F42:F43)</f>
        <v>1237</v>
      </c>
      <c r="N38" s="1014">
        <f>SUM(J42:J43)</f>
        <v>1059.8399999999999</v>
      </c>
      <c r="O38" s="1014">
        <f>SUM(K42:K43)</f>
        <v>0</v>
      </c>
      <c r="P38" s="86"/>
      <c r="Q38" s="86"/>
      <c r="R38" s="86"/>
    </row>
    <row r="39" spans="1:38" ht="15">
      <c r="A39" s="1048">
        <f t="shared" si="7"/>
        <v>46115</v>
      </c>
      <c r="B39" s="644"/>
      <c r="C39" s="644"/>
      <c r="D39" s="644">
        <v>884.6</v>
      </c>
      <c r="E39" s="644"/>
      <c r="F39" s="644">
        <f t="shared" si="6"/>
        <v>884.6</v>
      </c>
      <c r="G39" s="644"/>
      <c r="H39" s="644"/>
      <c r="I39" s="644"/>
      <c r="J39" s="644">
        <f t="shared" si="5"/>
        <v>0</v>
      </c>
      <c r="K39" s="1032"/>
      <c r="L39" s="1049" t="s">
        <v>162</v>
      </c>
      <c r="M39" s="1014">
        <f>SUM(F44:F45)</f>
        <v>0</v>
      </c>
      <c r="N39" s="1014">
        <f>SUM(J44:J45)</f>
        <v>0</v>
      </c>
      <c r="O39" s="1014">
        <f>SUM(K44:K45)</f>
        <v>0</v>
      </c>
      <c r="P39" s="86"/>
      <c r="Q39" s="86"/>
      <c r="R39" s="86"/>
    </row>
    <row r="40" spans="1:38" ht="15">
      <c r="A40" s="1046">
        <f t="shared" si="7"/>
        <v>46116</v>
      </c>
      <c r="B40" s="644"/>
      <c r="C40" s="644"/>
      <c r="D40" s="644"/>
      <c r="E40" s="644"/>
      <c r="F40" s="644">
        <f t="shared" si="6"/>
        <v>0</v>
      </c>
      <c r="G40" s="644"/>
      <c r="H40" s="644">
        <v>1090.0999999999999</v>
      </c>
      <c r="I40" s="644"/>
      <c r="J40" s="644">
        <f t="shared" si="5"/>
        <v>1090.0999999999999</v>
      </c>
      <c r="K40" s="1032"/>
      <c r="L40" s="1049" t="s">
        <v>163</v>
      </c>
      <c r="M40" s="1014">
        <f>SUM(F46:F47)</f>
        <v>0</v>
      </c>
      <c r="N40" s="1014">
        <f>SUM(J46:J47)</f>
        <v>0</v>
      </c>
      <c r="O40" s="1014">
        <f>SUM(K46:K47)</f>
        <v>0</v>
      </c>
      <c r="P40" s="86"/>
      <c r="Q40" s="86"/>
      <c r="R40" s="86"/>
    </row>
    <row r="41" spans="1:38" ht="15">
      <c r="A41" s="1048">
        <f t="shared" si="7"/>
        <v>46116</v>
      </c>
      <c r="B41" s="644"/>
      <c r="C41" s="644"/>
      <c r="D41" s="644">
        <v>903.15</v>
      </c>
      <c r="E41" s="644"/>
      <c r="F41" s="644">
        <f t="shared" si="6"/>
        <v>903.15</v>
      </c>
      <c r="G41" s="644"/>
      <c r="H41" s="644">
        <v>553.54</v>
      </c>
      <c r="I41" s="644"/>
      <c r="J41" s="644">
        <f t="shared" si="5"/>
        <v>553.54</v>
      </c>
      <c r="K41" s="1032"/>
      <c r="L41" s="1049" t="s">
        <v>164</v>
      </c>
      <c r="M41" s="1014">
        <f>SUM(F48:F49)</f>
        <v>0</v>
      </c>
      <c r="N41" s="1014">
        <f>SUM(J48:J49)</f>
        <v>0</v>
      </c>
      <c r="O41" s="1014">
        <f>SUM(K48:K49)</f>
        <v>0</v>
      </c>
      <c r="P41" s="86"/>
      <c r="Q41" s="86"/>
      <c r="R41" s="86"/>
    </row>
    <row r="42" spans="1:38" ht="15">
      <c r="A42" s="1046">
        <f t="shared" si="7"/>
        <v>46117</v>
      </c>
      <c r="B42" s="644"/>
      <c r="C42" s="644"/>
      <c r="D42" s="644">
        <v>638</v>
      </c>
      <c r="E42" s="644"/>
      <c r="F42" s="644">
        <f t="shared" si="6"/>
        <v>638</v>
      </c>
      <c r="G42" s="644"/>
      <c r="H42" s="644"/>
      <c r="I42" s="644"/>
      <c r="J42" s="644">
        <f t="shared" si="5"/>
        <v>0</v>
      </c>
      <c r="K42" s="1032"/>
      <c r="L42" s="1049" t="s">
        <v>165</v>
      </c>
      <c r="M42" s="1014">
        <f>SUM(F50:F51)</f>
        <v>0</v>
      </c>
      <c r="N42" s="1014">
        <f>SUM(J50:J51)</f>
        <v>0</v>
      </c>
      <c r="O42" s="1014">
        <f>SUM(K50:K51)</f>
        <v>0</v>
      </c>
      <c r="P42" s="86"/>
      <c r="Q42" s="86"/>
      <c r="R42" s="86"/>
    </row>
    <row r="43" spans="1:38" ht="15">
      <c r="A43" s="1045">
        <f t="shared" si="7"/>
        <v>46117</v>
      </c>
      <c r="B43" s="644"/>
      <c r="C43" s="644"/>
      <c r="D43" s="644">
        <v>599</v>
      </c>
      <c r="E43" s="644"/>
      <c r="F43" s="644">
        <f t="shared" si="6"/>
        <v>599</v>
      </c>
      <c r="G43" s="644"/>
      <c r="H43" s="644">
        <v>1059.8399999999999</v>
      </c>
      <c r="I43" s="644"/>
      <c r="J43" s="644">
        <f t="shared" si="5"/>
        <v>1059.8399999999999</v>
      </c>
      <c r="K43" s="1032"/>
      <c r="L43" s="1049" t="s">
        <v>166</v>
      </c>
      <c r="M43" s="1014">
        <f>SUM(F52:F53)</f>
        <v>0</v>
      </c>
      <c r="N43" s="1014">
        <f>SUM(J52:J53)</f>
        <v>0</v>
      </c>
      <c r="O43" s="1014">
        <f>SUM(K52:K53)</f>
        <v>0</v>
      </c>
      <c r="P43" s="86"/>
      <c r="Q43" s="86"/>
      <c r="R43" s="86"/>
    </row>
    <row r="44" spans="1:38" ht="15">
      <c r="A44" s="1046">
        <f t="shared" si="7"/>
        <v>46118</v>
      </c>
      <c r="B44" s="644"/>
      <c r="C44" s="644"/>
      <c r="D44" s="644"/>
      <c r="E44" s="644"/>
      <c r="F44" s="644">
        <f t="shared" si="6"/>
        <v>0</v>
      </c>
      <c r="G44" s="644"/>
      <c r="H44" s="644"/>
      <c r="I44" s="644"/>
      <c r="J44" s="644">
        <f t="shared" si="5"/>
        <v>0</v>
      </c>
      <c r="K44" s="1032"/>
      <c r="L44" s="1049" t="s">
        <v>167</v>
      </c>
      <c r="M44" s="1014">
        <f>SUM(F54:F55)</f>
        <v>0</v>
      </c>
      <c r="N44" s="1014">
        <f>SUM(J54:J55)</f>
        <v>0</v>
      </c>
      <c r="O44" s="1014">
        <f>SUM(K54:K55)</f>
        <v>0</v>
      </c>
      <c r="P44" s="86"/>
      <c r="Q44" s="86"/>
      <c r="R44" s="86"/>
    </row>
    <row r="45" spans="1:38" ht="15">
      <c r="A45" s="1045">
        <f t="shared" si="7"/>
        <v>46118</v>
      </c>
      <c r="B45" s="644"/>
      <c r="C45" s="644"/>
      <c r="D45" s="644"/>
      <c r="E45" s="644"/>
      <c r="F45" s="644">
        <f t="shared" si="6"/>
        <v>0</v>
      </c>
      <c r="G45" s="644"/>
      <c r="H45" s="644"/>
      <c r="I45" s="644"/>
      <c r="J45" s="644">
        <f t="shared" si="5"/>
        <v>0</v>
      </c>
      <c r="K45" s="1032"/>
      <c r="L45" s="1049" t="s">
        <v>168</v>
      </c>
      <c r="M45" s="1014">
        <f>SUM(F56:F57)</f>
        <v>0</v>
      </c>
      <c r="N45" s="1014">
        <f>SUM(J56:J57)</f>
        <v>0</v>
      </c>
      <c r="O45" s="1014">
        <f>SUM(K56:K57)</f>
        <v>0</v>
      </c>
      <c r="P45" s="86"/>
      <c r="Q45" s="86"/>
      <c r="R45" s="86"/>
    </row>
    <row r="46" spans="1:38" ht="15">
      <c r="A46" s="1046">
        <f t="shared" si="7"/>
        <v>46119</v>
      </c>
      <c r="B46" s="644"/>
      <c r="C46" s="644"/>
      <c r="D46" s="644"/>
      <c r="E46" s="644"/>
      <c r="F46" s="644">
        <f t="shared" si="6"/>
        <v>0</v>
      </c>
      <c r="G46" s="644"/>
      <c r="H46" s="644"/>
      <c r="I46" s="644"/>
      <c r="J46" s="644">
        <f t="shared" si="5"/>
        <v>0</v>
      </c>
      <c r="K46" s="1032"/>
      <c r="L46" s="1049" t="s">
        <v>169</v>
      </c>
      <c r="M46" s="1014">
        <f>SUM(F58:F59)</f>
        <v>0</v>
      </c>
      <c r="N46" s="1014">
        <f>SUM(J58:J59)</f>
        <v>0</v>
      </c>
      <c r="O46" s="1014">
        <f>SUM(K58:K59)</f>
        <v>0</v>
      </c>
      <c r="P46" s="86"/>
      <c r="Q46" s="86"/>
      <c r="R46" s="86"/>
    </row>
    <row r="47" spans="1:38" ht="15">
      <c r="A47" s="1045">
        <f t="shared" si="7"/>
        <v>46119</v>
      </c>
      <c r="B47" s="644"/>
      <c r="C47" s="644"/>
      <c r="D47" s="644"/>
      <c r="E47" s="644"/>
      <c r="F47" s="644">
        <f t="shared" si="6"/>
        <v>0</v>
      </c>
      <c r="G47" s="644"/>
      <c r="H47" s="644"/>
      <c r="I47" s="644"/>
      <c r="J47" s="644">
        <f t="shared" si="5"/>
        <v>0</v>
      </c>
      <c r="K47" s="1032"/>
      <c r="L47" s="1049" t="s">
        <v>170</v>
      </c>
      <c r="M47" s="1014">
        <f>SUM(F60:F61)</f>
        <v>0</v>
      </c>
      <c r="N47" s="1014">
        <f>SUM(J60:J61)</f>
        <v>0</v>
      </c>
      <c r="O47" s="1014">
        <f>SUM(K60:K61)</f>
        <v>0</v>
      </c>
      <c r="P47" s="86"/>
      <c r="Q47" s="86"/>
      <c r="R47" s="86"/>
    </row>
    <row r="48" spans="1:38" ht="15">
      <c r="A48" s="1046">
        <f t="shared" si="7"/>
        <v>46120</v>
      </c>
      <c r="B48" s="644"/>
      <c r="C48" s="644"/>
      <c r="D48" s="644"/>
      <c r="E48" s="644"/>
      <c r="F48" s="644">
        <f t="shared" si="6"/>
        <v>0</v>
      </c>
      <c r="G48" s="644"/>
      <c r="H48" s="644"/>
      <c r="I48" s="392"/>
      <c r="J48" s="644">
        <f t="shared" si="5"/>
        <v>0</v>
      </c>
      <c r="K48" s="1032"/>
      <c r="L48" s="1049" t="s">
        <v>171</v>
      </c>
      <c r="M48" s="1014">
        <f>SUM(F62:F63)</f>
        <v>0</v>
      </c>
      <c r="N48" s="1014">
        <f>SUM(J62:J63)</f>
        <v>0</v>
      </c>
      <c r="O48" s="1014">
        <f>SUM(K62:K63)</f>
        <v>0</v>
      </c>
      <c r="P48" s="86"/>
      <c r="Q48" s="86"/>
      <c r="R48" s="86"/>
    </row>
    <row r="49" spans="1:18" ht="15">
      <c r="A49" s="1045">
        <f t="shared" si="7"/>
        <v>46120</v>
      </c>
      <c r="B49" s="644"/>
      <c r="C49" s="644"/>
      <c r="D49" s="644"/>
      <c r="E49" s="644"/>
      <c r="F49" s="644">
        <f t="shared" si="6"/>
        <v>0</v>
      </c>
      <c r="G49" s="644"/>
      <c r="H49" s="644"/>
      <c r="I49" s="644"/>
      <c r="J49" s="644">
        <f t="shared" si="5"/>
        <v>0</v>
      </c>
      <c r="K49" s="1032"/>
      <c r="L49" s="1049" t="s">
        <v>172</v>
      </c>
      <c r="M49" s="1014">
        <f>SUM(F64:F65)</f>
        <v>0</v>
      </c>
      <c r="N49" s="1014">
        <f>SUM(J64:J65)</f>
        <v>0</v>
      </c>
      <c r="O49" s="1014">
        <f>SUM(K64:K65)</f>
        <v>0</v>
      </c>
      <c r="P49" s="86"/>
      <c r="Q49" s="86"/>
      <c r="R49" s="86"/>
    </row>
    <row r="50" spans="1:18" ht="15">
      <c r="A50" s="1046">
        <f t="shared" si="7"/>
        <v>46121</v>
      </c>
      <c r="B50" s="644"/>
      <c r="C50" s="644"/>
      <c r="D50" s="644"/>
      <c r="E50" s="644"/>
      <c r="F50" s="644">
        <f t="shared" si="6"/>
        <v>0</v>
      </c>
      <c r="G50" s="644"/>
      <c r="H50" s="644"/>
      <c r="I50" s="644"/>
      <c r="J50" s="644">
        <f t="shared" si="5"/>
        <v>0</v>
      </c>
      <c r="K50" s="1032"/>
      <c r="L50" s="1049" t="s">
        <v>173</v>
      </c>
      <c r="M50" s="1014">
        <f>SUM(F66:F67)</f>
        <v>0</v>
      </c>
      <c r="N50" s="1014">
        <f>SUM(J66:J67)</f>
        <v>0</v>
      </c>
      <c r="O50" s="1014">
        <f>SUM(K66:K67)</f>
        <v>0</v>
      </c>
      <c r="P50" s="86"/>
      <c r="Q50" s="86"/>
      <c r="R50" s="86"/>
    </row>
    <row r="51" spans="1:18" ht="15">
      <c r="A51" s="1045">
        <f t="shared" si="7"/>
        <v>46121</v>
      </c>
      <c r="B51" s="644"/>
      <c r="C51" s="644"/>
      <c r="D51" s="644"/>
      <c r="E51" s="644"/>
      <c r="F51" s="644">
        <f t="shared" si="6"/>
        <v>0</v>
      </c>
      <c r="G51" s="644"/>
      <c r="H51" s="644"/>
      <c r="I51" s="644"/>
      <c r="J51" s="644">
        <f t="shared" si="5"/>
        <v>0</v>
      </c>
      <c r="K51" s="1032"/>
      <c r="L51" s="1049" t="s">
        <v>174</v>
      </c>
      <c r="M51" s="1014">
        <f>SUM(F68:F69)</f>
        <v>0</v>
      </c>
      <c r="N51" s="1014">
        <f>SUM(J68:J69)</f>
        <v>0</v>
      </c>
      <c r="O51" s="1014">
        <f>SUM(K68:K69)</f>
        <v>0</v>
      </c>
      <c r="P51" s="86"/>
      <c r="Q51" s="86"/>
      <c r="R51" s="86"/>
    </row>
    <row r="52" spans="1:18" ht="15">
      <c r="A52" s="1046">
        <f t="shared" si="7"/>
        <v>46122</v>
      </c>
      <c r="B52" s="644"/>
      <c r="C52" s="644"/>
      <c r="D52" s="644"/>
      <c r="E52" s="644"/>
      <c r="F52" s="644">
        <f t="shared" si="6"/>
        <v>0</v>
      </c>
      <c r="G52" s="644"/>
      <c r="H52" s="644"/>
      <c r="I52" s="644"/>
      <c r="J52" s="644">
        <f t="shared" si="5"/>
        <v>0</v>
      </c>
      <c r="K52" s="1032"/>
      <c r="L52" s="1049" t="s">
        <v>175</v>
      </c>
      <c r="M52" s="1014">
        <f>SUM(F70:F71)</f>
        <v>0</v>
      </c>
      <c r="N52" s="1014">
        <f>SUM(J70:J71)</f>
        <v>0</v>
      </c>
      <c r="O52" s="1014">
        <f>SUM(K70:K71)</f>
        <v>0</v>
      </c>
      <c r="P52" s="86"/>
      <c r="Q52" s="86"/>
      <c r="R52" s="86"/>
    </row>
    <row r="53" spans="1:18" ht="15">
      <c r="A53" s="1045">
        <f t="shared" si="7"/>
        <v>46122</v>
      </c>
      <c r="B53" s="644"/>
      <c r="C53" s="644"/>
      <c r="D53" s="644"/>
      <c r="E53" s="644"/>
      <c r="F53" s="644">
        <f t="shared" si="6"/>
        <v>0</v>
      </c>
      <c r="G53" s="644"/>
      <c r="H53" s="644"/>
      <c r="I53" s="644"/>
      <c r="J53" s="644">
        <f t="shared" si="5"/>
        <v>0</v>
      </c>
      <c r="K53" s="1032"/>
      <c r="L53" s="1049" t="s">
        <v>176</v>
      </c>
      <c r="M53" s="1014">
        <f>SUM(F72:F73)</f>
        <v>0</v>
      </c>
      <c r="N53" s="1014">
        <f>SUM(J72:J73)</f>
        <v>0</v>
      </c>
      <c r="O53" s="1014">
        <f>SUM(K72:K73)</f>
        <v>0</v>
      </c>
      <c r="P53" s="86"/>
      <c r="Q53" s="86"/>
      <c r="R53" s="86"/>
    </row>
    <row r="54" spans="1:18" ht="15">
      <c r="A54" s="1046">
        <f t="shared" si="7"/>
        <v>46123</v>
      </c>
      <c r="B54" s="644"/>
      <c r="C54" s="644"/>
      <c r="D54" s="644"/>
      <c r="E54" s="644"/>
      <c r="F54" s="644">
        <f t="shared" si="6"/>
        <v>0</v>
      </c>
      <c r="G54" s="644"/>
      <c r="H54" s="644"/>
      <c r="I54" s="644"/>
      <c r="J54" s="644">
        <f t="shared" si="5"/>
        <v>0</v>
      </c>
      <c r="K54" s="1032"/>
      <c r="L54" s="1049" t="s">
        <v>177</v>
      </c>
      <c r="M54" s="1014">
        <f>SUM(F74:F75)</f>
        <v>0</v>
      </c>
      <c r="N54" s="1014">
        <f>SUM(J74:J75)</f>
        <v>0</v>
      </c>
      <c r="O54" s="1014">
        <f>SUM(K74:K75)</f>
        <v>0</v>
      </c>
      <c r="P54" s="86"/>
      <c r="Q54" s="86">
        <v>1901.02</v>
      </c>
      <c r="R54" s="86"/>
    </row>
    <row r="55" spans="1:18" ht="15">
      <c r="A55" s="1045">
        <f t="shared" si="7"/>
        <v>46123</v>
      </c>
      <c r="B55" s="644"/>
      <c r="C55" s="644"/>
      <c r="D55" s="644"/>
      <c r="E55" s="644"/>
      <c r="F55" s="644">
        <f t="shared" si="6"/>
        <v>0</v>
      </c>
      <c r="G55" s="644"/>
      <c r="H55" s="644"/>
      <c r="I55" s="644"/>
      <c r="J55" s="644">
        <f t="shared" si="5"/>
        <v>0</v>
      </c>
      <c r="K55" s="1032"/>
      <c r="L55" s="1049" t="s">
        <v>178</v>
      </c>
      <c r="M55" s="1014">
        <f>SUM(F76:F77)</f>
        <v>0</v>
      </c>
      <c r="N55" s="1014">
        <f>SUM(J76:J77)</f>
        <v>0</v>
      </c>
      <c r="O55" s="1014">
        <f>SUM(K76:K77)</f>
        <v>0</v>
      </c>
      <c r="P55" s="86"/>
      <c r="Q55" s="86">
        <v>873.1</v>
      </c>
      <c r="R55" s="86"/>
    </row>
    <row r="56" spans="1:18" ht="15">
      <c r="A56" s="1046">
        <f t="shared" si="7"/>
        <v>46124</v>
      </c>
      <c r="B56" s="644"/>
      <c r="C56" s="644"/>
      <c r="D56" s="644"/>
      <c r="E56" s="644"/>
      <c r="F56" s="644">
        <f t="shared" si="6"/>
        <v>0</v>
      </c>
      <c r="G56" s="644"/>
      <c r="H56" s="644"/>
      <c r="I56" s="644"/>
      <c r="J56" s="644">
        <f t="shared" si="5"/>
        <v>0</v>
      </c>
      <c r="K56" s="1032"/>
      <c r="L56" s="1049" t="s">
        <v>179</v>
      </c>
      <c r="M56" s="1014">
        <f>SUM(F78:F79)</f>
        <v>0</v>
      </c>
      <c r="N56" s="1014">
        <f>SUM(J78:J79)</f>
        <v>0</v>
      </c>
      <c r="O56" s="1014">
        <f>SUM(K78:K79)</f>
        <v>0</v>
      </c>
      <c r="P56" s="86"/>
      <c r="Q56" s="86">
        <v>2920.27</v>
      </c>
      <c r="R56" s="86"/>
    </row>
    <row r="57" spans="1:18" ht="15">
      <c r="A57" s="1045">
        <f t="shared" si="7"/>
        <v>46124</v>
      </c>
      <c r="B57" s="644"/>
      <c r="C57" s="644"/>
      <c r="D57" s="644"/>
      <c r="E57" s="644"/>
      <c r="F57" s="644">
        <f t="shared" si="6"/>
        <v>0</v>
      </c>
      <c r="G57" s="644"/>
      <c r="H57" s="644"/>
      <c r="I57" s="644"/>
      <c r="J57" s="644">
        <f t="shared" si="5"/>
        <v>0</v>
      </c>
      <c r="K57" s="1032"/>
      <c r="L57" s="1049" t="s">
        <v>180</v>
      </c>
      <c r="M57" s="1014">
        <f>SUM(F80:F81)</f>
        <v>0</v>
      </c>
      <c r="N57" s="1014">
        <f>SUM(J80:J81)</f>
        <v>0</v>
      </c>
      <c r="O57" s="1014">
        <f>SUM(K80:K81)</f>
        <v>0</v>
      </c>
      <c r="P57" s="86"/>
      <c r="Q57" s="86">
        <v>1823.5</v>
      </c>
      <c r="R57" s="86"/>
    </row>
    <row r="58" spans="1:18" ht="15">
      <c r="A58" s="1046">
        <f t="shared" si="7"/>
        <v>46125</v>
      </c>
      <c r="B58" s="644"/>
      <c r="C58" s="644"/>
      <c r="D58" s="644"/>
      <c r="E58" s="644"/>
      <c r="F58" s="644">
        <f t="shared" si="6"/>
        <v>0</v>
      </c>
      <c r="G58" s="644"/>
      <c r="H58" s="644"/>
      <c r="I58" s="392"/>
      <c r="J58" s="644">
        <f t="shared" si="5"/>
        <v>0</v>
      </c>
      <c r="K58" s="1032"/>
      <c r="L58" s="1049" t="s">
        <v>181</v>
      </c>
      <c r="M58" s="1014">
        <f>SUM(F82:F83)</f>
        <v>0</v>
      </c>
      <c r="N58" s="1014">
        <f>SUM(J82:J83)</f>
        <v>0</v>
      </c>
      <c r="O58" s="1014">
        <f>SUM(K82:K83)</f>
        <v>0</v>
      </c>
      <c r="P58" s="86"/>
      <c r="Q58" s="86">
        <v>1328.01</v>
      </c>
      <c r="R58" s="86"/>
    </row>
    <row r="59" spans="1:18" ht="15">
      <c r="A59" s="1045">
        <f t="shared" si="7"/>
        <v>46125</v>
      </c>
      <c r="B59" s="644"/>
      <c r="C59" s="644"/>
      <c r="D59" s="644"/>
      <c r="E59" s="644"/>
      <c r="F59" s="644">
        <f t="shared" si="6"/>
        <v>0</v>
      </c>
      <c r="G59" s="644"/>
      <c r="H59" s="644"/>
      <c r="I59" s="644"/>
      <c r="J59" s="644">
        <f t="shared" si="5"/>
        <v>0</v>
      </c>
      <c r="K59" s="1032"/>
      <c r="L59" s="1049" t="s">
        <v>182</v>
      </c>
      <c r="M59" s="1014">
        <f>SUM(F84:F85)</f>
        <v>0</v>
      </c>
      <c r="N59" s="1014">
        <f>SUM(J84:J85)</f>
        <v>0</v>
      </c>
      <c r="O59" s="1014">
        <f>SUM(K84:K85)</f>
        <v>0</v>
      </c>
      <c r="P59" s="86"/>
      <c r="Q59" s="86">
        <v>3099.14</v>
      </c>
      <c r="R59" s="86"/>
    </row>
    <row r="60" spans="1:18" ht="15">
      <c r="A60" s="1046">
        <f t="shared" si="7"/>
        <v>46126</v>
      </c>
      <c r="B60" s="644"/>
      <c r="C60" s="644"/>
      <c r="D60" s="644"/>
      <c r="E60" s="644"/>
      <c r="F60" s="644">
        <f t="shared" si="6"/>
        <v>0</v>
      </c>
      <c r="G60" s="644"/>
      <c r="H60" s="644"/>
      <c r="I60" s="392"/>
      <c r="J60" s="644">
        <f t="shared" si="5"/>
        <v>0</v>
      </c>
      <c r="K60" s="1032"/>
      <c r="L60" s="1049" t="s">
        <v>183</v>
      </c>
      <c r="M60" s="1014">
        <f>SUM(F86:F87)</f>
        <v>0</v>
      </c>
      <c r="N60" s="1014">
        <f>SUM(J86:J87)</f>
        <v>0</v>
      </c>
      <c r="O60" s="1014">
        <f>SUM(K86:K87)</f>
        <v>0</v>
      </c>
      <c r="P60" s="86"/>
      <c r="Q60" s="86"/>
      <c r="R60" s="86"/>
    </row>
    <row r="61" spans="1:18" ht="15">
      <c r="A61" s="1045">
        <f t="shared" si="7"/>
        <v>46126</v>
      </c>
      <c r="B61" s="644"/>
      <c r="C61" s="644"/>
      <c r="D61" s="644"/>
      <c r="E61" s="644"/>
      <c r="F61" s="644">
        <f t="shared" si="6"/>
        <v>0</v>
      </c>
      <c r="G61" s="644"/>
      <c r="H61" s="644"/>
      <c r="I61" s="644"/>
      <c r="J61" s="644">
        <f t="shared" si="5"/>
        <v>0</v>
      </c>
      <c r="K61" s="1032"/>
      <c r="L61" s="1049" t="s">
        <v>184</v>
      </c>
      <c r="M61" s="1014">
        <f>SUM(F88:F89)</f>
        <v>0</v>
      </c>
      <c r="N61" s="1014">
        <f>SUM(J88:J89)</f>
        <v>0</v>
      </c>
      <c r="O61" s="1014">
        <f>SUM(K88:K89)</f>
        <v>0</v>
      </c>
      <c r="P61" s="86"/>
      <c r="Q61" s="86"/>
      <c r="R61" s="86"/>
    </row>
    <row r="62" spans="1:18" ht="15">
      <c r="A62" s="1046">
        <f t="shared" si="7"/>
        <v>46127</v>
      </c>
      <c r="B62" s="644"/>
      <c r="C62" s="644"/>
      <c r="D62" s="644"/>
      <c r="E62" s="644"/>
      <c r="F62" s="644">
        <f t="shared" si="6"/>
        <v>0</v>
      </c>
      <c r="G62" s="644"/>
      <c r="H62" s="644"/>
      <c r="I62" s="644"/>
      <c r="J62" s="644">
        <f t="shared" si="5"/>
        <v>0</v>
      </c>
      <c r="K62" s="1032"/>
      <c r="L62" s="1049" t="s">
        <v>185</v>
      </c>
      <c r="M62" s="1014">
        <f>SUM(F90:F91)</f>
        <v>0</v>
      </c>
      <c r="N62" s="1014">
        <f>SUM(J90:J91)</f>
        <v>0</v>
      </c>
      <c r="O62" s="1014">
        <f>SUM(K90:K91)</f>
        <v>0</v>
      </c>
      <c r="P62" s="86"/>
      <c r="Q62" s="86"/>
      <c r="R62" s="86"/>
    </row>
    <row r="63" spans="1:18" ht="15">
      <c r="A63" s="1045">
        <f t="shared" si="7"/>
        <v>46127</v>
      </c>
      <c r="B63" s="644"/>
      <c r="C63" s="644"/>
      <c r="D63" s="644"/>
      <c r="E63" s="644"/>
      <c r="F63" s="644">
        <f t="shared" si="6"/>
        <v>0</v>
      </c>
      <c r="G63" s="644"/>
      <c r="H63" s="644"/>
      <c r="I63" s="644"/>
      <c r="J63" s="644">
        <f t="shared" si="5"/>
        <v>0</v>
      </c>
      <c r="K63" s="1032"/>
      <c r="L63" s="1049" t="s">
        <v>186</v>
      </c>
      <c r="M63" s="1014">
        <f>SUM(F92:F93)</f>
        <v>0</v>
      </c>
      <c r="N63" s="1014">
        <f>SUM(J92:J93)</f>
        <v>0</v>
      </c>
      <c r="O63" s="1014">
        <f>SUM(K92:K93)</f>
        <v>0</v>
      </c>
      <c r="P63" s="86"/>
      <c r="Q63" s="86"/>
      <c r="R63" s="86"/>
    </row>
    <row r="64" spans="1:18" ht="15">
      <c r="A64" s="1046">
        <f t="shared" si="7"/>
        <v>46128</v>
      </c>
      <c r="B64" s="644"/>
      <c r="C64" s="644"/>
      <c r="D64" s="644"/>
      <c r="E64" s="644"/>
      <c r="F64" s="644">
        <f t="shared" si="6"/>
        <v>0</v>
      </c>
      <c r="G64" s="644"/>
      <c r="H64" s="644"/>
      <c r="I64" s="644"/>
      <c r="J64" s="644">
        <f t="shared" si="5"/>
        <v>0</v>
      </c>
      <c r="K64" s="1033"/>
      <c r="L64" s="1049" t="s">
        <v>187</v>
      </c>
      <c r="M64" s="1014">
        <f>SUM(F94:F95)</f>
        <v>0</v>
      </c>
      <c r="N64" s="1014">
        <f>SUM(J94:J95)</f>
        <v>0</v>
      </c>
      <c r="O64" s="1014">
        <f>SUM(K94:K95)</f>
        <v>0</v>
      </c>
      <c r="P64" s="86"/>
      <c r="Q64" s="86"/>
      <c r="R64" s="86"/>
    </row>
    <row r="65" spans="1:20" ht="15">
      <c r="A65" s="1045">
        <f t="shared" si="7"/>
        <v>46128</v>
      </c>
      <c r="B65" s="644"/>
      <c r="C65" s="644"/>
      <c r="D65" s="644"/>
      <c r="E65" s="644"/>
      <c r="F65" s="644">
        <f t="shared" si="6"/>
        <v>0</v>
      </c>
      <c r="G65" s="644"/>
      <c r="H65" s="644"/>
      <c r="I65" s="644"/>
      <c r="J65" s="644">
        <f t="shared" si="5"/>
        <v>0</v>
      </c>
      <c r="K65" s="1033"/>
      <c r="L65" s="1049"/>
      <c r="N65" s="86"/>
      <c r="O65" s="86"/>
      <c r="P65" s="86"/>
      <c r="Q65" s="86"/>
      <c r="R65" s="86"/>
      <c r="S65" s="86"/>
      <c r="T65" s="86"/>
    </row>
    <row r="66" spans="1:20" ht="15">
      <c r="A66" s="1046">
        <f t="shared" si="7"/>
        <v>46129</v>
      </c>
      <c r="B66" s="644"/>
      <c r="C66" s="644"/>
      <c r="D66" s="644"/>
      <c r="E66" s="644"/>
      <c r="F66" s="644">
        <f t="shared" si="6"/>
        <v>0</v>
      </c>
      <c r="G66" s="644"/>
      <c r="H66" s="644"/>
      <c r="I66" s="644"/>
      <c r="J66" s="644">
        <f t="shared" ref="J66:J95" si="8">SUM(G66:I66)</f>
        <v>0</v>
      </c>
      <c r="K66" s="1033"/>
      <c r="L66" s="1049"/>
    </row>
    <row r="67" spans="1:20" ht="15">
      <c r="A67" s="1045">
        <f t="shared" si="7"/>
        <v>46129</v>
      </c>
      <c r="B67" s="644"/>
      <c r="C67" s="644"/>
      <c r="D67" s="644"/>
      <c r="E67" s="644"/>
      <c r="F67" s="644">
        <f t="shared" si="6"/>
        <v>0</v>
      </c>
      <c r="G67" s="644"/>
      <c r="H67" s="644"/>
      <c r="I67" s="644"/>
      <c r="J67" s="644">
        <f t="shared" si="8"/>
        <v>0</v>
      </c>
      <c r="K67" s="1033"/>
      <c r="L67" s="1049"/>
    </row>
    <row r="68" spans="1:20" ht="15">
      <c r="A68" s="1046">
        <f t="shared" ref="A68:A95" si="9">A66+1</f>
        <v>46130</v>
      </c>
      <c r="B68" s="644"/>
      <c r="C68" s="644"/>
      <c r="D68" s="644"/>
      <c r="E68" s="644"/>
      <c r="F68" s="644">
        <f t="shared" si="6"/>
        <v>0</v>
      </c>
      <c r="G68" s="644"/>
      <c r="H68" s="644"/>
      <c r="I68" s="644"/>
      <c r="J68" s="644">
        <f t="shared" si="8"/>
        <v>0</v>
      </c>
      <c r="K68" s="1033"/>
      <c r="L68" s="1049"/>
      <c r="M68" s="1014"/>
    </row>
    <row r="69" spans="1:20" ht="15">
      <c r="A69" s="1045">
        <f t="shared" si="9"/>
        <v>46130</v>
      </c>
      <c r="B69" s="644"/>
      <c r="C69" s="644"/>
      <c r="D69" s="644"/>
      <c r="E69" s="644"/>
      <c r="F69" s="644">
        <f t="shared" si="6"/>
        <v>0</v>
      </c>
      <c r="G69" s="644"/>
      <c r="H69" s="644"/>
      <c r="I69" s="392"/>
      <c r="J69" s="644">
        <f t="shared" si="8"/>
        <v>0</v>
      </c>
      <c r="K69" s="1033"/>
      <c r="L69" s="1049"/>
    </row>
    <row r="70" spans="1:20" ht="15">
      <c r="A70" s="1046">
        <f t="shared" si="9"/>
        <v>46131</v>
      </c>
      <c r="B70" s="644"/>
      <c r="C70" s="644"/>
      <c r="D70" s="644"/>
      <c r="E70" s="644"/>
      <c r="F70" s="644">
        <f t="shared" si="6"/>
        <v>0</v>
      </c>
      <c r="G70" s="644"/>
      <c r="H70" s="644"/>
      <c r="I70" s="644"/>
      <c r="J70" s="644">
        <f t="shared" si="8"/>
        <v>0</v>
      </c>
      <c r="K70" s="1033"/>
      <c r="L70" s="1049"/>
    </row>
    <row r="71" spans="1:20" ht="15">
      <c r="A71" s="1045">
        <f t="shared" si="9"/>
        <v>46131</v>
      </c>
      <c r="B71" s="644"/>
      <c r="C71" s="644"/>
      <c r="D71" s="644"/>
      <c r="E71" s="644"/>
      <c r="F71" s="644">
        <f t="shared" si="6"/>
        <v>0</v>
      </c>
      <c r="G71" s="644"/>
      <c r="H71" s="644"/>
      <c r="I71" s="644"/>
      <c r="J71" s="644">
        <f t="shared" si="8"/>
        <v>0</v>
      </c>
      <c r="K71" s="1033"/>
      <c r="L71" s="1049"/>
    </row>
    <row r="72" spans="1:20" ht="15">
      <c r="A72" s="1046">
        <f t="shared" si="9"/>
        <v>46132</v>
      </c>
      <c r="B72" s="644"/>
      <c r="C72" s="644"/>
      <c r="D72" s="644"/>
      <c r="E72" s="644"/>
      <c r="F72" s="644">
        <f t="shared" si="6"/>
        <v>0</v>
      </c>
      <c r="G72" s="644"/>
      <c r="H72" s="644"/>
      <c r="I72" s="644"/>
      <c r="J72" s="644">
        <f t="shared" si="8"/>
        <v>0</v>
      </c>
      <c r="K72" s="1033"/>
      <c r="L72" s="1049"/>
    </row>
    <row r="73" spans="1:20" ht="15">
      <c r="A73" s="1045">
        <f t="shared" si="9"/>
        <v>46132</v>
      </c>
      <c r="B73" s="644"/>
      <c r="C73" s="644"/>
      <c r="D73" s="644"/>
      <c r="E73" s="644"/>
      <c r="F73" s="644">
        <f t="shared" si="6"/>
        <v>0</v>
      </c>
      <c r="G73" s="644"/>
      <c r="H73" s="644"/>
      <c r="I73" s="644"/>
      <c r="J73" s="644">
        <f t="shared" si="8"/>
        <v>0</v>
      </c>
      <c r="K73" s="1033"/>
      <c r="L73" s="1049"/>
    </row>
    <row r="74" spans="1:20" ht="15">
      <c r="A74" s="1046">
        <f t="shared" si="9"/>
        <v>46133</v>
      </c>
      <c r="B74" s="644"/>
      <c r="C74" s="644"/>
      <c r="D74" s="644"/>
      <c r="E74" s="644"/>
      <c r="F74" s="644">
        <f t="shared" si="6"/>
        <v>0</v>
      </c>
      <c r="G74" s="644"/>
      <c r="H74" s="644"/>
      <c r="I74" s="644"/>
      <c r="J74" s="644">
        <f t="shared" si="8"/>
        <v>0</v>
      </c>
      <c r="K74" s="1033"/>
      <c r="L74" s="1049"/>
    </row>
    <row r="75" spans="1:20" ht="15">
      <c r="A75" s="1045">
        <f t="shared" si="9"/>
        <v>46133</v>
      </c>
      <c r="B75" s="644"/>
      <c r="C75" s="644"/>
      <c r="D75" s="644"/>
      <c r="E75" s="644"/>
      <c r="F75" s="644">
        <f t="shared" si="6"/>
        <v>0</v>
      </c>
      <c r="G75" s="644"/>
      <c r="H75" s="644"/>
      <c r="I75" s="644"/>
      <c r="J75" s="644">
        <f t="shared" si="8"/>
        <v>0</v>
      </c>
      <c r="K75" s="1033"/>
      <c r="L75" s="1049"/>
    </row>
    <row r="76" spans="1:20" ht="15">
      <c r="A76" s="1046">
        <f t="shared" si="9"/>
        <v>46134</v>
      </c>
      <c r="B76" s="644"/>
      <c r="C76" s="644"/>
      <c r="D76" s="644"/>
      <c r="E76" s="644"/>
      <c r="F76" s="644">
        <f t="shared" si="6"/>
        <v>0</v>
      </c>
      <c r="G76" s="644"/>
      <c r="H76" s="644"/>
      <c r="I76" s="392"/>
      <c r="J76" s="644">
        <f t="shared" si="8"/>
        <v>0</v>
      </c>
      <c r="K76" s="1033"/>
      <c r="L76" s="1049"/>
    </row>
    <row r="77" spans="1:20" ht="15">
      <c r="A77" s="1045">
        <f t="shared" si="9"/>
        <v>46134</v>
      </c>
      <c r="B77" s="644"/>
      <c r="C77" s="644"/>
      <c r="D77" s="644"/>
      <c r="E77" s="644"/>
      <c r="F77" s="644">
        <f t="shared" si="6"/>
        <v>0</v>
      </c>
      <c r="G77" s="644"/>
      <c r="H77" s="644"/>
      <c r="I77" s="392"/>
      <c r="J77" s="644">
        <f t="shared" si="8"/>
        <v>0</v>
      </c>
      <c r="K77" s="1033"/>
      <c r="L77" s="1049"/>
    </row>
    <row r="78" spans="1:20" ht="15">
      <c r="A78" s="1046">
        <f t="shared" si="9"/>
        <v>46135</v>
      </c>
      <c r="B78" s="644"/>
      <c r="C78" s="644"/>
      <c r="D78" s="644"/>
      <c r="E78" s="644"/>
      <c r="F78" s="644">
        <f t="shared" si="6"/>
        <v>0</v>
      </c>
      <c r="G78" s="644"/>
      <c r="H78" s="644"/>
      <c r="I78" s="644"/>
      <c r="J78" s="644">
        <f t="shared" si="8"/>
        <v>0</v>
      </c>
      <c r="K78" s="1033"/>
      <c r="L78" s="1049"/>
    </row>
    <row r="79" spans="1:20" ht="15">
      <c r="A79" s="1045">
        <f t="shared" si="9"/>
        <v>46135</v>
      </c>
      <c r="B79" s="644"/>
      <c r="C79" s="644"/>
      <c r="D79" s="644"/>
      <c r="E79" s="644"/>
      <c r="F79" s="644">
        <f t="shared" si="6"/>
        <v>0</v>
      </c>
      <c r="G79" s="644"/>
      <c r="H79" s="644"/>
      <c r="I79" s="644"/>
      <c r="J79" s="644">
        <f t="shared" si="8"/>
        <v>0</v>
      </c>
      <c r="K79" s="1033"/>
      <c r="L79" s="1049"/>
    </row>
    <row r="80" spans="1:20" ht="15">
      <c r="A80" s="1046">
        <f t="shared" si="9"/>
        <v>46136</v>
      </c>
      <c r="B80" s="644"/>
      <c r="C80" s="644"/>
      <c r="D80" s="644"/>
      <c r="E80" s="644"/>
      <c r="F80" s="644">
        <f t="shared" si="6"/>
        <v>0</v>
      </c>
      <c r="G80" s="644"/>
      <c r="H80" s="644"/>
      <c r="I80" s="644"/>
      <c r="J80" s="644">
        <f t="shared" si="8"/>
        <v>0</v>
      </c>
      <c r="K80" s="1033"/>
      <c r="L80" s="1049"/>
    </row>
    <row r="81" spans="1:12" ht="15">
      <c r="A81" s="1045">
        <f t="shared" si="9"/>
        <v>46136</v>
      </c>
      <c r="B81" s="644"/>
      <c r="C81" s="644"/>
      <c r="D81" s="644"/>
      <c r="E81" s="644"/>
      <c r="F81" s="644">
        <f t="shared" si="6"/>
        <v>0</v>
      </c>
      <c r="G81" s="644"/>
      <c r="H81" s="644"/>
      <c r="I81" s="644"/>
      <c r="J81" s="644">
        <f t="shared" si="8"/>
        <v>0</v>
      </c>
      <c r="K81" s="1033"/>
      <c r="L81" s="1049"/>
    </row>
    <row r="82" spans="1:12" ht="15">
      <c r="A82" s="1046">
        <f t="shared" si="9"/>
        <v>46137</v>
      </c>
      <c r="B82" s="644"/>
      <c r="C82" s="644"/>
      <c r="D82" s="644"/>
      <c r="E82" s="644"/>
      <c r="F82" s="644">
        <f t="shared" si="6"/>
        <v>0</v>
      </c>
      <c r="G82" s="644"/>
      <c r="H82" s="644"/>
      <c r="I82" s="644"/>
      <c r="J82" s="644">
        <f t="shared" si="8"/>
        <v>0</v>
      </c>
      <c r="K82" s="1033"/>
      <c r="L82" s="1049"/>
    </row>
    <row r="83" spans="1:12" ht="15">
      <c r="A83" s="1045">
        <f t="shared" si="9"/>
        <v>46137</v>
      </c>
      <c r="B83" s="1033"/>
      <c r="C83" s="1033"/>
      <c r="D83" s="1033"/>
      <c r="E83" s="1033"/>
      <c r="F83" s="1030">
        <f t="shared" si="6"/>
        <v>0</v>
      </c>
      <c r="G83" s="1030"/>
      <c r="H83" s="1030"/>
      <c r="I83" s="1031"/>
      <c r="J83" s="1030">
        <f t="shared" si="8"/>
        <v>0</v>
      </c>
      <c r="K83" s="1033"/>
      <c r="L83" s="1049"/>
    </row>
    <row r="84" spans="1:12" ht="15">
      <c r="A84" s="1046">
        <f t="shared" si="9"/>
        <v>46138</v>
      </c>
      <c r="B84" s="1033"/>
      <c r="C84" s="1033"/>
      <c r="D84" s="1033"/>
      <c r="E84" s="1033"/>
      <c r="F84" s="1030">
        <f t="shared" si="6"/>
        <v>0</v>
      </c>
      <c r="G84" s="1030"/>
      <c r="H84" s="1030"/>
      <c r="I84" s="1031"/>
      <c r="J84" s="1030">
        <f t="shared" si="8"/>
        <v>0</v>
      </c>
      <c r="K84" s="1033"/>
      <c r="L84" s="1049"/>
    </row>
    <row r="85" spans="1:12" ht="15">
      <c r="A85" s="1045">
        <f t="shared" si="9"/>
        <v>46138</v>
      </c>
      <c r="B85" s="1033"/>
      <c r="C85" s="1033"/>
      <c r="D85" s="1033"/>
      <c r="E85" s="1033"/>
      <c r="F85" s="1030">
        <f t="shared" si="6"/>
        <v>0</v>
      </c>
      <c r="G85" s="1030"/>
      <c r="H85" s="1030"/>
      <c r="I85" s="1031"/>
      <c r="J85" s="1030">
        <f t="shared" si="8"/>
        <v>0</v>
      </c>
      <c r="K85" s="1033"/>
      <c r="L85" s="1049"/>
    </row>
    <row r="86" spans="1:12" ht="15">
      <c r="A86" s="1046">
        <f t="shared" si="9"/>
        <v>46139</v>
      </c>
      <c r="B86" s="1033"/>
      <c r="C86" s="1033"/>
      <c r="D86" s="1033"/>
      <c r="E86" s="1033"/>
      <c r="F86" s="1030">
        <f t="shared" si="6"/>
        <v>0</v>
      </c>
      <c r="G86" s="1030"/>
      <c r="H86" s="1030"/>
      <c r="I86" s="1030"/>
      <c r="J86" s="1030">
        <f t="shared" si="8"/>
        <v>0</v>
      </c>
      <c r="K86" s="1033"/>
      <c r="L86" s="1049"/>
    </row>
    <row r="87" spans="1:12" ht="15">
      <c r="A87" s="1045">
        <f t="shared" si="9"/>
        <v>46139</v>
      </c>
      <c r="B87" s="1033"/>
      <c r="C87" s="1033"/>
      <c r="D87" s="1033"/>
      <c r="E87" s="1033"/>
      <c r="F87" s="1030">
        <f t="shared" si="6"/>
        <v>0</v>
      </c>
      <c r="G87" s="1030"/>
      <c r="H87" s="1030"/>
      <c r="I87" s="1030"/>
      <c r="J87" s="1030">
        <f t="shared" si="8"/>
        <v>0</v>
      </c>
      <c r="K87" s="1033"/>
      <c r="L87" s="1049"/>
    </row>
    <row r="88" spans="1:12" ht="15">
      <c r="A88" s="1046">
        <f t="shared" si="9"/>
        <v>46140</v>
      </c>
      <c r="B88" s="1033"/>
      <c r="C88" s="1033"/>
      <c r="D88" s="1033"/>
      <c r="E88" s="1033"/>
      <c r="F88" s="1030">
        <f t="shared" si="6"/>
        <v>0</v>
      </c>
      <c r="G88" s="1030"/>
      <c r="H88" s="1030"/>
      <c r="I88" s="1030"/>
      <c r="J88" s="1030">
        <f t="shared" si="8"/>
        <v>0</v>
      </c>
      <c r="K88" s="1033"/>
      <c r="L88" s="1049"/>
    </row>
    <row r="89" spans="1:12" ht="15">
      <c r="A89" s="1045">
        <f t="shared" si="9"/>
        <v>46140</v>
      </c>
      <c r="B89" s="1033"/>
      <c r="C89" s="1033"/>
      <c r="D89" s="1033"/>
      <c r="E89" s="1033"/>
      <c r="F89" s="1030">
        <f t="shared" si="6"/>
        <v>0</v>
      </c>
      <c r="G89" s="1030"/>
      <c r="H89" s="1030"/>
      <c r="I89" s="1030"/>
      <c r="J89" s="1030">
        <f t="shared" si="8"/>
        <v>0</v>
      </c>
      <c r="K89" s="1033"/>
      <c r="L89" s="1049"/>
    </row>
    <row r="90" spans="1:12" ht="15">
      <c r="A90" s="1046">
        <f t="shared" si="9"/>
        <v>46141</v>
      </c>
      <c r="B90" s="1033"/>
      <c r="C90" s="1033"/>
      <c r="D90" s="1033"/>
      <c r="E90" s="1033"/>
      <c r="F90" s="1030">
        <f t="shared" si="6"/>
        <v>0</v>
      </c>
      <c r="G90" s="1030"/>
      <c r="H90" s="1030"/>
      <c r="I90" s="1031"/>
      <c r="J90" s="1030">
        <f t="shared" si="8"/>
        <v>0</v>
      </c>
      <c r="K90" s="1033"/>
      <c r="L90" s="1049"/>
    </row>
    <row r="91" spans="1:12" ht="15">
      <c r="A91" s="1045">
        <f t="shared" si="9"/>
        <v>46141</v>
      </c>
      <c r="B91" s="1033"/>
      <c r="C91" s="1033"/>
      <c r="D91" s="1033"/>
      <c r="E91" s="1033"/>
      <c r="F91" s="1030">
        <f t="shared" si="6"/>
        <v>0</v>
      </c>
      <c r="G91" s="1030"/>
      <c r="H91" s="1030"/>
      <c r="I91" s="1030"/>
      <c r="J91" s="1030">
        <f t="shared" si="8"/>
        <v>0</v>
      </c>
      <c r="K91" s="1033"/>
      <c r="L91" s="1049"/>
    </row>
    <row r="92" spans="1:12" ht="15">
      <c r="A92" s="1046">
        <f t="shared" si="9"/>
        <v>46142</v>
      </c>
      <c r="B92" s="1033"/>
      <c r="C92" s="1033"/>
      <c r="D92" s="1033"/>
      <c r="E92" s="1033"/>
      <c r="F92" s="1030">
        <f t="shared" si="6"/>
        <v>0</v>
      </c>
      <c r="G92" s="1030"/>
      <c r="H92" s="1030"/>
      <c r="I92" s="1030"/>
      <c r="J92" s="1030">
        <f t="shared" si="8"/>
        <v>0</v>
      </c>
      <c r="K92" s="1033"/>
      <c r="L92" s="1049"/>
    </row>
    <row r="93" spans="1:12" ht="15">
      <c r="A93" s="1045">
        <f t="shared" si="9"/>
        <v>46142</v>
      </c>
      <c r="B93" s="1033"/>
      <c r="C93" s="1033"/>
      <c r="D93" s="1033"/>
      <c r="E93" s="1033"/>
      <c r="F93" s="1030">
        <f t="shared" si="6"/>
        <v>0</v>
      </c>
      <c r="G93" s="1030"/>
      <c r="H93" s="1030"/>
      <c r="I93" s="1030"/>
      <c r="J93" s="1030">
        <f t="shared" si="8"/>
        <v>0</v>
      </c>
      <c r="K93" s="1033"/>
      <c r="L93" s="1049"/>
    </row>
    <row r="94" spans="1:12" ht="15">
      <c r="A94" s="1046">
        <f t="shared" si="9"/>
        <v>46143</v>
      </c>
      <c r="B94" s="1033"/>
      <c r="C94" s="1033"/>
      <c r="D94" s="1033"/>
      <c r="E94" s="1033"/>
      <c r="F94" s="1030">
        <f t="shared" si="6"/>
        <v>0</v>
      </c>
      <c r="G94" s="1030"/>
      <c r="H94" s="1030"/>
      <c r="I94" s="1031"/>
      <c r="J94" s="1030">
        <f t="shared" si="8"/>
        <v>0</v>
      </c>
      <c r="K94" s="1033"/>
      <c r="L94" s="1049"/>
    </row>
    <row r="95" spans="1:12" ht="15">
      <c r="A95" s="1045">
        <f t="shared" si="9"/>
        <v>46143</v>
      </c>
      <c r="B95" s="1033"/>
      <c r="C95" s="1033"/>
      <c r="D95" s="1033"/>
      <c r="E95" s="1033"/>
      <c r="F95" s="1030">
        <f t="shared" si="6"/>
        <v>0</v>
      </c>
      <c r="G95" s="1030"/>
      <c r="H95" s="1030"/>
      <c r="I95" s="1031"/>
      <c r="J95" s="1030">
        <f t="shared" si="8"/>
        <v>0</v>
      </c>
      <c r="K95" s="1033"/>
      <c r="L95" s="1049"/>
    </row>
    <row r="96" spans="1:12">
      <c r="B96" s="1034">
        <f t="shared" ref="B96:K96" si="10">SUM(B34:B95)</f>
        <v>0</v>
      </c>
      <c r="C96" s="1034">
        <f t="shared" si="10"/>
        <v>0</v>
      </c>
      <c r="D96" s="1034">
        <f t="shared" si="10"/>
        <v>9344.75</v>
      </c>
      <c r="E96" s="1034">
        <f t="shared" si="10"/>
        <v>0</v>
      </c>
      <c r="F96" s="1034">
        <f>SUM(F34:F95)</f>
        <v>9344.75</v>
      </c>
      <c r="G96" s="1034">
        <f t="shared" si="10"/>
        <v>0</v>
      </c>
      <c r="H96" s="1034">
        <f t="shared" si="10"/>
        <v>4047.7799999999997</v>
      </c>
      <c r="I96" s="1034">
        <f t="shared" si="10"/>
        <v>0</v>
      </c>
      <c r="J96" s="1034">
        <f t="shared" si="10"/>
        <v>4047.7799999999997</v>
      </c>
      <c r="K96" s="1034">
        <f t="shared" si="10"/>
        <v>0</v>
      </c>
    </row>
  </sheetData>
  <mergeCells count="6">
    <mergeCell ref="B16:C17"/>
    <mergeCell ref="D16:I16"/>
    <mergeCell ref="B24:C25"/>
    <mergeCell ref="D24:I24"/>
    <mergeCell ref="A32:A33"/>
    <mergeCell ref="G32:K3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theme="6" tint="0.59999389629810485"/>
  </sheetPr>
  <dimension ref="A17:Q58"/>
  <sheetViews>
    <sheetView showGridLines="0" topLeftCell="A25" zoomScaleNormal="100" workbookViewId="0">
      <selection activeCell="B45" sqref="B45"/>
    </sheetView>
  </sheetViews>
  <sheetFormatPr defaultRowHeight="14.45"/>
  <cols>
    <col min="2" max="2" width="11.140625" bestFit="1" customWidth="1"/>
    <col min="3" max="3" width="10.28515625" bestFit="1" customWidth="1"/>
    <col min="5" max="5" width="11.140625" bestFit="1" customWidth="1"/>
    <col min="6" max="6" width="9.140625" bestFit="1" customWidth="1"/>
    <col min="7" max="7" width="8.7109375" bestFit="1" customWidth="1"/>
    <col min="16" max="16" width="9.140625" bestFit="1" customWidth="1"/>
    <col min="17" max="17" width="16.140625" customWidth="1"/>
  </cols>
  <sheetData>
    <row r="17" spans="16:17">
      <c r="P17" s="362"/>
    </row>
    <row r="31" spans="16:17">
      <c r="Q31" s="362"/>
    </row>
    <row r="37" spans="1:12">
      <c r="B37" s="257"/>
      <c r="C37" s="257"/>
      <c r="D37" s="257"/>
      <c r="E37" s="257"/>
      <c r="F37" s="257"/>
      <c r="G37" s="257"/>
      <c r="H37" s="257"/>
      <c r="I37" s="257"/>
      <c r="J37" s="257"/>
      <c r="K37" s="257"/>
    </row>
    <row r="38" spans="1:12">
      <c r="B38" s="257"/>
      <c r="C38" s="257"/>
      <c r="D38" s="257"/>
      <c r="E38" s="257"/>
      <c r="F38" s="257"/>
      <c r="G38" s="257"/>
      <c r="H38" s="257"/>
      <c r="I38" s="257"/>
      <c r="J38" s="257"/>
      <c r="K38" s="257"/>
    </row>
    <row r="39" spans="1:12" ht="15.4" customHeight="1">
      <c r="B39" s="257" t="s">
        <v>569</v>
      </c>
      <c r="C39" s="468">
        <f>Summary!D4</f>
        <v>36570.75</v>
      </c>
      <c r="D39" s="257" t="s">
        <v>570</v>
      </c>
      <c r="E39" s="468">
        <f>Summary!E4</f>
        <v>238442.25</v>
      </c>
      <c r="F39" s="257" t="s">
        <v>571</v>
      </c>
      <c r="G39" s="469">
        <f>(SUBSTITUTE(Summary!G4,"-","")+0)</f>
        <v>0.253859333917616</v>
      </c>
      <c r="H39" s="257" t="str">
        <f>IF(Summary!G4&gt;0,"higher than outlook plan ",IF(Summary!G4&lt;0,"lower than outlook plan ","same as outlook plan"))</f>
        <v xml:space="preserve">higher than outlook plan </v>
      </c>
      <c r="I39" s="257"/>
      <c r="J39" s="257"/>
      <c r="K39" s="257"/>
    </row>
    <row r="40" spans="1:12" ht="15.4" customHeight="1">
      <c r="B40" s="257" t="s">
        <v>572</v>
      </c>
      <c r="C40" s="379">
        <f>Summary!D5</f>
        <v>0</v>
      </c>
      <c r="D40" s="257" t="s">
        <v>573</v>
      </c>
      <c r="E40" s="379">
        <f>Summary!E5</f>
        <v>1312.8979999999999</v>
      </c>
      <c r="F40" s="257" t="s">
        <v>574</v>
      </c>
      <c r="G40" s="469">
        <f>(SUBSTITUTE(Summary!G5,"-","")+0)</f>
        <v>0.96438793851717897</v>
      </c>
      <c r="H40" s="257" t="str">
        <f>IF(Summary!G5&gt;0,"higher than outlook plan ",IF(Summary!G5&lt;0,"lower than outlook plan ","same as outlook plan"))</f>
        <v xml:space="preserve">lower than outlook plan </v>
      </c>
      <c r="I40" s="257"/>
      <c r="J40" s="257"/>
      <c r="K40" s="257"/>
      <c r="L40" s="467"/>
    </row>
    <row r="41" spans="1:12" ht="15.4" customHeight="1">
      <c r="B41" s="257" t="s">
        <v>575</v>
      </c>
      <c r="C41" s="379">
        <f>Summary!D9</f>
        <v>0</v>
      </c>
      <c r="D41" s="257" t="s">
        <v>576</v>
      </c>
      <c r="E41" s="379">
        <f>Summary!E9</f>
        <v>0</v>
      </c>
      <c r="F41" s="257" t="s">
        <v>574</v>
      </c>
      <c r="G41" s="469">
        <f>(SUBSTITUTE(Summary!G9,"-","")+0)</f>
        <v>1</v>
      </c>
      <c r="H41" s="257" t="str">
        <f>IF(Summary!G9&gt;0,"higher than outlook plan ",IF(Summary!G9&lt;0,"lower than outlook plan ","same as outlook plan"))</f>
        <v xml:space="preserve">lower than outlook plan </v>
      </c>
      <c r="I41" s="257"/>
      <c r="J41" s="257"/>
      <c r="K41" s="257"/>
    </row>
    <row r="42" spans="1:12" ht="15.4" customHeight="1">
      <c r="B42" s="257" t="s">
        <v>577</v>
      </c>
      <c r="C42" s="379">
        <f>Summary!D10</f>
        <v>0</v>
      </c>
      <c r="D42" s="257" t="s">
        <v>578</v>
      </c>
      <c r="E42" s="468">
        <f>Summary!E10</f>
        <v>0</v>
      </c>
      <c r="F42" s="257" t="s">
        <v>574</v>
      </c>
      <c r="G42" s="469">
        <f>(SUBSTITUTE(Summary!G10,"-","")+0)</f>
        <v>1</v>
      </c>
      <c r="H42" s="257" t="str">
        <f>IF(Summary!G10&gt;0,"higher than outlook plan ",IF(Summary!G10&lt;0,"lower than outlook plan ","same as outlook plan"))</f>
        <v xml:space="preserve">lower than outlook plan </v>
      </c>
      <c r="I42" s="257"/>
      <c r="J42" s="257"/>
      <c r="K42" s="257"/>
    </row>
    <row r="43" spans="1:12" ht="15.4" customHeight="1">
      <c r="B43" s="476"/>
      <c r="C43" s="257"/>
      <c r="D43" s="257"/>
      <c r="E43" s="257"/>
      <c r="F43" s="257"/>
      <c r="G43" s="257"/>
      <c r="H43" s="257"/>
      <c r="I43" s="257"/>
      <c r="J43" s="257"/>
      <c r="K43" s="257"/>
    </row>
    <row r="44" spans="1:12" ht="15.4" customHeight="1">
      <c r="A44" t="s">
        <v>579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</row>
    <row r="45" spans="1:12" ht="15.4" customHeight="1">
      <c r="B45" s="466" t="str">
        <f>B39&amp;" "&amp;TEXT(C39,"#,##0")&amp;" "&amp;D39&amp;" "&amp;TEXT(E39,"#,##0")&amp;" "&amp;F39&amp;" "&amp;TEXT(G39,"0%")&amp;" "&amp;H39</f>
        <v xml:space="preserve">Waste Removal is  36,571 BCM, MTD is 238,442 BCM, or 25% higher than outlook plan </v>
      </c>
    </row>
    <row r="46" spans="1:12" ht="15.4" customHeight="1">
      <c r="B46" s="466" t="str">
        <f>B40&amp;" "&amp;TEXT(C40,"#,##0")&amp;" "&amp;D40&amp;" "&amp;TEXT(E40,"#,##0")&amp;" "&amp;F40&amp;" "&amp;TEXT(G40,"0%")&amp;" "&amp;H40</f>
        <v xml:space="preserve">ROM production is  0 Tons MTD is  1,313 Tons, or  96% lower than outlook plan </v>
      </c>
    </row>
    <row r="47" spans="1:12" ht="15.4" customHeight="1">
      <c r="B47" s="466" t="str">
        <f>B41&amp;" "&amp;TEXT(C41,"#,##0")&amp;" "&amp;D41&amp;" "&amp;TEXT(E41,"#,##0")&amp;" "&amp;F41&amp;" "&amp;TEXT(G41,"0%")&amp;" "&amp;H41</f>
        <v xml:space="preserve">Crushed Coal Production is  0 Tons, MTD is 0 Tons, or  100% lower than outlook plan </v>
      </c>
    </row>
    <row r="48" spans="1:12">
      <c r="B48" s="466" t="str">
        <f>B42&amp;" "&amp;TEXT(C42,"#,##0")&amp;" "&amp;D42&amp;" "&amp;TEXT(E42,"#,##0")&amp;" "&amp;F42&amp;" "&amp;TEXT(G42,"0%")&amp;" "&amp;H42</f>
        <v xml:space="preserve">Loading Barge is  0 Tons, MTD is  0 Tons, or  100% lower than outlook plan </v>
      </c>
    </row>
    <row r="50" spans="2:4">
      <c r="B50" s="466"/>
    </row>
    <row r="51" spans="2:4">
      <c r="B51" s="466"/>
    </row>
    <row r="52" spans="2:4">
      <c r="B52" s="466"/>
    </row>
    <row r="53" spans="2:4">
      <c r="B53" s="466"/>
      <c r="C53" s="362"/>
      <c r="D53" s="362"/>
    </row>
    <row r="54" spans="2:4">
      <c r="B54" s="362"/>
      <c r="C54" s="362"/>
      <c r="D54" s="362"/>
    </row>
    <row r="55" spans="2:4">
      <c r="B55" s="362"/>
      <c r="C55" s="362"/>
      <c r="D55" s="362"/>
    </row>
    <row r="56" spans="2:4">
      <c r="B56" s="362"/>
      <c r="C56" s="362"/>
      <c r="D56" s="362"/>
    </row>
    <row r="57" spans="2:4">
      <c r="B57" s="362"/>
      <c r="C57" s="362"/>
      <c r="D57" s="362"/>
    </row>
    <row r="58" spans="2:4">
      <c r="B58" s="362"/>
      <c r="C58" s="362"/>
      <c r="D58" s="362"/>
    </row>
  </sheetData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B2:B5"/>
  <sheetViews>
    <sheetView showGridLines="0" zoomScale="115" zoomScaleNormal="115" workbookViewId="0">
      <selection activeCell="H3" sqref="H3"/>
    </sheetView>
  </sheetViews>
  <sheetFormatPr defaultRowHeight="14.45"/>
  <cols>
    <col min="3" max="3" width="14.5703125" customWidth="1"/>
  </cols>
  <sheetData>
    <row r="2" spans="2:2" ht="76.5" customHeight="1">
      <c r="B2" t="s">
        <v>580</v>
      </c>
    </row>
    <row r="3" spans="2:2" ht="76.5" customHeight="1">
      <c r="B3" t="s">
        <v>581</v>
      </c>
    </row>
    <row r="5" spans="2:2" ht="76.5" customHeight="1">
      <c r="B5" t="str">
        <f>IF(Dashboard!E38&lt;&gt;0,"Rain","Sun")</f>
        <v>Sun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>
    <tabColor rgb="FF00CCFF"/>
  </sheetPr>
  <dimension ref="B2:S36"/>
  <sheetViews>
    <sheetView showGridLines="0" zoomScale="85" zoomScaleNormal="85" workbookViewId="0">
      <selection activeCell="W14" sqref="W14"/>
    </sheetView>
  </sheetViews>
  <sheetFormatPr defaultColWidth="8.85546875" defaultRowHeight="14.45"/>
  <cols>
    <col min="1" max="1" width="8.85546875" style="587"/>
    <col min="2" max="2" width="4.7109375" style="587" customWidth="1"/>
    <col min="3" max="3" width="12" style="587" customWidth="1"/>
    <col min="4" max="4" width="18" style="587" bestFit="1" customWidth="1"/>
    <col min="5" max="5" width="12.7109375" style="587" customWidth="1"/>
    <col min="6" max="6" width="9.7109375" style="587" customWidth="1"/>
    <col min="7" max="7" width="14.85546875" style="587" customWidth="1"/>
    <col min="8" max="8" width="16" style="587" customWidth="1"/>
    <col min="9" max="9" width="13.7109375" style="587" customWidth="1"/>
    <col min="10" max="16384" width="8.85546875" style="587"/>
  </cols>
  <sheetData>
    <row r="2" spans="2:19" ht="18">
      <c r="B2" s="1409" t="s">
        <v>582</v>
      </c>
      <c r="C2" s="1409"/>
      <c r="D2" s="1409"/>
      <c r="E2" s="1409"/>
      <c r="F2" s="1409"/>
    </row>
    <row r="3" spans="2:19" ht="18" customHeight="1">
      <c r="B3" s="1409" t="s">
        <v>583</v>
      </c>
      <c r="C3" s="1409"/>
      <c r="D3" s="1409"/>
      <c r="E3" s="1409"/>
      <c r="F3" s="1409"/>
      <c r="G3" s="786"/>
    </row>
    <row r="4" spans="2:19" ht="57.6">
      <c r="B4" s="796" t="s">
        <v>584</v>
      </c>
      <c r="C4" s="796" t="s">
        <v>585</v>
      </c>
      <c r="D4" s="796" t="s">
        <v>5</v>
      </c>
      <c r="E4" s="796" t="s">
        <v>586</v>
      </c>
      <c r="F4" s="796" t="s">
        <v>587</v>
      </c>
      <c r="G4" s="795" t="s">
        <v>588</v>
      </c>
      <c r="H4" s="795" t="s">
        <v>589</v>
      </c>
      <c r="I4" s="795" t="s">
        <v>590</v>
      </c>
      <c r="J4" s="795" t="s">
        <v>591</v>
      </c>
    </row>
    <row r="5" spans="2:19">
      <c r="B5" s="588">
        <v>1</v>
      </c>
      <c r="C5" s="589" t="str">
        <f>+TEXT(D5,"[$-001]dddd")</f>
        <v>Tuesday</v>
      </c>
      <c r="D5" s="590">
        <v>46266</v>
      </c>
      <c r="E5" s="591">
        <v>0.33333333333333331</v>
      </c>
      <c r="F5" s="831">
        <v>5.85</v>
      </c>
      <c r="G5" s="589">
        <v>15</v>
      </c>
      <c r="H5" s="589">
        <v>9</v>
      </c>
      <c r="I5" s="589">
        <v>11</v>
      </c>
      <c r="J5" s="819">
        <f>+Actual!F$162/1000</f>
        <v>0</v>
      </c>
    </row>
    <row r="6" spans="2:19">
      <c r="B6" s="588">
        <v>2</v>
      </c>
      <c r="C6" s="589" t="str">
        <f t="shared" ref="C6:C36" si="0">+TEXT(D6,"[$-001]dddd")</f>
        <v>Wednesday</v>
      </c>
      <c r="D6" s="590">
        <f>D5+1</f>
        <v>46267</v>
      </c>
      <c r="E6" s="591">
        <v>0.33333333333333331</v>
      </c>
      <c r="F6" s="831">
        <v>4.9800000000000004</v>
      </c>
      <c r="G6" s="589">
        <v>15</v>
      </c>
      <c r="H6" s="589">
        <v>9</v>
      </c>
      <c r="I6" s="589">
        <v>11</v>
      </c>
      <c r="J6" s="819">
        <f>+Actual!G$162/1000</f>
        <v>0</v>
      </c>
    </row>
    <row r="7" spans="2:19">
      <c r="B7" s="588">
        <v>3</v>
      </c>
      <c r="C7" s="589" t="str">
        <f t="shared" si="0"/>
        <v>Thursday</v>
      </c>
      <c r="D7" s="590">
        <f t="shared" ref="D7:D35" si="1">D6+1</f>
        <v>46268</v>
      </c>
      <c r="E7" s="591">
        <v>0.33333333333333331</v>
      </c>
      <c r="F7" s="831">
        <v>4.96</v>
      </c>
      <c r="G7" s="589">
        <v>15</v>
      </c>
      <c r="H7" s="589">
        <v>9</v>
      </c>
      <c r="I7" s="589">
        <v>11</v>
      </c>
      <c r="J7" s="819">
        <f>+Actual!H$162/1000</f>
        <v>0</v>
      </c>
      <c r="S7" s="967"/>
    </row>
    <row r="8" spans="2:19">
      <c r="B8" s="588">
        <v>4</v>
      </c>
      <c r="C8" s="589" t="str">
        <f t="shared" si="0"/>
        <v>Friday</v>
      </c>
      <c r="D8" s="590">
        <f t="shared" si="1"/>
        <v>46269</v>
      </c>
      <c r="E8" s="591">
        <v>0.33333333333333331</v>
      </c>
      <c r="F8" s="832">
        <v>4.8</v>
      </c>
      <c r="G8" s="589">
        <v>15</v>
      </c>
      <c r="H8" s="589">
        <v>9</v>
      </c>
      <c r="I8" s="589">
        <v>11</v>
      </c>
      <c r="J8" s="820">
        <f>+Actual!I$162/1000</f>
        <v>0</v>
      </c>
    </row>
    <row r="9" spans="2:19">
      <c r="B9" s="588">
        <v>5</v>
      </c>
      <c r="C9" s="589" t="str">
        <f t="shared" si="0"/>
        <v>Saturday</v>
      </c>
      <c r="D9" s="590">
        <f t="shared" si="1"/>
        <v>46270</v>
      </c>
      <c r="E9" s="591">
        <v>0.33333333333333331</v>
      </c>
      <c r="F9" s="832">
        <v>4.8</v>
      </c>
      <c r="G9" s="589">
        <v>15</v>
      </c>
      <c r="H9" s="589">
        <v>9</v>
      </c>
      <c r="I9" s="589">
        <v>11</v>
      </c>
      <c r="J9" s="819">
        <f>+Actual!J$162/1000</f>
        <v>0</v>
      </c>
    </row>
    <row r="10" spans="2:19">
      <c r="B10" s="588">
        <v>6</v>
      </c>
      <c r="C10" s="589" t="str">
        <f t="shared" si="0"/>
        <v>Sunday</v>
      </c>
      <c r="D10" s="590">
        <f t="shared" si="1"/>
        <v>46271</v>
      </c>
      <c r="E10" s="591">
        <v>0.33333333333333331</v>
      </c>
      <c r="F10" s="832">
        <v>4.8</v>
      </c>
      <c r="G10" s="589">
        <v>15</v>
      </c>
      <c r="H10" s="589">
        <v>9</v>
      </c>
      <c r="I10" s="589">
        <v>11</v>
      </c>
      <c r="J10" s="819">
        <f>+Actual!K$162/1000</f>
        <v>0</v>
      </c>
    </row>
    <row r="11" spans="2:19">
      <c r="B11" s="588">
        <v>7</v>
      </c>
      <c r="C11" s="589" t="str">
        <f t="shared" si="0"/>
        <v>Monday</v>
      </c>
      <c r="D11" s="590">
        <f t="shared" si="1"/>
        <v>46272</v>
      </c>
      <c r="E11" s="800">
        <v>0.33333333333333331</v>
      </c>
      <c r="F11" s="831">
        <v>4.9000000000000004</v>
      </c>
      <c r="G11" s="589">
        <v>15</v>
      </c>
      <c r="H11" s="589">
        <v>9</v>
      </c>
      <c r="I11" s="589">
        <v>11</v>
      </c>
      <c r="J11" s="819">
        <f>+Actual!L$162/1000</f>
        <v>0</v>
      </c>
    </row>
    <row r="12" spans="2:19">
      <c r="B12" s="588">
        <v>8</v>
      </c>
      <c r="C12" s="589" t="str">
        <f t="shared" si="0"/>
        <v>Tuesday</v>
      </c>
      <c r="D12" s="590">
        <f t="shared" si="1"/>
        <v>46273</v>
      </c>
      <c r="E12" s="800">
        <v>0.33333333333333331</v>
      </c>
      <c r="F12" s="831">
        <v>4.9000000000000004</v>
      </c>
      <c r="G12" s="589">
        <v>15</v>
      </c>
      <c r="H12" s="589">
        <v>9</v>
      </c>
      <c r="I12" s="589">
        <v>11</v>
      </c>
      <c r="J12" s="819">
        <f>+Actual!M$162/1000</f>
        <v>0</v>
      </c>
    </row>
    <row r="13" spans="2:19">
      <c r="B13" s="588">
        <v>9</v>
      </c>
      <c r="C13" s="589" t="str">
        <f t="shared" si="0"/>
        <v>Wednesday</v>
      </c>
      <c r="D13" s="590">
        <f t="shared" si="1"/>
        <v>46274</v>
      </c>
      <c r="E13" s="591"/>
      <c r="F13" s="831"/>
      <c r="G13" s="589">
        <v>15</v>
      </c>
      <c r="H13" s="589">
        <v>9</v>
      </c>
      <c r="I13" s="589">
        <v>11</v>
      </c>
      <c r="J13" s="819">
        <f>+Actual!N$162/1000</f>
        <v>0</v>
      </c>
    </row>
    <row r="14" spans="2:19">
      <c r="B14" s="588">
        <v>10</v>
      </c>
      <c r="C14" s="589" t="str">
        <f t="shared" si="0"/>
        <v>Thursday</v>
      </c>
      <c r="D14" s="590">
        <f t="shared" si="1"/>
        <v>46275</v>
      </c>
      <c r="E14" s="800"/>
      <c r="F14" s="831"/>
      <c r="G14" s="589">
        <v>15</v>
      </c>
      <c r="H14" s="589">
        <v>9</v>
      </c>
      <c r="I14" s="589">
        <v>11</v>
      </c>
      <c r="J14" s="819">
        <f>+Actual!O$162/1000</f>
        <v>0</v>
      </c>
    </row>
    <row r="15" spans="2:19">
      <c r="B15" s="588">
        <v>11</v>
      </c>
      <c r="C15" s="589" t="str">
        <f t="shared" si="0"/>
        <v>Friday</v>
      </c>
      <c r="D15" s="590">
        <f t="shared" si="1"/>
        <v>46276</v>
      </c>
      <c r="E15" s="591"/>
      <c r="F15" s="831"/>
      <c r="G15" s="589">
        <v>15</v>
      </c>
      <c r="H15" s="589">
        <v>9</v>
      </c>
      <c r="I15" s="589">
        <v>11</v>
      </c>
      <c r="J15" s="819">
        <f>+Actual!P$162/1000</f>
        <v>0</v>
      </c>
    </row>
    <row r="16" spans="2:19">
      <c r="B16" s="588">
        <v>12</v>
      </c>
      <c r="C16" s="589" t="str">
        <f t="shared" si="0"/>
        <v>Saturday</v>
      </c>
      <c r="D16" s="590">
        <f t="shared" si="1"/>
        <v>46277</v>
      </c>
      <c r="E16" s="591"/>
      <c r="F16" s="831"/>
      <c r="G16" s="589">
        <v>15</v>
      </c>
      <c r="H16" s="589">
        <v>9</v>
      </c>
      <c r="I16" s="589">
        <v>11</v>
      </c>
      <c r="J16" s="819">
        <f>+Actual!Q$162/1000</f>
        <v>0</v>
      </c>
    </row>
    <row r="17" spans="2:10">
      <c r="B17" s="588">
        <v>13</v>
      </c>
      <c r="C17" s="589" t="str">
        <f t="shared" si="0"/>
        <v>Sunday</v>
      </c>
      <c r="D17" s="590">
        <f t="shared" si="1"/>
        <v>46278</v>
      </c>
      <c r="E17" s="591"/>
      <c r="F17" s="831"/>
      <c r="G17" s="589">
        <v>15</v>
      </c>
      <c r="H17" s="589">
        <v>9</v>
      </c>
      <c r="I17" s="589">
        <v>11</v>
      </c>
      <c r="J17" s="819">
        <f>+Actual!R$162/1000</f>
        <v>0</v>
      </c>
    </row>
    <row r="18" spans="2:10">
      <c r="B18" s="588">
        <v>14</v>
      </c>
      <c r="C18" s="589" t="str">
        <f t="shared" si="0"/>
        <v>Monday</v>
      </c>
      <c r="D18" s="590">
        <f t="shared" si="1"/>
        <v>46279</v>
      </c>
      <c r="E18" s="591"/>
      <c r="F18" s="831"/>
      <c r="G18" s="589">
        <v>15</v>
      </c>
      <c r="H18" s="589">
        <v>9</v>
      </c>
      <c r="I18" s="589">
        <v>11</v>
      </c>
      <c r="J18" s="819">
        <f>+Actual!S$162/1000</f>
        <v>0</v>
      </c>
    </row>
    <row r="19" spans="2:10">
      <c r="B19" s="588">
        <v>15</v>
      </c>
      <c r="C19" s="589" t="str">
        <f t="shared" si="0"/>
        <v>Tuesday</v>
      </c>
      <c r="D19" s="590">
        <f t="shared" si="1"/>
        <v>46280</v>
      </c>
      <c r="E19" s="591"/>
      <c r="F19" s="831"/>
      <c r="G19" s="589">
        <v>15</v>
      </c>
      <c r="H19" s="589">
        <v>9</v>
      </c>
      <c r="I19" s="589">
        <v>11</v>
      </c>
      <c r="J19" s="819">
        <f>+Actual!T$162/1000</f>
        <v>0</v>
      </c>
    </row>
    <row r="20" spans="2:10">
      <c r="B20" s="588">
        <v>16</v>
      </c>
      <c r="C20" s="589" t="str">
        <f t="shared" si="0"/>
        <v>Wednesday</v>
      </c>
      <c r="D20" s="590">
        <f t="shared" si="1"/>
        <v>46281</v>
      </c>
      <c r="E20" s="591"/>
      <c r="F20" s="831"/>
      <c r="G20" s="589">
        <v>15</v>
      </c>
      <c r="H20" s="589">
        <v>9</v>
      </c>
      <c r="I20" s="589">
        <v>11</v>
      </c>
      <c r="J20" s="819">
        <f>+Actual!U$162/1000</f>
        <v>0</v>
      </c>
    </row>
    <row r="21" spans="2:10">
      <c r="B21" s="588">
        <v>17</v>
      </c>
      <c r="C21" s="589" t="str">
        <f t="shared" si="0"/>
        <v>Thursday</v>
      </c>
      <c r="D21" s="590">
        <f t="shared" si="1"/>
        <v>46282</v>
      </c>
      <c r="E21" s="591"/>
      <c r="F21" s="831"/>
      <c r="G21" s="589">
        <v>15</v>
      </c>
      <c r="H21" s="589">
        <v>9</v>
      </c>
      <c r="I21" s="589">
        <v>11</v>
      </c>
      <c r="J21" s="819">
        <f>+Actual!V$162/1000</f>
        <v>0</v>
      </c>
    </row>
    <row r="22" spans="2:10">
      <c r="B22" s="588">
        <v>18</v>
      </c>
      <c r="C22" s="589" t="str">
        <f t="shared" si="0"/>
        <v>Friday</v>
      </c>
      <c r="D22" s="590">
        <f t="shared" si="1"/>
        <v>46283</v>
      </c>
      <c r="E22" s="591"/>
      <c r="F22" s="831"/>
      <c r="G22" s="589">
        <v>15</v>
      </c>
      <c r="H22" s="589">
        <v>9</v>
      </c>
      <c r="I22" s="589">
        <v>11</v>
      </c>
      <c r="J22" s="819">
        <f>+Actual!W$162/1000</f>
        <v>0</v>
      </c>
    </row>
    <row r="23" spans="2:10">
      <c r="B23" s="588">
        <v>19</v>
      </c>
      <c r="C23" s="589" t="str">
        <f t="shared" si="0"/>
        <v>Saturday</v>
      </c>
      <c r="D23" s="590">
        <f t="shared" si="1"/>
        <v>46284</v>
      </c>
      <c r="E23" s="591"/>
      <c r="F23" s="831"/>
      <c r="G23" s="589">
        <v>15</v>
      </c>
      <c r="H23" s="589">
        <v>9</v>
      </c>
      <c r="I23" s="589">
        <v>11</v>
      </c>
      <c r="J23" s="819">
        <f>+Actual!X$162/1000</f>
        <v>0</v>
      </c>
    </row>
    <row r="24" spans="2:10">
      <c r="B24" s="588">
        <v>20</v>
      </c>
      <c r="C24" s="589" t="str">
        <f t="shared" si="0"/>
        <v>Sunday</v>
      </c>
      <c r="D24" s="590">
        <f t="shared" si="1"/>
        <v>46285</v>
      </c>
      <c r="E24" s="591"/>
      <c r="F24" s="831"/>
      <c r="G24" s="589">
        <v>15</v>
      </c>
      <c r="H24" s="589">
        <v>9</v>
      </c>
      <c r="I24" s="589">
        <v>11</v>
      </c>
      <c r="J24" s="819">
        <f>+Actual!Y$162/1000</f>
        <v>0</v>
      </c>
    </row>
    <row r="25" spans="2:10">
      <c r="B25" s="588">
        <v>21</v>
      </c>
      <c r="C25" s="589" t="str">
        <f t="shared" si="0"/>
        <v>Monday</v>
      </c>
      <c r="D25" s="590">
        <f t="shared" si="1"/>
        <v>46286</v>
      </c>
      <c r="E25" s="591"/>
      <c r="F25" s="831"/>
      <c r="G25" s="589">
        <v>15</v>
      </c>
      <c r="H25" s="589">
        <v>9</v>
      </c>
      <c r="I25" s="589">
        <v>11</v>
      </c>
      <c r="J25" s="819">
        <f>+Actual!Z$162/1000</f>
        <v>0</v>
      </c>
    </row>
    <row r="26" spans="2:10">
      <c r="B26" s="588">
        <v>22</v>
      </c>
      <c r="C26" s="589" t="str">
        <f t="shared" si="0"/>
        <v>Tuesday</v>
      </c>
      <c r="D26" s="590">
        <f t="shared" si="1"/>
        <v>46287</v>
      </c>
      <c r="E26" s="591"/>
      <c r="F26" s="831"/>
      <c r="G26" s="589">
        <v>15</v>
      </c>
      <c r="H26" s="589">
        <v>9</v>
      </c>
      <c r="I26" s="589">
        <v>11</v>
      </c>
      <c r="J26" s="819">
        <f>+Actual!AA$162/1000</f>
        <v>0</v>
      </c>
    </row>
    <row r="27" spans="2:10">
      <c r="B27" s="588">
        <v>23</v>
      </c>
      <c r="C27" s="589" t="str">
        <f t="shared" si="0"/>
        <v>Wednesday</v>
      </c>
      <c r="D27" s="590">
        <f t="shared" si="1"/>
        <v>46288</v>
      </c>
      <c r="E27" s="591"/>
      <c r="F27" s="831"/>
      <c r="G27" s="589">
        <v>15</v>
      </c>
      <c r="H27" s="589">
        <v>9</v>
      </c>
      <c r="I27" s="589">
        <v>11</v>
      </c>
      <c r="J27" s="819">
        <f>+Actual!AB$162/1000</f>
        <v>0</v>
      </c>
    </row>
    <row r="28" spans="2:10">
      <c r="B28" s="588">
        <v>24</v>
      </c>
      <c r="C28" s="589" t="str">
        <f t="shared" si="0"/>
        <v>Thursday</v>
      </c>
      <c r="D28" s="590">
        <f t="shared" si="1"/>
        <v>46289</v>
      </c>
      <c r="E28" s="591"/>
      <c r="F28" s="831"/>
      <c r="G28" s="589">
        <v>15</v>
      </c>
      <c r="H28" s="589">
        <v>9</v>
      </c>
      <c r="I28" s="589">
        <v>11</v>
      </c>
      <c r="J28" s="819">
        <f>+Actual!AC$162/1000</f>
        <v>0</v>
      </c>
    </row>
    <row r="29" spans="2:10">
      <c r="B29" s="588">
        <v>25</v>
      </c>
      <c r="C29" s="589" t="str">
        <f t="shared" si="0"/>
        <v>Friday</v>
      </c>
      <c r="D29" s="590">
        <f t="shared" si="1"/>
        <v>46290</v>
      </c>
      <c r="E29" s="591"/>
      <c r="F29" s="831"/>
      <c r="G29" s="589">
        <v>15</v>
      </c>
      <c r="H29" s="589">
        <v>9</v>
      </c>
      <c r="I29" s="589">
        <v>11</v>
      </c>
      <c r="J29" s="819">
        <f>+Actual!AD$162/1000</f>
        <v>0</v>
      </c>
    </row>
    <row r="30" spans="2:10">
      <c r="B30" s="588">
        <v>26</v>
      </c>
      <c r="C30" s="589" t="str">
        <f t="shared" si="0"/>
        <v>Saturday</v>
      </c>
      <c r="D30" s="590">
        <f t="shared" si="1"/>
        <v>46291</v>
      </c>
      <c r="E30" s="800"/>
      <c r="F30" s="831"/>
      <c r="G30" s="589">
        <v>15</v>
      </c>
      <c r="H30" s="589">
        <v>9</v>
      </c>
      <c r="I30" s="589">
        <v>11</v>
      </c>
      <c r="J30" s="819">
        <f>+Actual!AE$162/1000</f>
        <v>0</v>
      </c>
    </row>
    <row r="31" spans="2:10">
      <c r="B31" s="588">
        <v>27</v>
      </c>
      <c r="C31" s="589" t="str">
        <f t="shared" si="0"/>
        <v>Sunday</v>
      </c>
      <c r="D31" s="590">
        <f t="shared" si="1"/>
        <v>46292</v>
      </c>
      <c r="E31" s="591"/>
      <c r="F31" s="831"/>
      <c r="G31" s="589">
        <v>15</v>
      </c>
      <c r="H31" s="589">
        <v>9</v>
      </c>
      <c r="I31" s="589">
        <v>11</v>
      </c>
      <c r="J31" s="819">
        <f>+Actual!AF$162/1000</f>
        <v>0</v>
      </c>
    </row>
    <row r="32" spans="2:10">
      <c r="B32" s="588">
        <v>28</v>
      </c>
      <c r="C32" s="589" t="str">
        <f t="shared" si="0"/>
        <v>Monday</v>
      </c>
      <c r="D32" s="590">
        <f t="shared" si="1"/>
        <v>46293</v>
      </c>
      <c r="E32" s="591"/>
      <c r="F32" s="831"/>
      <c r="G32" s="589">
        <v>15</v>
      </c>
      <c r="H32" s="589">
        <v>9</v>
      </c>
      <c r="I32" s="589">
        <v>11</v>
      </c>
      <c r="J32" s="819">
        <f>+Actual!AG$162/1000</f>
        <v>0</v>
      </c>
    </row>
    <row r="33" spans="2:10">
      <c r="B33" s="588">
        <v>29</v>
      </c>
      <c r="C33" s="589" t="str">
        <f t="shared" si="0"/>
        <v>Tuesday</v>
      </c>
      <c r="D33" s="590">
        <f t="shared" si="1"/>
        <v>46294</v>
      </c>
      <c r="E33" s="591"/>
      <c r="F33" s="831"/>
      <c r="G33" s="589">
        <v>15</v>
      </c>
      <c r="H33" s="589">
        <v>9</v>
      </c>
      <c r="I33" s="589">
        <v>11</v>
      </c>
      <c r="J33" s="819">
        <f>+Actual!AH$162/1000</f>
        <v>0</v>
      </c>
    </row>
    <row r="34" spans="2:10">
      <c r="B34" s="588">
        <v>30</v>
      </c>
      <c r="C34" s="589" t="str">
        <f t="shared" si="0"/>
        <v>Wednesday</v>
      </c>
      <c r="D34" s="590">
        <f t="shared" si="1"/>
        <v>46295</v>
      </c>
      <c r="E34" s="591"/>
      <c r="F34" s="831"/>
      <c r="G34" s="589">
        <v>15</v>
      </c>
      <c r="H34" s="589">
        <v>9</v>
      </c>
      <c r="I34" s="589">
        <v>11</v>
      </c>
      <c r="J34" s="819">
        <f>+Actual!AI$162/1000</f>
        <v>0</v>
      </c>
    </row>
    <row r="35" spans="2:10">
      <c r="B35" s="799">
        <v>31</v>
      </c>
      <c r="C35" s="589" t="str">
        <f t="shared" si="0"/>
        <v>Thursday</v>
      </c>
      <c r="D35" s="590">
        <f t="shared" si="1"/>
        <v>46296</v>
      </c>
      <c r="E35" s="591"/>
      <c r="F35" s="831"/>
      <c r="G35" s="589">
        <v>15</v>
      </c>
      <c r="H35" s="589">
        <v>9</v>
      </c>
      <c r="I35" s="589">
        <v>11</v>
      </c>
      <c r="J35" s="819">
        <f>+Actual!AJ$162/1000</f>
        <v>0</v>
      </c>
    </row>
    <row r="36" spans="2:10">
      <c r="B36" s="588">
        <v>32</v>
      </c>
      <c r="C36" s="589" t="str">
        <f t="shared" si="0"/>
        <v>Friday</v>
      </c>
      <c r="D36" s="590">
        <f>D35+1</f>
        <v>46297</v>
      </c>
      <c r="E36" s="591"/>
      <c r="F36" s="831"/>
      <c r="G36" s="589">
        <v>15</v>
      </c>
      <c r="H36" s="589">
        <v>9</v>
      </c>
      <c r="I36" s="589">
        <v>11</v>
      </c>
      <c r="J36" s="819"/>
    </row>
  </sheetData>
  <sheetProtection formatCells="0" formatColumns="0" formatRows="0" insertColumns="0" insertRows="0" insertHyperlinks="0" deleteColumns="0" deleteRows="0" sort="0" autoFilter="0" pivotTables="0"/>
  <mergeCells count="2">
    <mergeCell ref="B2:F2"/>
    <mergeCell ref="B3:F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B1:I35"/>
  <sheetViews>
    <sheetView topLeftCell="A4" zoomScaleNormal="100" workbookViewId="0">
      <selection activeCell="R27" sqref="R27"/>
    </sheetView>
  </sheetViews>
  <sheetFormatPr defaultRowHeight="14.45"/>
  <cols>
    <col min="1" max="1" width="3.7109375" customWidth="1"/>
    <col min="2" max="2" width="9.28515625" bestFit="1" customWidth="1"/>
    <col min="3" max="3" width="17.140625" bestFit="1" customWidth="1"/>
    <col min="4" max="4" width="15.85546875" bestFit="1" customWidth="1"/>
    <col min="5" max="5" width="24.7109375" bestFit="1" customWidth="1"/>
    <col min="6" max="6" width="9.85546875" bestFit="1" customWidth="1"/>
  </cols>
  <sheetData>
    <row r="1" spans="2:9">
      <c r="C1" t="s">
        <v>592</v>
      </c>
      <c r="D1" s="86">
        <f>Outlook!N29+Outlook!N30</f>
        <v>96</v>
      </c>
    </row>
    <row r="2" spans="2:9">
      <c r="D2" s="86"/>
    </row>
    <row r="3" spans="2:9">
      <c r="B3" s="593" t="s">
        <v>5</v>
      </c>
      <c r="C3" s="593" t="s">
        <v>593</v>
      </c>
      <c r="D3" t="s">
        <v>594</v>
      </c>
      <c r="E3" t="s">
        <v>595</v>
      </c>
      <c r="F3" t="s">
        <v>596</v>
      </c>
      <c r="G3" t="s">
        <v>597</v>
      </c>
      <c r="H3" s="1115" t="s">
        <v>598</v>
      </c>
    </row>
    <row r="4" spans="2:9">
      <c r="B4" s="794">
        <v>45505</v>
      </c>
      <c r="C4" s="86">
        <f>+D1/COUNT(B4:B34)</f>
        <v>3.096774193548387</v>
      </c>
      <c r="D4" s="86">
        <f>+Actual!$F$195</f>
        <v>0</v>
      </c>
      <c r="E4" s="86">
        <f>+Actual!$F$196</f>
        <v>0</v>
      </c>
      <c r="F4" s="86">
        <f>+MAX(D4:E4)</f>
        <v>0</v>
      </c>
      <c r="G4" s="86">
        <f>Sheet1!$C3</f>
        <v>0</v>
      </c>
      <c r="H4" s="1115">
        <f t="shared" ref="H4:H34" si="0">+F4</f>
        <v>0</v>
      </c>
    </row>
    <row r="5" spans="2:9">
      <c r="B5" s="794">
        <v>45506</v>
      </c>
      <c r="C5" s="86">
        <f>+C4</f>
        <v>3.096774193548387</v>
      </c>
      <c r="D5" s="86">
        <f>+Actual!G$195</f>
        <v>0</v>
      </c>
      <c r="E5" s="86">
        <f>+Actual!$G$196</f>
        <v>0</v>
      </c>
      <c r="F5" s="86">
        <f>+MAX(D5:E5)</f>
        <v>0</v>
      </c>
      <c r="G5" s="86">
        <f>Sheet1!$C4</f>
        <v>0</v>
      </c>
      <c r="H5" s="1115">
        <f t="shared" si="0"/>
        <v>0</v>
      </c>
    </row>
    <row r="6" spans="2:9">
      <c r="B6" s="794">
        <v>45507</v>
      </c>
      <c r="C6" s="86">
        <f t="shared" ref="C6:C34" si="1">+C5</f>
        <v>3.096774193548387</v>
      </c>
      <c r="D6" s="86">
        <f>+Actual!H$195</f>
        <v>0</v>
      </c>
      <c r="E6" s="86">
        <f>+Actual!H$196</f>
        <v>0</v>
      </c>
      <c r="F6" s="86">
        <f t="shared" ref="F6:F34" si="2">+MAX(D6:E6)</f>
        <v>0</v>
      </c>
      <c r="G6" s="86">
        <f>Sheet1!$C5</f>
        <v>0</v>
      </c>
      <c r="H6" s="1115">
        <f t="shared" si="0"/>
        <v>0</v>
      </c>
    </row>
    <row r="7" spans="2:9">
      <c r="B7" s="794">
        <v>45508</v>
      </c>
      <c r="C7" s="86">
        <f t="shared" si="1"/>
        <v>3.096774193548387</v>
      </c>
      <c r="D7" s="86">
        <f>+Actual!I$195</f>
        <v>0</v>
      </c>
      <c r="E7" s="86">
        <f>+Actual!I$196</f>
        <v>0</v>
      </c>
      <c r="F7" s="86">
        <f t="shared" si="2"/>
        <v>0</v>
      </c>
      <c r="G7" s="86">
        <f>Sheet1!$C6</f>
        <v>0</v>
      </c>
      <c r="H7" s="1115">
        <f t="shared" si="0"/>
        <v>0</v>
      </c>
    </row>
    <row r="8" spans="2:9">
      <c r="B8" s="794">
        <v>45509</v>
      </c>
      <c r="C8" s="86">
        <f t="shared" si="1"/>
        <v>3.096774193548387</v>
      </c>
      <c r="D8" s="86">
        <f>+Actual!J$195</f>
        <v>0</v>
      </c>
      <c r="E8" s="86">
        <f>+Actual!J$196</f>
        <v>0</v>
      </c>
      <c r="F8" s="86">
        <f t="shared" si="2"/>
        <v>0</v>
      </c>
      <c r="G8" s="86">
        <f>Sheet1!$C7</f>
        <v>1312.8979999999999</v>
      </c>
      <c r="H8" s="1115">
        <f t="shared" si="0"/>
        <v>0</v>
      </c>
    </row>
    <row r="9" spans="2:9">
      <c r="B9" s="794">
        <v>45510</v>
      </c>
      <c r="C9" s="86">
        <f t="shared" si="1"/>
        <v>3.096774193548387</v>
      </c>
      <c r="D9" s="86">
        <f>+Actual!K$195</f>
        <v>0</v>
      </c>
      <c r="E9" s="86">
        <f>+Actual!K$196</f>
        <v>0</v>
      </c>
      <c r="F9" s="86">
        <f t="shared" si="2"/>
        <v>0</v>
      </c>
      <c r="G9" s="86">
        <f>Sheet1!$C8</f>
        <v>0</v>
      </c>
      <c r="H9" s="1115">
        <f t="shared" si="0"/>
        <v>0</v>
      </c>
    </row>
    <row r="10" spans="2:9">
      <c r="B10" s="794">
        <v>45511</v>
      </c>
      <c r="C10" s="86">
        <f t="shared" si="1"/>
        <v>3.096774193548387</v>
      </c>
      <c r="D10" s="86">
        <f>+Actual!L$195</f>
        <v>0</v>
      </c>
      <c r="E10" s="86">
        <f>+Actual!L$196</f>
        <v>0</v>
      </c>
      <c r="F10" s="86">
        <f t="shared" si="2"/>
        <v>0</v>
      </c>
      <c r="G10" s="86">
        <f>Sheet1!$C9</f>
        <v>0</v>
      </c>
      <c r="H10" s="1115">
        <f t="shared" si="0"/>
        <v>0</v>
      </c>
    </row>
    <row r="11" spans="2:9">
      <c r="B11" s="794">
        <v>45512</v>
      </c>
      <c r="C11" s="86">
        <f t="shared" si="1"/>
        <v>3.096774193548387</v>
      </c>
      <c r="D11" s="86">
        <f>+Actual!M$195</f>
        <v>0</v>
      </c>
      <c r="E11" s="86">
        <f>+Actual!M$196</f>
        <v>0</v>
      </c>
      <c r="F11" s="86">
        <f t="shared" si="2"/>
        <v>0</v>
      </c>
      <c r="G11" s="86">
        <f>Sheet1!$C10</f>
        <v>0</v>
      </c>
      <c r="H11" s="1115">
        <f t="shared" si="0"/>
        <v>0</v>
      </c>
    </row>
    <row r="12" spans="2:9">
      <c r="B12" s="794">
        <v>45513</v>
      </c>
      <c r="C12" s="86">
        <f t="shared" si="1"/>
        <v>3.096774193548387</v>
      </c>
      <c r="D12" s="86">
        <f>+Actual!N$195</f>
        <v>0</v>
      </c>
      <c r="E12" s="86">
        <f>+Actual!N$196</f>
        <v>0</v>
      </c>
      <c r="F12" s="86">
        <f t="shared" si="2"/>
        <v>0</v>
      </c>
      <c r="G12" s="86">
        <f>Sheet1!$C11</f>
        <v>0</v>
      </c>
      <c r="H12" s="1115">
        <f t="shared" si="0"/>
        <v>0</v>
      </c>
    </row>
    <row r="13" spans="2:9">
      <c r="B13" s="794">
        <v>45514</v>
      </c>
      <c r="C13" s="86">
        <f t="shared" si="1"/>
        <v>3.096774193548387</v>
      </c>
      <c r="D13" s="86">
        <f>+Actual!O$195</f>
        <v>0</v>
      </c>
      <c r="E13" s="86">
        <f>+Actual!O$196</f>
        <v>0</v>
      </c>
      <c r="F13" s="86">
        <f t="shared" si="2"/>
        <v>0</v>
      </c>
      <c r="G13" s="86">
        <f>Sheet1!$C12</f>
        <v>0</v>
      </c>
      <c r="H13" s="1115">
        <f t="shared" si="0"/>
        <v>0</v>
      </c>
      <c r="I13" s="362"/>
    </row>
    <row r="14" spans="2:9">
      <c r="B14" s="794">
        <v>45515</v>
      </c>
      <c r="C14" s="86">
        <f t="shared" si="1"/>
        <v>3.096774193548387</v>
      </c>
      <c r="D14" s="86">
        <f>+Actual!P$195</f>
        <v>0</v>
      </c>
      <c r="E14" s="86">
        <f>+Actual!P$196</f>
        <v>0</v>
      </c>
      <c r="F14" s="86">
        <f t="shared" si="2"/>
        <v>0</v>
      </c>
      <c r="G14" s="86">
        <f>Sheet1!$C13</f>
        <v>0</v>
      </c>
      <c r="H14" s="1115">
        <f t="shared" si="0"/>
        <v>0</v>
      </c>
      <c r="I14" s="362">
        <f t="shared" ref="I14:I23" si="3">H14*20%</f>
        <v>0</v>
      </c>
    </row>
    <row r="15" spans="2:9">
      <c r="B15" s="794">
        <v>45516</v>
      </c>
      <c r="C15" s="86">
        <f t="shared" si="1"/>
        <v>3.096774193548387</v>
      </c>
      <c r="D15" s="86">
        <f>+Actual!Q$195</f>
        <v>0</v>
      </c>
      <c r="E15" s="86">
        <f>+Actual!Q$196</f>
        <v>0</v>
      </c>
      <c r="F15" s="86">
        <f t="shared" si="2"/>
        <v>0</v>
      </c>
      <c r="G15" s="86">
        <f>Sheet1!$C14</f>
        <v>0</v>
      </c>
      <c r="H15" s="1115">
        <f t="shared" si="0"/>
        <v>0</v>
      </c>
      <c r="I15" s="362">
        <f t="shared" si="3"/>
        <v>0</v>
      </c>
    </row>
    <row r="16" spans="2:9">
      <c r="B16" s="794">
        <v>45517</v>
      </c>
      <c r="C16" s="86">
        <f t="shared" si="1"/>
        <v>3.096774193548387</v>
      </c>
      <c r="D16" s="86">
        <f>+Actual!R$195</f>
        <v>0</v>
      </c>
      <c r="E16" s="86">
        <f>+Actual!R$196</f>
        <v>0</v>
      </c>
      <c r="F16" s="86">
        <f t="shared" si="2"/>
        <v>0</v>
      </c>
      <c r="G16" s="86">
        <f>Sheet1!$C15</f>
        <v>0</v>
      </c>
      <c r="H16" s="1115">
        <f t="shared" si="0"/>
        <v>0</v>
      </c>
      <c r="I16" s="362">
        <f t="shared" si="3"/>
        <v>0</v>
      </c>
    </row>
    <row r="17" spans="2:9">
      <c r="B17" s="794">
        <v>45518</v>
      </c>
      <c r="C17" s="86">
        <f t="shared" si="1"/>
        <v>3.096774193548387</v>
      </c>
      <c r="D17" s="86">
        <f>+Actual!S$195</f>
        <v>0</v>
      </c>
      <c r="E17" s="86">
        <f>+Actual!S$196</f>
        <v>0</v>
      </c>
      <c r="F17" s="86">
        <f t="shared" si="2"/>
        <v>0</v>
      </c>
      <c r="G17" s="86">
        <f>Sheet1!$C16</f>
        <v>0</v>
      </c>
      <c r="H17" s="1115">
        <f t="shared" si="0"/>
        <v>0</v>
      </c>
      <c r="I17" s="362">
        <f t="shared" si="3"/>
        <v>0</v>
      </c>
    </row>
    <row r="18" spans="2:9">
      <c r="B18" s="794">
        <v>45519</v>
      </c>
      <c r="C18" s="86">
        <f t="shared" si="1"/>
        <v>3.096774193548387</v>
      </c>
      <c r="D18" s="86">
        <f>+Actual!T$195</f>
        <v>0</v>
      </c>
      <c r="E18" s="86">
        <f>+Actual!T$196</f>
        <v>0</v>
      </c>
      <c r="F18" s="86">
        <f t="shared" si="2"/>
        <v>0</v>
      </c>
      <c r="G18" s="86">
        <f>Sheet1!$C17</f>
        <v>0</v>
      </c>
      <c r="H18" s="1115">
        <f t="shared" si="0"/>
        <v>0</v>
      </c>
      <c r="I18" s="362">
        <f t="shared" si="3"/>
        <v>0</v>
      </c>
    </row>
    <row r="19" spans="2:9">
      <c r="B19" s="794">
        <v>45520</v>
      </c>
      <c r="C19" s="86">
        <f t="shared" si="1"/>
        <v>3.096774193548387</v>
      </c>
      <c r="D19" s="86">
        <f>+Actual!U$195</f>
        <v>0</v>
      </c>
      <c r="E19" s="86">
        <f>+Actual!U$196</f>
        <v>0</v>
      </c>
      <c r="F19" s="86">
        <f t="shared" si="2"/>
        <v>0</v>
      </c>
      <c r="G19" s="86">
        <f>Sheet1!$C18</f>
        <v>0</v>
      </c>
      <c r="H19" s="1115">
        <f t="shared" si="0"/>
        <v>0</v>
      </c>
      <c r="I19" s="362">
        <f t="shared" si="3"/>
        <v>0</v>
      </c>
    </row>
    <row r="20" spans="2:9">
      <c r="B20" s="794">
        <v>45521</v>
      </c>
      <c r="C20" s="86">
        <f t="shared" si="1"/>
        <v>3.096774193548387</v>
      </c>
      <c r="D20" s="86">
        <f>+Actual!V$195</f>
        <v>0</v>
      </c>
      <c r="E20" s="86">
        <f>+Actual!V$196</f>
        <v>0</v>
      </c>
      <c r="F20" s="86">
        <f t="shared" si="2"/>
        <v>0</v>
      </c>
      <c r="G20" s="86">
        <f>Sheet1!$C19</f>
        <v>0</v>
      </c>
      <c r="H20" s="1115">
        <f t="shared" si="0"/>
        <v>0</v>
      </c>
      <c r="I20" s="362">
        <f t="shared" si="3"/>
        <v>0</v>
      </c>
    </row>
    <row r="21" spans="2:9">
      <c r="B21" s="794">
        <v>45522</v>
      </c>
      <c r="C21" s="86">
        <f t="shared" si="1"/>
        <v>3.096774193548387</v>
      </c>
      <c r="D21" s="86">
        <f>+Actual!W$195</f>
        <v>0</v>
      </c>
      <c r="E21" s="86">
        <f>+Actual!W$196</f>
        <v>0</v>
      </c>
      <c r="F21" s="86">
        <f t="shared" si="2"/>
        <v>0</v>
      </c>
      <c r="G21" s="86">
        <f>Sheet1!$C20</f>
        <v>0</v>
      </c>
      <c r="H21" s="1115">
        <f t="shared" si="0"/>
        <v>0</v>
      </c>
      <c r="I21" s="362">
        <f t="shared" si="3"/>
        <v>0</v>
      </c>
    </row>
    <row r="22" spans="2:9">
      <c r="B22" s="794">
        <v>45523</v>
      </c>
      <c r="C22" s="86">
        <f t="shared" si="1"/>
        <v>3.096774193548387</v>
      </c>
      <c r="D22" s="86">
        <f>+Actual!X$195</f>
        <v>0</v>
      </c>
      <c r="E22" s="86">
        <f>+Actual!X$196</f>
        <v>0</v>
      </c>
      <c r="F22" s="86">
        <f t="shared" si="2"/>
        <v>0</v>
      </c>
      <c r="G22" s="86">
        <f>Sheet1!$C21</f>
        <v>0</v>
      </c>
      <c r="H22" s="1115">
        <f t="shared" si="0"/>
        <v>0</v>
      </c>
      <c r="I22" s="362">
        <f t="shared" si="3"/>
        <v>0</v>
      </c>
    </row>
    <row r="23" spans="2:9">
      <c r="B23" s="794">
        <v>45524</v>
      </c>
      <c r="C23" s="86">
        <f t="shared" si="1"/>
        <v>3.096774193548387</v>
      </c>
      <c r="D23" s="86">
        <f>+Actual!Y$195</f>
        <v>0</v>
      </c>
      <c r="E23" s="86">
        <f>+Actual!Y$196</f>
        <v>0</v>
      </c>
      <c r="F23" s="86">
        <f t="shared" si="2"/>
        <v>0</v>
      </c>
      <c r="G23" s="86">
        <f>Sheet1!$C22</f>
        <v>0</v>
      </c>
      <c r="H23" s="1115">
        <f t="shared" si="0"/>
        <v>0</v>
      </c>
      <c r="I23" s="362">
        <f t="shared" si="3"/>
        <v>0</v>
      </c>
    </row>
    <row r="24" spans="2:9">
      <c r="B24" s="794">
        <v>45525</v>
      </c>
      <c r="C24" s="86">
        <f t="shared" si="1"/>
        <v>3.096774193548387</v>
      </c>
      <c r="D24" s="86">
        <f>+Actual!Z$195</f>
        <v>0</v>
      </c>
      <c r="E24" s="86">
        <f>+Actual!Z$196</f>
        <v>0</v>
      </c>
      <c r="F24" s="86">
        <f>+MAX(D24:E24)</f>
        <v>0</v>
      </c>
      <c r="G24" s="86">
        <f>Sheet1!$C23</f>
        <v>0</v>
      </c>
      <c r="H24" s="1115">
        <f t="shared" si="0"/>
        <v>0</v>
      </c>
    </row>
    <row r="25" spans="2:9">
      <c r="B25" s="794">
        <v>45526</v>
      </c>
      <c r="C25" s="86">
        <f t="shared" si="1"/>
        <v>3.096774193548387</v>
      </c>
      <c r="D25" s="86">
        <f>+Actual!AA$195</f>
        <v>0</v>
      </c>
      <c r="E25" s="86">
        <f>+Actual!AA$196</f>
        <v>0</v>
      </c>
      <c r="F25" s="86">
        <f t="shared" si="2"/>
        <v>0</v>
      </c>
      <c r="G25" s="86">
        <f>Sheet1!$C24</f>
        <v>0</v>
      </c>
      <c r="H25" s="1115">
        <f t="shared" si="0"/>
        <v>0</v>
      </c>
    </row>
    <row r="26" spans="2:9">
      <c r="B26" s="794">
        <v>45527</v>
      </c>
      <c r="C26" s="86">
        <f t="shared" si="1"/>
        <v>3.096774193548387</v>
      </c>
      <c r="D26" s="86">
        <f>+Actual!AB$195</f>
        <v>0</v>
      </c>
      <c r="E26" s="86">
        <f>+Actual!AB$196</f>
        <v>0</v>
      </c>
      <c r="F26" s="86">
        <f t="shared" si="2"/>
        <v>0</v>
      </c>
      <c r="G26" s="86">
        <f>Sheet1!$C25</f>
        <v>0</v>
      </c>
      <c r="H26" s="1115">
        <f t="shared" si="0"/>
        <v>0</v>
      </c>
    </row>
    <row r="27" spans="2:9">
      <c r="B27" s="794">
        <v>45528</v>
      </c>
      <c r="C27" s="86">
        <f t="shared" si="1"/>
        <v>3.096774193548387</v>
      </c>
      <c r="D27" s="86">
        <f>+Actual!AC$195</f>
        <v>0</v>
      </c>
      <c r="E27" s="86">
        <f>+Actual!AC$196</f>
        <v>0</v>
      </c>
      <c r="F27" s="86">
        <f t="shared" si="2"/>
        <v>0</v>
      </c>
      <c r="G27" s="86">
        <f>Sheet1!$C26</f>
        <v>0</v>
      </c>
      <c r="H27" s="1115">
        <f t="shared" si="0"/>
        <v>0</v>
      </c>
    </row>
    <row r="28" spans="2:9">
      <c r="B28" s="794">
        <v>45529</v>
      </c>
      <c r="C28" s="86">
        <f t="shared" si="1"/>
        <v>3.096774193548387</v>
      </c>
      <c r="D28" s="86">
        <f>+Actual!AD$195</f>
        <v>0</v>
      </c>
      <c r="E28" s="86">
        <f>+Actual!AD$196</f>
        <v>0</v>
      </c>
      <c r="F28" s="86">
        <f t="shared" si="2"/>
        <v>0</v>
      </c>
      <c r="G28" s="86">
        <f>Sheet1!$C27</f>
        <v>0</v>
      </c>
      <c r="H28" s="1115">
        <f t="shared" si="0"/>
        <v>0</v>
      </c>
    </row>
    <row r="29" spans="2:9">
      <c r="B29" s="794">
        <v>45530</v>
      </c>
      <c r="C29" s="86">
        <f t="shared" si="1"/>
        <v>3.096774193548387</v>
      </c>
      <c r="D29" s="86">
        <f>+Actual!AE$195</f>
        <v>0</v>
      </c>
      <c r="E29" s="86">
        <f>+Actual!AE$196</f>
        <v>0</v>
      </c>
      <c r="F29" s="86">
        <f t="shared" si="2"/>
        <v>0</v>
      </c>
      <c r="G29" s="86">
        <f>Sheet1!$C28</f>
        <v>0</v>
      </c>
      <c r="H29" s="1115">
        <f t="shared" si="0"/>
        <v>0</v>
      </c>
    </row>
    <row r="30" spans="2:9">
      <c r="B30" s="794">
        <v>45531</v>
      </c>
      <c r="C30" s="86">
        <f t="shared" si="1"/>
        <v>3.096774193548387</v>
      </c>
      <c r="D30" s="86">
        <f>+Actual!AF$195</f>
        <v>0</v>
      </c>
      <c r="E30" s="86">
        <f>+Actual!AF$196</f>
        <v>0</v>
      </c>
      <c r="F30" s="86">
        <f t="shared" si="2"/>
        <v>0</v>
      </c>
      <c r="G30" s="86">
        <f>Sheet1!$C29</f>
        <v>0</v>
      </c>
      <c r="H30" s="1115">
        <f t="shared" si="0"/>
        <v>0</v>
      </c>
    </row>
    <row r="31" spans="2:9">
      <c r="B31" s="794">
        <v>45532</v>
      </c>
      <c r="C31" s="86">
        <f t="shared" si="1"/>
        <v>3.096774193548387</v>
      </c>
      <c r="D31" s="86">
        <f>+Actual!AG$195</f>
        <v>0</v>
      </c>
      <c r="E31" s="86">
        <f>+Actual!AG$196</f>
        <v>0</v>
      </c>
      <c r="F31" s="86">
        <f t="shared" si="2"/>
        <v>0</v>
      </c>
      <c r="G31" s="86">
        <f>Sheet1!$C30</f>
        <v>0</v>
      </c>
      <c r="H31" s="1115">
        <f t="shared" si="0"/>
        <v>0</v>
      </c>
    </row>
    <row r="32" spans="2:9">
      <c r="B32" s="794">
        <v>45533</v>
      </c>
      <c r="C32" s="86">
        <f t="shared" si="1"/>
        <v>3.096774193548387</v>
      </c>
      <c r="D32" s="86">
        <f>+Actual!AH$195</f>
        <v>0</v>
      </c>
      <c r="E32" s="86">
        <f>+Actual!AH$196</f>
        <v>0</v>
      </c>
      <c r="F32" s="86">
        <f t="shared" si="2"/>
        <v>0</v>
      </c>
      <c r="G32" s="86">
        <f>Sheet1!$C31</f>
        <v>0</v>
      </c>
      <c r="H32" s="1115">
        <f t="shared" si="0"/>
        <v>0</v>
      </c>
    </row>
    <row r="33" spans="2:8">
      <c r="B33" s="794">
        <v>45534</v>
      </c>
      <c r="C33" s="86">
        <f t="shared" si="1"/>
        <v>3.096774193548387</v>
      </c>
      <c r="D33" s="86">
        <f>+Actual!AI$195</f>
        <v>0</v>
      </c>
      <c r="E33" s="86">
        <f>+Actual!AI$196</f>
        <v>0</v>
      </c>
      <c r="F33" s="86">
        <f t="shared" si="2"/>
        <v>0</v>
      </c>
      <c r="G33" s="86">
        <f>Sheet1!$C32</f>
        <v>0</v>
      </c>
      <c r="H33" s="1115">
        <f t="shared" si="0"/>
        <v>0</v>
      </c>
    </row>
    <row r="34" spans="2:8">
      <c r="B34" s="794">
        <v>45535</v>
      </c>
      <c r="C34" s="86">
        <f t="shared" si="1"/>
        <v>3.096774193548387</v>
      </c>
      <c r="D34" s="86">
        <f>+Actual!AJ$195</f>
        <v>0</v>
      </c>
      <c r="E34" s="86">
        <f>+Actual!AJ$196</f>
        <v>0</v>
      </c>
      <c r="F34" s="86">
        <f t="shared" si="2"/>
        <v>0</v>
      </c>
      <c r="G34" s="86">
        <f>Sheet1!$C33</f>
        <v>0</v>
      </c>
      <c r="H34" s="1115">
        <f t="shared" si="0"/>
        <v>0</v>
      </c>
    </row>
    <row r="35" spans="2:8">
      <c r="D35" s="86">
        <f>SUM(D4:D34)</f>
        <v>0</v>
      </c>
      <c r="E35" s="86">
        <f>SUM(E4:E34)</f>
        <v>0</v>
      </c>
      <c r="G35" s="449" t="e">
        <f>(E35-D35)/D35</f>
        <v>#DIV/0!</v>
      </c>
    </row>
  </sheetData>
  <autoFilter ref="B3:E35" xr:uid="{00000000-0009-0000-0000-000013000000}"/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B2:H35"/>
  <sheetViews>
    <sheetView workbookViewId="0">
      <selection activeCell="D35" sqref="D35"/>
    </sheetView>
  </sheetViews>
  <sheetFormatPr defaultRowHeight="14.45"/>
  <cols>
    <col min="1" max="1" width="2.7109375" customWidth="1"/>
    <col min="2" max="2" width="4.85546875" bestFit="1" customWidth="1"/>
    <col min="3" max="3" width="10.28515625" bestFit="1" customWidth="1"/>
    <col min="4" max="4" width="11.7109375" bestFit="1" customWidth="1"/>
  </cols>
  <sheetData>
    <row r="2" spans="2:8">
      <c r="B2" s="593" t="s">
        <v>5</v>
      </c>
      <c r="C2" t="s">
        <v>599</v>
      </c>
      <c r="D2" t="s">
        <v>600</v>
      </c>
      <c r="E2" t="s">
        <v>601</v>
      </c>
      <c r="H2" t="s">
        <v>602</v>
      </c>
    </row>
    <row r="3" spans="2:8">
      <c r="B3" s="794" t="s">
        <v>157</v>
      </c>
      <c r="C3" s="86">
        <f>+HLOOKUP(B3,Actual!$D$138:$AJ$142,5)</f>
        <v>0</v>
      </c>
      <c r="D3" s="86">
        <f>+Outlook!$N$5/Actual!E3</f>
        <v>5266.666666666667</v>
      </c>
      <c r="E3" s="86">
        <f>+AVERAGEIF($C$3:$C$32,"&gt;0")</f>
        <v>1312.8979999999999</v>
      </c>
      <c r="G3" t="s">
        <v>157</v>
      </c>
      <c r="H3" s="86">
        <f>+HLOOKUP(G3,Actual!$C$202:$AJ$215,9)</f>
        <v>0</v>
      </c>
    </row>
    <row r="4" spans="2:8">
      <c r="B4" s="794" t="s">
        <v>158</v>
      </c>
      <c r="C4" s="86">
        <f>+HLOOKUP(B4,Actual!$D$138:$AJ$142,5)</f>
        <v>0</v>
      </c>
      <c r="D4" s="86">
        <f>+D3</f>
        <v>5266.666666666667</v>
      </c>
      <c r="E4" s="86">
        <f>+AVERAGEIF($C$3:$C$32,"&gt;0")</f>
        <v>1312.8979999999999</v>
      </c>
      <c r="G4" t="s">
        <v>158</v>
      </c>
      <c r="H4" s="86">
        <f>+HLOOKUP(G4,Actual!$C$202:$AJ$215,9)</f>
        <v>0</v>
      </c>
    </row>
    <row r="5" spans="2:8">
      <c r="B5" s="794" t="s">
        <v>159</v>
      </c>
      <c r="C5" s="86">
        <f>+HLOOKUP(B5,Actual!$D$138:$AJ$142,5)</f>
        <v>0</v>
      </c>
      <c r="D5" s="86">
        <f t="shared" ref="D5:D33" si="0">+D4</f>
        <v>5266.666666666667</v>
      </c>
      <c r="E5" s="86">
        <f>+AVERAGEIF($C$3:$C$32,"&gt;0")</f>
        <v>1312.8979999999999</v>
      </c>
      <c r="G5" t="s">
        <v>159</v>
      </c>
      <c r="H5" s="86">
        <f>+HLOOKUP(G5,Actual!$C$202:$AJ$215,9)</f>
        <v>0</v>
      </c>
    </row>
    <row r="6" spans="2:8">
      <c r="B6" s="794" t="s">
        <v>160</v>
      </c>
      <c r="C6" s="86">
        <f>+HLOOKUP(B6,Actual!$D$138:$AJ$142,5)</f>
        <v>0</v>
      </c>
      <c r="D6" s="86">
        <f t="shared" si="0"/>
        <v>5266.666666666667</v>
      </c>
      <c r="E6" s="86">
        <f t="shared" ref="E6:E33" si="1">+AVERAGEIF($C$3:$C$33,"&gt;0")</f>
        <v>1312.8979999999999</v>
      </c>
      <c r="G6" t="s">
        <v>160</v>
      </c>
      <c r="H6" s="86">
        <f>+HLOOKUP(G6,Actual!$C$202:$AJ$215,9)</f>
        <v>0</v>
      </c>
    </row>
    <row r="7" spans="2:8">
      <c r="B7" s="794" t="s">
        <v>161</v>
      </c>
      <c r="C7" s="86">
        <f>+HLOOKUP(B7,Actual!$D$138:$AJ$142,5)</f>
        <v>1312.8979999999999</v>
      </c>
      <c r="D7" s="86">
        <f t="shared" si="0"/>
        <v>5266.666666666667</v>
      </c>
      <c r="E7" s="86">
        <f t="shared" si="1"/>
        <v>1312.8979999999999</v>
      </c>
      <c r="G7" t="s">
        <v>161</v>
      </c>
      <c r="H7" s="86">
        <f>+HLOOKUP(G7,Actual!$C$202:$AJ$215,9)</f>
        <v>0</v>
      </c>
    </row>
    <row r="8" spans="2:8">
      <c r="B8" s="794" t="s">
        <v>162</v>
      </c>
      <c r="C8" s="86">
        <f>+HLOOKUP(B8,Actual!$D$138:$AJ$142,5)</f>
        <v>0</v>
      </c>
      <c r="D8" s="86">
        <f t="shared" si="0"/>
        <v>5266.666666666667</v>
      </c>
      <c r="E8" s="86">
        <f t="shared" si="1"/>
        <v>1312.8979999999999</v>
      </c>
      <c r="G8" t="s">
        <v>162</v>
      </c>
      <c r="H8" s="86">
        <f>+HLOOKUP(G8,Actual!$C$202:$AJ$215,9)</f>
        <v>0</v>
      </c>
    </row>
    <row r="9" spans="2:8">
      <c r="B9" s="794" t="s">
        <v>163</v>
      </c>
      <c r="C9" s="86">
        <f>+HLOOKUP(B9,Actual!$D$138:$AJ$142,5)</f>
        <v>0</v>
      </c>
      <c r="D9" s="86">
        <f t="shared" si="0"/>
        <v>5266.666666666667</v>
      </c>
      <c r="E9" s="86">
        <f t="shared" si="1"/>
        <v>1312.8979999999999</v>
      </c>
      <c r="G9" t="s">
        <v>163</v>
      </c>
      <c r="H9" s="86">
        <f>+HLOOKUP(G9,Actual!$C$202:$AJ$215,9)</f>
        <v>0</v>
      </c>
    </row>
    <row r="10" spans="2:8">
      <c r="B10" s="794" t="s">
        <v>164</v>
      </c>
      <c r="C10" s="86">
        <f>+HLOOKUP(B10,Actual!$D$138:$AJ$142,5)</f>
        <v>0</v>
      </c>
      <c r="D10" s="86">
        <f t="shared" si="0"/>
        <v>5266.666666666667</v>
      </c>
      <c r="E10" s="86">
        <f t="shared" si="1"/>
        <v>1312.8979999999999</v>
      </c>
      <c r="G10" t="s">
        <v>164</v>
      </c>
      <c r="H10" s="86">
        <f>+HLOOKUP(G10,Actual!$C$202:$AJ$215,9)</f>
        <v>0</v>
      </c>
    </row>
    <row r="11" spans="2:8">
      <c r="B11" s="794" t="s">
        <v>165</v>
      </c>
      <c r="C11" s="86">
        <f>+HLOOKUP(B11,Actual!$D$138:$AJ$142,5)</f>
        <v>0</v>
      </c>
      <c r="D11" s="86">
        <f t="shared" si="0"/>
        <v>5266.666666666667</v>
      </c>
      <c r="E11" s="86">
        <f t="shared" si="1"/>
        <v>1312.8979999999999</v>
      </c>
      <c r="G11" t="s">
        <v>165</v>
      </c>
      <c r="H11" s="86">
        <f>+HLOOKUP(G11,Actual!$C$202:$AJ$215,9)</f>
        <v>0</v>
      </c>
    </row>
    <row r="12" spans="2:8">
      <c r="B12" s="794" t="s">
        <v>166</v>
      </c>
      <c r="C12" s="86">
        <f>+HLOOKUP(B12,Actual!$D$138:$AJ$142,5)</f>
        <v>0</v>
      </c>
      <c r="D12" s="86">
        <f t="shared" si="0"/>
        <v>5266.666666666667</v>
      </c>
      <c r="E12" s="86">
        <f t="shared" si="1"/>
        <v>1312.8979999999999</v>
      </c>
      <c r="G12" t="s">
        <v>166</v>
      </c>
      <c r="H12" s="86">
        <f>+HLOOKUP(G12,Actual!$C$202:$AJ$215,9)</f>
        <v>0</v>
      </c>
    </row>
    <row r="13" spans="2:8">
      <c r="B13" s="794" t="s">
        <v>167</v>
      </c>
      <c r="C13" s="86">
        <f>+HLOOKUP(B13,Actual!$D$138:$AJ$142,5)</f>
        <v>0</v>
      </c>
      <c r="D13" s="86">
        <f t="shared" si="0"/>
        <v>5266.666666666667</v>
      </c>
      <c r="E13" s="86">
        <f t="shared" si="1"/>
        <v>1312.8979999999999</v>
      </c>
      <c r="G13" t="s">
        <v>167</v>
      </c>
      <c r="H13" s="86">
        <f>+HLOOKUP(G13,Actual!$C$202:$AJ$215,9)</f>
        <v>0</v>
      </c>
    </row>
    <row r="14" spans="2:8">
      <c r="B14" s="794" t="s">
        <v>168</v>
      </c>
      <c r="C14" s="86">
        <f>+HLOOKUP(B14,Actual!$D$138:$AJ$142,5)</f>
        <v>0</v>
      </c>
      <c r="D14" s="86">
        <f t="shared" si="0"/>
        <v>5266.666666666667</v>
      </c>
      <c r="E14" s="86">
        <f t="shared" si="1"/>
        <v>1312.8979999999999</v>
      </c>
      <c r="G14" t="s">
        <v>168</v>
      </c>
      <c r="H14" s="86">
        <f>+HLOOKUP(G14,Actual!$C$202:$AJ$215,9)</f>
        <v>0</v>
      </c>
    </row>
    <row r="15" spans="2:8">
      <c r="B15" s="794" t="s">
        <v>169</v>
      </c>
      <c r="C15" s="86">
        <f>+HLOOKUP(B15,Actual!$D$138:$AJ$142,5)</f>
        <v>0</v>
      </c>
      <c r="D15" s="86">
        <f t="shared" si="0"/>
        <v>5266.666666666667</v>
      </c>
      <c r="E15" s="86">
        <f t="shared" si="1"/>
        <v>1312.8979999999999</v>
      </c>
      <c r="G15" t="s">
        <v>169</v>
      </c>
      <c r="H15" s="86">
        <f>+HLOOKUP(G15,Actual!$C$202:$AJ$215,9)</f>
        <v>0</v>
      </c>
    </row>
    <row r="16" spans="2:8">
      <c r="B16" s="794" t="s">
        <v>170</v>
      </c>
      <c r="C16" s="86">
        <f>+HLOOKUP(B16,Actual!$D$138:$AJ$142,5)</f>
        <v>0</v>
      </c>
      <c r="D16" s="86">
        <f t="shared" si="0"/>
        <v>5266.666666666667</v>
      </c>
      <c r="E16" s="86">
        <f t="shared" si="1"/>
        <v>1312.8979999999999</v>
      </c>
      <c r="G16" t="s">
        <v>170</v>
      </c>
      <c r="H16" s="86">
        <f>+HLOOKUP(G16,Actual!$C$202:$AJ$215,9)</f>
        <v>0</v>
      </c>
    </row>
    <row r="17" spans="2:8">
      <c r="B17" s="794" t="s">
        <v>171</v>
      </c>
      <c r="C17" s="86">
        <f>+HLOOKUP(B17,Actual!$D$138:$AJ$142,5)</f>
        <v>0</v>
      </c>
      <c r="D17" s="86">
        <f t="shared" si="0"/>
        <v>5266.666666666667</v>
      </c>
      <c r="E17" s="86">
        <f t="shared" si="1"/>
        <v>1312.8979999999999</v>
      </c>
      <c r="G17" t="s">
        <v>171</v>
      </c>
      <c r="H17" s="86">
        <f>+HLOOKUP(G17,Actual!$C$202:$AJ$215,9)</f>
        <v>0</v>
      </c>
    </row>
    <row r="18" spans="2:8">
      <c r="B18" s="794" t="s">
        <v>172</v>
      </c>
      <c r="C18" s="86">
        <f>+HLOOKUP(B18,Actual!$D$138:$AJ$142,5)</f>
        <v>0</v>
      </c>
      <c r="D18" s="86">
        <f t="shared" si="0"/>
        <v>5266.666666666667</v>
      </c>
      <c r="E18" s="86">
        <f t="shared" si="1"/>
        <v>1312.8979999999999</v>
      </c>
      <c r="G18" t="s">
        <v>172</v>
      </c>
      <c r="H18" s="86">
        <f>+HLOOKUP(G18,Actual!$F$202:$AJ$215,9)</f>
        <v>0</v>
      </c>
    </row>
    <row r="19" spans="2:8">
      <c r="B19" s="794" t="s">
        <v>173</v>
      </c>
      <c r="C19" s="86">
        <f>+HLOOKUP(B19,Actual!$D$138:$AJ$142,5)</f>
        <v>0</v>
      </c>
      <c r="D19" s="86">
        <f t="shared" si="0"/>
        <v>5266.666666666667</v>
      </c>
      <c r="E19" s="86">
        <f t="shared" si="1"/>
        <v>1312.8979999999999</v>
      </c>
      <c r="G19" t="s">
        <v>173</v>
      </c>
      <c r="H19" s="86">
        <f>+HLOOKUP(G19,Actual!$F$202:$AJ$215,9)</f>
        <v>0</v>
      </c>
    </row>
    <row r="20" spans="2:8">
      <c r="B20" s="794" t="s">
        <v>174</v>
      </c>
      <c r="C20" s="86">
        <f>+HLOOKUP(B20,Actual!$D$138:$AJ$142,5)</f>
        <v>0</v>
      </c>
      <c r="D20" s="86">
        <f t="shared" si="0"/>
        <v>5266.666666666667</v>
      </c>
      <c r="E20" s="86">
        <f t="shared" si="1"/>
        <v>1312.8979999999999</v>
      </c>
      <c r="G20" t="s">
        <v>174</v>
      </c>
      <c r="H20" s="86">
        <f>+HLOOKUP(G20,Actual!$F$202:$AJ$215,9)</f>
        <v>0</v>
      </c>
    </row>
    <row r="21" spans="2:8">
      <c r="B21" s="794" t="s">
        <v>175</v>
      </c>
      <c r="C21" s="86">
        <f>+HLOOKUP(B21,Actual!$D$138:$AJ$142,5)</f>
        <v>0</v>
      </c>
      <c r="D21" s="86">
        <f t="shared" si="0"/>
        <v>5266.666666666667</v>
      </c>
      <c r="E21" s="86">
        <f t="shared" si="1"/>
        <v>1312.8979999999999</v>
      </c>
      <c r="G21" t="s">
        <v>175</v>
      </c>
      <c r="H21" s="86">
        <f>+HLOOKUP(G21,Actual!$F$202:$AJ$215,9)</f>
        <v>0</v>
      </c>
    </row>
    <row r="22" spans="2:8">
      <c r="B22" s="794" t="s">
        <v>176</v>
      </c>
      <c r="C22" s="86">
        <f>+HLOOKUP(B22,Actual!$D$138:$AJ$142,5)</f>
        <v>0</v>
      </c>
      <c r="D22" s="86">
        <f t="shared" si="0"/>
        <v>5266.666666666667</v>
      </c>
      <c r="E22" s="86">
        <f t="shared" si="1"/>
        <v>1312.8979999999999</v>
      </c>
      <c r="G22" t="s">
        <v>176</v>
      </c>
      <c r="H22" s="86">
        <f>+HLOOKUP(G22,Actual!$F$202:$AJ$215,9)</f>
        <v>0</v>
      </c>
    </row>
    <row r="23" spans="2:8">
      <c r="B23" s="794" t="s">
        <v>177</v>
      </c>
      <c r="C23" s="86">
        <f>+HLOOKUP(B23,Actual!$D$138:$AJ$142,5)</f>
        <v>0</v>
      </c>
      <c r="D23" s="86">
        <f t="shared" si="0"/>
        <v>5266.666666666667</v>
      </c>
      <c r="E23" s="86">
        <f t="shared" si="1"/>
        <v>1312.8979999999999</v>
      </c>
      <c r="G23" t="s">
        <v>177</v>
      </c>
      <c r="H23" s="86">
        <f>+HLOOKUP(G23,Actual!$F$202:$AJ$215,9)</f>
        <v>0</v>
      </c>
    </row>
    <row r="24" spans="2:8">
      <c r="B24" s="794" t="s">
        <v>178</v>
      </c>
      <c r="C24" s="86">
        <f>+HLOOKUP(B24,Actual!$D$138:$AJ$142,5)</f>
        <v>0</v>
      </c>
      <c r="D24" s="86">
        <f t="shared" si="0"/>
        <v>5266.666666666667</v>
      </c>
      <c r="E24" s="86">
        <f t="shared" si="1"/>
        <v>1312.8979999999999</v>
      </c>
      <c r="G24" t="s">
        <v>178</v>
      </c>
      <c r="H24" s="86">
        <f>+HLOOKUP(G24,Actual!$F$202:$AJ$215,9)</f>
        <v>0</v>
      </c>
    </row>
    <row r="25" spans="2:8">
      <c r="B25" s="794" t="s">
        <v>179</v>
      </c>
      <c r="C25" s="86">
        <f>+HLOOKUP(B25,Actual!$D$138:$AJ$142,5)</f>
        <v>0</v>
      </c>
      <c r="D25" s="86">
        <f t="shared" si="0"/>
        <v>5266.666666666667</v>
      </c>
      <c r="E25" s="86">
        <f t="shared" si="1"/>
        <v>1312.8979999999999</v>
      </c>
      <c r="G25" t="s">
        <v>179</v>
      </c>
      <c r="H25" s="86">
        <f>+HLOOKUP(G25,Actual!$F$202:$AJ$215,9)</f>
        <v>0</v>
      </c>
    </row>
    <row r="26" spans="2:8">
      <c r="B26" s="794" t="s">
        <v>180</v>
      </c>
      <c r="C26" s="86">
        <f>+HLOOKUP(B26,Actual!$D$138:$AJ$142,5)</f>
        <v>0</v>
      </c>
      <c r="D26" s="86">
        <f t="shared" si="0"/>
        <v>5266.666666666667</v>
      </c>
      <c r="E26" s="86">
        <f t="shared" si="1"/>
        <v>1312.8979999999999</v>
      </c>
      <c r="G26" t="s">
        <v>180</v>
      </c>
      <c r="H26" s="86">
        <f>+HLOOKUP(G26,Actual!$F$202:$AJ$215,9)</f>
        <v>0</v>
      </c>
    </row>
    <row r="27" spans="2:8">
      <c r="B27" s="794" t="s">
        <v>181</v>
      </c>
      <c r="C27" s="86">
        <f>+HLOOKUP(B27,Actual!$D$138:$AJ$142,5)</f>
        <v>0</v>
      </c>
      <c r="D27" s="86">
        <f t="shared" si="0"/>
        <v>5266.666666666667</v>
      </c>
      <c r="E27" s="86">
        <f t="shared" si="1"/>
        <v>1312.8979999999999</v>
      </c>
      <c r="G27" t="s">
        <v>181</v>
      </c>
      <c r="H27" s="86">
        <f>+HLOOKUP(G27,Actual!$F$202:$AJ$215,9)</f>
        <v>0</v>
      </c>
    </row>
    <row r="28" spans="2:8">
      <c r="B28" s="794" t="s">
        <v>182</v>
      </c>
      <c r="C28" s="86">
        <f>+HLOOKUP(B28,Actual!$D$138:$AJ$142,5)</f>
        <v>0</v>
      </c>
      <c r="D28" s="86">
        <f t="shared" si="0"/>
        <v>5266.666666666667</v>
      </c>
      <c r="E28" s="86">
        <f t="shared" si="1"/>
        <v>1312.8979999999999</v>
      </c>
      <c r="G28" t="s">
        <v>182</v>
      </c>
      <c r="H28" s="86">
        <f>+HLOOKUP(G28,Actual!$F$202:$AJ$215,9)</f>
        <v>0</v>
      </c>
    </row>
    <row r="29" spans="2:8">
      <c r="B29" s="794" t="s">
        <v>183</v>
      </c>
      <c r="C29" s="86">
        <f>+HLOOKUP(B29,Actual!$D$138:$AJ$142,5)</f>
        <v>0</v>
      </c>
      <c r="D29" s="86">
        <f t="shared" si="0"/>
        <v>5266.666666666667</v>
      </c>
      <c r="E29" s="86">
        <f t="shared" si="1"/>
        <v>1312.8979999999999</v>
      </c>
      <c r="G29" t="s">
        <v>183</v>
      </c>
      <c r="H29" s="86">
        <f>+HLOOKUP(G29,Actual!$F$202:$AJ$215,9)</f>
        <v>0</v>
      </c>
    </row>
    <row r="30" spans="2:8">
      <c r="B30" s="794" t="s">
        <v>184</v>
      </c>
      <c r="C30" s="86">
        <f>+HLOOKUP(B30,Actual!$D$138:$AJ$142,5)</f>
        <v>0</v>
      </c>
      <c r="D30" s="86">
        <f t="shared" si="0"/>
        <v>5266.666666666667</v>
      </c>
      <c r="E30" s="86">
        <f t="shared" si="1"/>
        <v>1312.8979999999999</v>
      </c>
      <c r="G30" t="s">
        <v>184</v>
      </c>
      <c r="H30" s="86">
        <f>+HLOOKUP(G30,Actual!$F$202:$AJ$215,9)</f>
        <v>0</v>
      </c>
    </row>
    <row r="31" spans="2:8">
      <c r="B31" s="794" t="s">
        <v>185</v>
      </c>
      <c r="C31" s="86">
        <f>+HLOOKUP(B31,Actual!$D$138:$AJ$142,5)</f>
        <v>0</v>
      </c>
      <c r="D31" s="86">
        <f t="shared" si="0"/>
        <v>5266.666666666667</v>
      </c>
      <c r="E31" s="86">
        <f t="shared" si="1"/>
        <v>1312.8979999999999</v>
      </c>
      <c r="G31" t="s">
        <v>185</v>
      </c>
      <c r="H31" s="86">
        <f>+HLOOKUP(G31,Actual!$F$202:$AJ$215,9)</f>
        <v>0</v>
      </c>
    </row>
    <row r="32" spans="2:8">
      <c r="B32" s="794" t="s">
        <v>186</v>
      </c>
      <c r="C32" s="86">
        <f>+HLOOKUP(B32,Actual!$D$138:$AJ$142,5)</f>
        <v>0</v>
      </c>
      <c r="D32" s="86">
        <f t="shared" si="0"/>
        <v>5266.666666666667</v>
      </c>
      <c r="E32" s="86">
        <f t="shared" si="1"/>
        <v>1312.8979999999999</v>
      </c>
      <c r="G32" t="s">
        <v>186</v>
      </c>
      <c r="H32" s="86">
        <f>+HLOOKUP(G32,Actual!$F$202:$AJ$215,9)</f>
        <v>0</v>
      </c>
    </row>
    <row r="33" spans="2:8">
      <c r="B33" s="794" t="s">
        <v>187</v>
      </c>
      <c r="C33" s="86">
        <f>+HLOOKUP(B33,Actual!$D$138:$AJ$142,5)</f>
        <v>0</v>
      </c>
      <c r="D33" s="86">
        <f t="shared" si="0"/>
        <v>5266.666666666667</v>
      </c>
      <c r="E33" s="86">
        <f t="shared" si="1"/>
        <v>1312.8979999999999</v>
      </c>
      <c r="G33" t="s">
        <v>187</v>
      </c>
      <c r="H33" s="86">
        <f>+HLOOKUP(G33,Actual!$F$202:$AJ$215,9)</f>
        <v>0</v>
      </c>
    </row>
    <row r="35" spans="2:8">
      <c r="D35" s="86">
        <f>SUM(D3:D34)</f>
        <v>163266.66666666666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FFFF00"/>
  </sheetPr>
  <dimension ref="B2:DY19"/>
  <sheetViews>
    <sheetView workbookViewId="0">
      <pane xSplit="2" ySplit="3" topLeftCell="DF4" activePane="bottomRight" state="frozen"/>
      <selection pane="bottomRight" activeCell="C1" sqref="C1"/>
      <selection pane="bottomLeft" activeCell="A4" sqref="A4"/>
      <selection pane="topRight" activeCell="C1" sqref="C1"/>
    </sheetView>
  </sheetViews>
  <sheetFormatPr defaultRowHeight="14.45"/>
  <cols>
    <col min="2" max="2" width="27.5703125" customWidth="1"/>
    <col min="3" max="33" width="6.7109375" customWidth="1"/>
    <col min="34" max="34" width="7.28515625" customWidth="1"/>
    <col min="35" max="35" width="9.7109375" customWidth="1"/>
    <col min="36" max="96" width="6.7109375" customWidth="1"/>
    <col min="97" max="97" width="7.7109375" customWidth="1"/>
    <col min="98" max="105" width="7.28515625" customWidth="1"/>
    <col min="128" max="128" width="0" hidden="1" customWidth="1"/>
  </cols>
  <sheetData>
    <row r="2" spans="2:129">
      <c r="B2" s="1413" t="s">
        <v>344</v>
      </c>
      <c r="C2" s="1415" t="s">
        <v>346</v>
      </c>
      <c r="D2" s="1415"/>
      <c r="E2" s="1415"/>
      <c r="F2" s="1415"/>
      <c r="G2" s="1415"/>
      <c r="H2" s="1415"/>
      <c r="I2" s="1415"/>
      <c r="J2" s="1415"/>
      <c r="K2" s="1415"/>
      <c r="L2" s="1415"/>
      <c r="M2" s="1415"/>
      <c r="N2" s="1415"/>
      <c r="O2" s="1415"/>
      <c r="P2" s="1415"/>
      <c r="Q2" s="1415"/>
      <c r="R2" s="1415"/>
      <c r="S2" s="1415"/>
      <c r="T2" s="1415"/>
      <c r="U2" s="1415"/>
      <c r="V2" s="1415"/>
      <c r="W2" s="1415"/>
      <c r="X2" s="1415"/>
      <c r="Y2" s="1415"/>
      <c r="Z2" s="1415"/>
      <c r="AA2" s="1415"/>
      <c r="AB2" s="1415"/>
      <c r="AC2" s="1415"/>
      <c r="AD2" s="1415"/>
      <c r="AE2" s="1415"/>
      <c r="AF2" s="1415"/>
      <c r="AG2" s="1415"/>
      <c r="AH2" s="720" t="s">
        <v>137</v>
      </c>
      <c r="AI2" s="1416" t="s">
        <v>347</v>
      </c>
      <c r="AJ2" s="1416"/>
      <c r="AK2" s="1416"/>
      <c r="AL2" s="1416"/>
      <c r="AM2" s="1416"/>
      <c r="AN2" s="1416"/>
      <c r="AO2" s="1416"/>
      <c r="AP2" s="1416"/>
      <c r="AQ2" s="1416"/>
      <c r="AR2" s="1416"/>
      <c r="AS2" s="1416"/>
      <c r="AT2" s="1416"/>
      <c r="AU2" s="1416"/>
      <c r="AV2" s="1416"/>
      <c r="AW2" s="1416"/>
      <c r="AX2" s="1416"/>
      <c r="AY2" s="1416"/>
      <c r="AZ2" s="1416"/>
      <c r="BA2" s="1416"/>
      <c r="BB2" s="1416"/>
      <c r="BC2" s="1416"/>
      <c r="BD2" s="1416"/>
      <c r="BE2" s="1416"/>
      <c r="BF2" s="1416"/>
      <c r="BG2" s="1416"/>
      <c r="BH2" s="1416"/>
      <c r="BI2" s="1416"/>
      <c r="BJ2" s="1416"/>
      <c r="BK2" s="1416"/>
      <c r="BL2" s="1416"/>
      <c r="BM2" s="720" t="s">
        <v>138</v>
      </c>
      <c r="BN2" s="1410" t="s">
        <v>139</v>
      </c>
      <c r="BO2" s="1410"/>
      <c r="BP2" s="1410"/>
      <c r="BQ2" s="1410"/>
      <c r="BR2" s="1410"/>
      <c r="BS2" s="1410"/>
      <c r="BT2" s="1410"/>
      <c r="BU2" s="1410"/>
      <c r="BV2" s="1410"/>
      <c r="BW2" s="1410"/>
      <c r="BX2" s="1410"/>
      <c r="BY2" s="1410"/>
      <c r="BZ2" s="1410"/>
      <c r="CA2" s="1410"/>
      <c r="CB2" s="1410"/>
      <c r="CC2" s="1410"/>
      <c r="CD2" s="1410"/>
      <c r="CE2" s="1410"/>
      <c r="CF2" s="1410"/>
      <c r="CG2" s="1410"/>
      <c r="CH2" s="1410"/>
      <c r="CI2" s="1410"/>
      <c r="CJ2" s="1410"/>
      <c r="CK2" s="1410"/>
      <c r="CL2" s="1410"/>
      <c r="CM2" s="1410"/>
      <c r="CN2" s="1410"/>
      <c r="CO2" s="1410"/>
      <c r="CP2" s="1410"/>
      <c r="CQ2" s="1410"/>
      <c r="CR2" s="930"/>
      <c r="CS2" s="1411" t="s">
        <v>603</v>
      </c>
      <c r="CT2" s="1410" t="s">
        <v>348</v>
      </c>
      <c r="CU2" s="1410"/>
      <c r="CV2" s="1410"/>
      <c r="CW2" s="1410"/>
      <c r="CX2" s="1410"/>
      <c r="CY2" s="1410"/>
      <c r="CZ2" s="1410"/>
      <c r="DA2" s="1410"/>
      <c r="DB2" s="1410"/>
      <c r="DC2" s="1410"/>
      <c r="DD2" s="1410"/>
      <c r="DE2" s="1410"/>
      <c r="DF2" s="1410"/>
      <c r="DG2" s="1410"/>
      <c r="DH2" s="1410"/>
      <c r="DI2" s="1410"/>
      <c r="DJ2" s="1410"/>
      <c r="DK2" s="1410"/>
      <c r="DL2" s="1410"/>
      <c r="DM2" s="1410"/>
      <c r="DN2" s="1410"/>
      <c r="DO2" s="1410"/>
      <c r="DP2" s="1410"/>
      <c r="DQ2" s="1410"/>
      <c r="DR2" s="1410"/>
      <c r="DS2" s="1410"/>
      <c r="DT2" s="1410"/>
      <c r="DU2" s="1410"/>
      <c r="DV2" s="1410"/>
      <c r="DW2" s="1410"/>
      <c r="DX2" s="931"/>
      <c r="DY2" s="1411" t="s">
        <v>604</v>
      </c>
    </row>
    <row r="3" spans="2:129" s="176" customFormat="1" ht="10.15">
      <c r="B3" s="1414"/>
      <c r="C3" s="187">
        <v>1</v>
      </c>
      <c r="D3" s="187">
        <v>2</v>
      </c>
      <c r="E3" s="187">
        <v>3</v>
      </c>
      <c r="F3" s="187">
        <v>4</v>
      </c>
      <c r="G3" s="187">
        <v>5</v>
      </c>
      <c r="H3" s="187">
        <v>6</v>
      </c>
      <c r="I3" s="187">
        <v>7</v>
      </c>
      <c r="J3" s="187">
        <v>8</v>
      </c>
      <c r="K3" s="187">
        <v>9</v>
      </c>
      <c r="L3" s="187">
        <v>10</v>
      </c>
      <c r="M3" s="187">
        <v>11</v>
      </c>
      <c r="N3" s="187">
        <v>12</v>
      </c>
      <c r="O3" s="187">
        <v>13</v>
      </c>
      <c r="P3" s="187">
        <v>14</v>
      </c>
      <c r="Q3" s="187">
        <v>15</v>
      </c>
      <c r="R3" s="187">
        <v>16</v>
      </c>
      <c r="S3" s="187">
        <v>17</v>
      </c>
      <c r="T3" s="187">
        <v>18</v>
      </c>
      <c r="U3" s="187">
        <v>19</v>
      </c>
      <c r="V3" s="187">
        <v>20</v>
      </c>
      <c r="W3" s="187">
        <v>21</v>
      </c>
      <c r="X3" s="187">
        <v>22</v>
      </c>
      <c r="Y3" s="187">
        <v>23</v>
      </c>
      <c r="Z3" s="187">
        <v>24</v>
      </c>
      <c r="AA3" s="187">
        <v>25</v>
      </c>
      <c r="AB3" s="187">
        <v>26</v>
      </c>
      <c r="AC3" s="187">
        <v>27</v>
      </c>
      <c r="AD3" s="187">
        <v>28</v>
      </c>
      <c r="AE3" s="187">
        <v>29</v>
      </c>
      <c r="AF3" s="187">
        <v>30</v>
      </c>
      <c r="AG3" s="187">
        <v>31</v>
      </c>
      <c r="AH3" s="190"/>
      <c r="AI3" s="191">
        <v>1</v>
      </c>
      <c r="AJ3" s="191">
        <v>2</v>
      </c>
      <c r="AK3" s="191">
        <v>3</v>
      </c>
      <c r="AL3" s="191">
        <v>4</v>
      </c>
      <c r="AM3" s="191">
        <v>5</v>
      </c>
      <c r="AN3" s="191">
        <v>6</v>
      </c>
      <c r="AO3" s="191">
        <v>7</v>
      </c>
      <c r="AP3" s="191">
        <v>8</v>
      </c>
      <c r="AQ3" s="191">
        <v>9</v>
      </c>
      <c r="AR3" s="191">
        <v>10</v>
      </c>
      <c r="AS3" s="191">
        <v>11</v>
      </c>
      <c r="AT3" s="191">
        <v>12</v>
      </c>
      <c r="AU3" s="191">
        <v>13</v>
      </c>
      <c r="AV3" s="191">
        <v>14</v>
      </c>
      <c r="AW3" s="191">
        <v>15</v>
      </c>
      <c r="AX3" s="191">
        <v>16</v>
      </c>
      <c r="AY3" s="191">
        <v>17</v>
      </c>
      <c r="AZ3" s="191">
        <v>18</v>
      </c>
      <c r="BA3" s="191">
        <v>19</v>
      </c>
      <c r="BB3" s="191">
        <v>20</v>
      </c>
      <c r="BC3" s="191">
        <v>21</v>
      </c>
      <c r="BD3" s="191">
        <v>22</v>
      </c>
      <c r="BE3" s="191">
        <v>23</v>
      </c>
      <c r="BF3" s="191">
        <v>24</v>
      </c>
      <c r="BG3" s="191">
        <v>25</v>
      </c>
      <c r="BH3" s="191">
        <v>26</v>
      </c>
      <c r="BI3" s="191">
        <v>27</v>
      </c>
      <c r="BJ3" s="191">
        <v>28</v>
      </c>
      <c r="BK3" s="191">
        <v>29</v>
      </c>
      <c r="BL3" s="191">
        <v>30</v>
      </c>
      <c r="BM3" s="190"/>
      <c r="BN3" s="191">
        <v>1</v>
      </c>
      <c r="BO3" s="191">
        <v>2</v>
      </c>
      <c r="BP3" s="191">
        <v>3</v>
      </c>
      <c r="BQ3" s="191">
        <v>4</v>
      </c>
      <c r="BR3" s="191">
        <v>5</v>
      </c>
      <c r="BS3" s="191">
        <v>6</v>
      </c>
      <c r="BT3" s="191">
        <v>7</v>
      </c>
      <c r="BU3" s="191">
        <v>8</v>
      </c>
      <c r="BV3" s="191">
        <v>9</v>
      </c>
      <c r="BW3" s="191">
        <v>10</v>
      </c>
      <c r="BX3" s="191">
        <v>11</v>
      </c>
      <c r="BY3" s="191">
        <v>12</v>
      </c>
      <c r="BZ3" s="191">
        <v>13</v>
      </c>
      <c r="CA3" s="191">
        <v>14</v>
      </c>
      <c r="CB3" s="191">
        <v>15</v>
      </c>
      <c r="CC3" s="191">
        <v>16</v>
      </c>
      <c r="CD3" s="191">
        <v>17</v>
      </c>
      <c r="CE3" s="191">
        <v>18</v>
      </c>
      <c r="CF3" s="191">
        <v>19</v>
      </c>
      <c r="CG3" s="191">
        <v>20</v>
      </c>
      <c r="CH3" s="191">
        <v>21</v>
      </c>
      <c r="CI3" s="191">
        <v>22</v>
      </c>
      <c r="CJ3" s="191">
        <v>23</v>
      </c>
      <c r="CK3" s="191">
        <v>24</v>
      </c>
      <c r="CL3" s="191">
        <v>25</v>
      </c>
      <c r="CM3" s="191">
        <v>26</v>
      </c>
      <c r="CN3" s="191">
        <v>27</v>
      </c>
      <c r="CO3" s="191">
        <v>28</v>
      </c>
      <c r="CP3" s="191">
        <v>29</v>
      </c>
      <c r="CQ3" s="191">
        <v>30</v>
      </c>
      <c r="CR3" s="192">
        <v>31</v>
      </c>
      <c r="CS3" s="1412"/>
      <c r="CT3" s="191">
        <v>1</v>
      </c>
      <c r="CU3" s="191">
        <v>2</v>
      </c>
      <c r="CV3" s="191">
        <v>3</v>
      </c>
      <c r="CW3" s="191">
        <v>4</v>
      </c>
      <c r="CX3" s="191">
        <v>5</v>
      </c>
      <c r="CY3" s="191">
        <v>6</v>
      </c>
      <c r="CZ3" s="191">
        <v>7</v>
      </c>
      <c r="DA3" s="191">
        <v>8</v>
      </c>
      <c r="DB3" s="191">
        <v>9</v>
      </c>
      <c r="DC3" s="191">
        <v>10</v>
      </c>
      <c r="DD3" s="191">
        <v>11</v>
      </c>
      <c r="DE3" s="191">
        <v>12</v>
      </c>
      <c r="DF3" s="191">
        <v>13</v>
      </c>
      <c r="DG3" s="191">
        <v>14</v>
      </c>
      <c r="DH3" s="191">
        <v>15</v>
      </c>
      <c r="DI3" s="191">
        <v>16</v>
      </c>
      <c r="DJ3" s="191">
        <v>17</v>
      </c>
      <c r="DK3" s="191">
        <v>18</v>
      </c>
      <c r="DL3" s="191">
        <v>19</v>
      </c>
      <c r="DM3" s="191">
        <v>20</v>
      </c>
      <c r="DN3" s="191">
        <v>21</v>
      </c>
      <c r="DO3" s="191">
        <v>22</v>
      </c>
      <c r="DP3" s="191">
        <v>23</v>
      </c>
      <c r="DQ3" s="191">
        <v>24</v>
      </c>
      <c r="DR3" s="191">
        <v>25</v>
      </c>
      <c r="DS3" s="191">
        <v>26</v>
      </c>
      <c r="DT3" s="191">
        <v>27</v>
      </c>
      <c r="DU3" s="191">
        <v>28</v>
      </c>
      <c r="DV3" s="191">
        <v>29</v>
      </c>
      <c r="DW3" s="191">
        <v>30</v>
      </c>
      <c r="DX3" s="191"/>
      <c r="DY3" s="1412"/>
    </row>
    <row r="4" spans="2:129">
      <c r="B4" s="177" t="s">
        <v>355</v>
      </c>
      <c r="C4" s="219">
        <f>Actual!F163</f>
        <v>53492.115105999997</v>
      </c>
      <c r="D4" s="219">
        <f>Actual!G163</f>
        <v>53492.115105999997</v>
      </c>
      <c r="E4" s="219">
        <f>Actual!H163</f>
        <v>53492.115105999997</v>
      </c>
      <c r="F4" s="219">
        <f>Actual!I163</f>
        <v>53492.115105999997</v>
      </c>
      <c r="G4" s="219">
        <f>Actual!J163</f>
        <v>53492.115105999997</v>
      </c>
      <c r="H4" s="219">
        <f>Actual!K163</f>
        <v>53492.115105999997</v>
      </c>
      <c r="I4" s="219">
        <f>Actual!L163</f>
        <v>53492.115105999997</v>
      </c>
      <c r="J4" s="219">
        <f>Actual!M163</f>
        <v>53492.115105999997</v>
      </c>
      <c r="K4" s="219">
        <f>Actual!N163</f>
        <v>53492.115105999997</v>
      </c>
      <c r="L4" s="219">
        <f>Actual!O163</f>
        <v>53492.115105999997</v>
      </c>
      <c r="M4" s="219">
        <f>Actual!P163</f>
        <v>53492.115105999997</v>
      </c>
      <c r="N4" s="219">
        <f>Actual!Q163</f>
        <v>53492.115105999997</v>
      </c>
      <c r="O4" s="219">
        <f>Actual!R163</f>
        <v>53492.115105999997</v>
      </c>
      <c r="P4" s="219">
        <f>Actual!S163</f>
        <v>53492.115105999997</v>
      </c>
      <c r="Q4" s="219">
        <f>Actual!T163</f>
        <v>53492.115105999997</v>
      </c>
      <c r="R4" s="219" t="e">
        <f>Actual!#REF!</f>
        <v>#REF!</v>
      </c>
      <c r="S4" s="219">
        <f>Actual!V163</f>
        <v>53492.115105999997</v>
      </c>
      <c r="T4" s="219">
        <f>Actual!W163</f>
        <v>53492.115105999997</v>
      </c>
      <c r="U4" s="219">
        <f>Actual!X163</f>
        <v>53492.115105999997</v>
      </c>
      <c r="V4" s="219">
        <f>Actual!Y163</f>
        <v>53492.115105999997</v>
      </c>
      <c r="W4" s="219">
        <f>Actual!Z163</f>
        <v>53492.115105999997</v>
      </c>
      <c r="X4" s="219">
        <f>Actual!AA163</f>
        <v>53492.115105999997</v>
      </c>
      <c r="Y4" s="219">
        <f>Actual!AB163</f>
        <v>53492.115105999997</v>
      </c>
      <c r="Z4" s="219">
        <f>Actual!AC163</f>
        <v>53492.115105999997</v>
      </c>
      <c r="AA4" s="219">
        <f>Actual!AD163</f>
        <v>53492.115105999997</v>
      </c>
      <c r="AB4" s="219">
        <f>Actual!AE163</f>
        <v>53492.115105999997</v>
      </c>
      <c r="AC4" s="219">
        <f>Actual!AF163</f>
        <v>53492.115105999997</v>
      </c>
      <c r="AD4" s="219">
        <f>Actual!AG163</f>
        <v>53492.115105999997</v>
      </c>
      <c r="AE4" s="219">
        <f>Actual!AH163</f>
        <v>53492.115105999997</v>
      </c>
      <c r="AF4" s="219">
        <f>Actual!AI163</f>
        <v>53492.115105999997</v>
      </c>
      <c r="AG4" s="219">
        <f>AF4+AG5-AG9-AG11-AG13</f>
        <v>49492.115105999997</v>
      </c>
      <c r="AH4" s="195"/>
      <c r="AI4" s="188">
        <f>AG4+AI5-AI9-AI11-AI13</f>
        <v>36992.115105999997</v>
      </c>
      <c r="AJ4" s="188">
        <f t="shared" ref="AJ4:BS4" si="0">AI4+AJ5-AJ9-AJ11-AJ13</f>
        <v>33492.115105999997</v>
      </c>
      <c r="AK4" s="188">
        <f>AJ4+AK5-AK9-AK11-AK13</f>
        <v>29992.115105999997</v>
      </c>
      <c r="AL4" s="188">
        <f t="shared" si="0"/>
        <v>27992.115105999997</v>
      </c>
      <c r="AM4" s="188">
        <f t="shared" si="0"/>
        <v>25492.115105999997</v>
      </c>
      <c r="AN4" s="188">
        <f t="shared" si="0"/>
        <v>22992.115105999997</v>
      </c>
      <c r="AO4" s="188">
        <f t="shared" si="0"/>
        <v>20492.115105999997</v>
      </c>
      <c r="AP4" s="188">
        <f t="shared" si="0"/>
        <v>18992.115105999997</v>
      </c>
      <c r="AQ4" s="188">
        <f t="shared" si="0"/>
        <v>22492.115105999997</v>
      </c>
      <c r="AR4" s="188">
        <f t="shared" si="0"/>
        <v>18692.115105999997</v>
      </c>
      <c r="AS4" s="188">
        <f t="shared" si="0"/>
        <v>21692.115105999997</v>
      </c>
      <c r="AT4" s="188">
        <f t="shared" si="0"/>
        <v>23192.115105999997</v>
      </c>
      <c r="AU4" s="188">
        <f t="shared" si="0"/>
        <v>18892.115105999997</v>
      </c>
      <c r="AV4" s="188">
        <f t="shared" si="0"/>
        <v>21892.115105999997</v>
      </c>
      <c r="AW4" s="188">
        <f t="shared" si="0"/>
        <v>24892.115105999997</v>
      </c>
      <c r="AX4" s="188">
        <f t="shared" si="0"/>
        <v>20592.115105999997</v>
      </c>
      <c r="AY4" s="188">
        <f t="shared" si="0"/>
        <v>23592.115105999997</v>
      </c>
      <c r="AZ4" s="188">
        <f t="shared" si="0"/>
        <v>26592.115105999997</v>
      </c>
      <c r="BA4" s="188">
        <f t="shared" si="0"/>
        <v>20792.115105999997</v>
      </c>
      <c r="BB4" s="188">
        <f t="shared" si="0"/>
        <v>24792.115105999997</v>
      </c>
      <c r="BC4" s="188">
        <f t="shared" si="0"/>
        <v>28792.115105999997</v>
      </c>
      <c r="BD4" s="188">
        <f t="shared" si="0"/>
        <v>25492.115105999997</v>
      </c>
      <c r="BE4" s="188">
        <f t="shared" si="0"/>
        <v>29492.115105999997</v>
      </c>
      <c r="BF4" s="188">
        <f t="shared" si="0"/>
        <v>33492.115105999997</v>
      </c>
      <c r="BG4" s="188">
        <f t="shared" si="0"/>
        <v>30192.115105999997</v>
      </c>
      <c r="BH4" s="188">
        <f t="shared" si="0"/>
        <v>31692.115105999997</v>
      </c>
      <c r="BI4" s="188">
        <f t="shared" si="0"/>
        <v>35192.115105999997</v>
      </c>
      <c r="BJ4" s="188">
        <f t="shared" si="0"/>
        <v>38192.115105999997</v>
      </c>
      <c r="BK4" s="188">
        <f t="shared" si="0"/>
        <v>41192.115105999997</v>
      </c>
      <c r="BL4" s="188">
        <f t="shared" si="0"/>
        <v>44192.115105999997</v>
      </c>
      <c r="BM4" s="195"/>
      <c r="BN4" s="188">
        <f>BL4+BN5-BN9-BN11-BN13</f>
        <v>38692.115105999997</v>
      </c>
      <c r="BO4" s="188">
        <f t="shared" si="0"/>
        <v>34692.115105999997</v>
      </c>
      <c r="BP4" s="188">
        <f t="shared" si="0"/>
        <v>30692.115105999997</v>
      </c>
      <c r="BQ4" s="188">
        <f t="shared" si="0"/>
        <v>28192.115105999997</v>
      </c>
      <c r="BR4" s="188">
        <f t="shared" si="0"/>
        <v>25192.115105999997</v>
      </c>
      <c r="BS4" s="188">
        <f t="shared" si="0"/>
        <v>21692.115105999997</v>
      </c>
      <c r="BT4" s="188">
        <f t="shared" ref="BT4:CE4" si="1">BS4+BT5-BT9-BT11-BT13</f>
        <v>18692.115105999997</v>
      </c>
      <c r="BU4" s="188">
        <f t="shared" si="1"/>
        <v>16692.115105999997</v>
      </c>
      <c r="BV4" s="223">
        <f t="shared" si="1"/>
        <v>19692.115105999997</v>
      </c>
      <c r="BW4" s="223">
        <f t="shared" si="1"/>
        <v>21192.115105999997</v>
      </c>
      <c r="BX4" s="223">
        <f t="shared" si="1"/>
        <v>24692.115105999997</v>
      </c>
      <c r="BY4" s="223">
        <f t="shared" si="1"/>
        <v>20892.115105999997</v>
      </c>
      <c r="BZ4" s="223">
        <f t="shared" si="1"/>
        <v>23892.115105999997</v>
      </c>
      <c r="CA4" s="223">
        <f t="shared" si="1"/>
        <v>20092.115105999997</v>
      </c>
      <c r="CB4" s="223">
        <f t="shared" si="1"/>
        <v>23592.115105999997</v>
      </c>
      <c r="CC4" s="223">
        <f t="shared" si="1"/>
        <v>19792.115105999997</v>
      </c>
      <c r="CD4" s="223">
        <f t="shared" si="1"/>
        <v>21292.115105999997</v>
      </c>
      <c r="CE4" s="223">
        <f t="shared" si="1"/>
        <v>17492.115105999997</v>
      </c>
      <c r="CF4" s="223">
        <f>CE4+CF5-CF9-CF11</f>
        <v>20992.115105999997</v>
      </c>
      <c r="CG4" s="223">
        <f>CF4+CG5-CG9-CG11-CG13</f>
        <v>17192.115105999997</v>
      </c>
      <c r="CH4" s="223">
        <f t="shared" ref="CH4:CQ4" si="2">CG4+CH5-CH9-CH11-CH13</f>
        <v>13692.115105999997</v>
      </c>
      <c r="CI4" s="223">
        <f t="shared" si="2"/>
        <v>9892.1151059999975</v>
      </c>
      <c r="CJ4" s="223">
        <f t="shared" si="2"/>
        <v>6392.1151059999975</v>
      </c>
      <c r="CK4" s="223">
        <f t="shared" si="2"/>
        <v>7892.1151059999975</v>
      </c>
      <c r="CL4" s="223">
        <f t="shared" si="2"/>
        <v>5892.1151059999975</v>
      </c>
      <c r="CM4" s="223">
        <f t="shared" si="2"/>
        <v>9392.1151059999975</v>
      </c>
      <c r="CN4" s="223">
        <f t="shared" si="2"/>
        <v>6892.1151059999975</v>
      </c>
      <c r="CO4" s="223">
        <f t="shared" si="2"/>
        <v>10392.115105999997</v>
      </c>
      <c r="CP4" s="223">
        <f t="shared" si="2"/>
        <v>7892.1151059999975</v>
      </c>
      <c r="CQ4" s="223">
        <f t="shared" si="2"/>
        <v>11392.115105999997</v>
      </c>
      <c r="CR4" s="223">
        <f>CQ4+CR5-CR9-CR11-CR13</f>
        <v>8892.1151059999975</v>
      </c>
      <c r="CS4" s="196"/>
      <c r="CT4" s="226">
        <f>CR4+CT5-CT9-CT11-CT13</f>
        <v>10392.115105999997</v>
      </c>
      <c r="CU4" s="226">
        <f>CS4+CU5-CU9-CU11-CU13</f>
        <v>3000</v>
      </c>
      <c r="CV4" s="188">
        <f t="shared" ref="CV4:DA4" si="3">CU4+CV5-CV9-DS11-CV13</f>
        <v>500</v>
      </c>
      <c r="CW4" s="188">
        <f t="shared" si="3"/>
        <v>-2500</v>
      </c>
      <c r="CX4" s="188">
        <f t="shared" si="3"/>
        <v>-5500</v>
      </c>
      <c r="CY4" s="188">
        <f t="shared" si="3"/>
        <v>-8500</v>
      </c>
      <c r="CZ4" s="188">
        <f t="shared" si="3"/>
        <v>-12000</v>
      </c>
      <c r="DA4" s="188">
        <f t="shared" si="3"/>
        <v>-16300</v>
      </c>
      <c r="DB4" s="188">
        <f t="shared" ref="DB4:DO4" si="4">DA4+DB5-DB9-DB11-DB13</f>
        <v>-13300</v>
      </c>
      <c r="DC4" s="188">
        <f t="shared" si="4"/>
        <v>-17600</v>
      </c>
      <c r="DD4" s="188">
        <f t="shared" si="4"/>
        <v>-14600</v>
      </c>
      <c r="DE4" s="188">
        <f t="shared" si="4"/>
        <v>-18900</v>
      </c>
      <c r="DF4" s="188">
        <f t="shared" si="4"/>
        <v>-15900</v>
      </c>
      <c r="DG4" s="188">
        <f t="shared" si="4"/>
        <v>-21700</v>
      </c>
      <c r="DH4" s="188">
        <f t="shared" si="4"/>
        <v>-18700</v>
      </c>
      <c r="DI4" s="188">
        <f t="shared" si="4"/>
        <v>-23000</v>
      </c>
      <c r="DJ4" s="188">
        <f t="shared" si="4"/>
        <v>-20000</v>
      </c>
      <c r="DK4" s="188">
        <f t="shared" si="4"/>
        <v>-24300</v>
      </c>
      <c r="DL4" s="188">
        <f t="shared" si="4"/>
        <v>-28300</v>
      </c>
      <c r="DM4" s="188">
        <f t="shared" si="4"/>
        <v>-32300</v>
      </c>
      <c r="DN4" s="188">
        <f t="shared" si="4"/>
        <v>-36300</v>
      </c>
      <c r="DO4" s="188">
        <f t="shared" si="4"/>
        <v>-39300</v>
      </c>
      <c r="DP4" s="188">
        <f t="shared" ref="DP4:DW4" si="5">DO4+DP5-DP9-DP11-DP13</f>
        <v>-49300</v>
      </c>
      <c r="DQ4" s="188">
        <f t="shared" si="5"/>
        <v>-58800</v>
      </c>
      <c r="DR4" s="188">
        <f t="shared" si="5"/>
        <v>-62800</v>
      </c>
      <c r="DS4" s="188">
        <f t="shared" si="5"/>
        <v>-65300</v>
      </c>
      <c r="DT4" s="188">
        <f t="shared" si="5"/>
        <v>-68300</v>
      </c>
      <c r="DU4" s="188">
        <f t="shared" si="5"/>
        <v>-71300</v>
      </c>
      <c r="DV4" s="188">
        <f t="shared" si="5"/>
        <v>-74300</v>
      </c>
      <c r="DW4" s="188">
        <f t="shared" si="5"/>
        <v>-76300</v>
      </c>
      <c r="DX4" s="188"/>
      <c r="DY4" s="195"/>
    </row>
    <row r="5" spans="2:129">
      <c r="B5" s="179" t="s">
        <v>356</v>
      </c>
      <c r="C5" s="189">
        <f>Actual!F159</f>
        <v>0</v>
      </c>
      <c r="D5" s="189">
        <f>Actual!G159</f>
        <v>0</v>
      </c>
      <c r="E5" s="189">
        <f>Actual!H159</f>
        <v>0</v>
      </c>
      <c r="F5" s="189">
        <f>Actual!I159</f>
        <v>0</v>
      </c>
      <c r="G5" s="189">
        <f>Actual!J159</f>
        <v>0</v>
      </c>
      <c r="H5" s="189">
        <f>Actual!K159</f>
        <v>0</v>
      </c>
      <c r="I5" s="189">
        <f>Actual!L159</f>
        <v>0</v>
      </c>
      <c r="J5" s="189">
        <f>Actual!M159</f>
        <v>0</v>
      </c>
      <c r="K5" s="189">
        <f>Actual!N159</f>
        <v>0</v>
      </c>
      <c r="L5" s="189">
        <f>Actual!O159</f>
        <v>0</v>
      </c>
      <c r="M5" s="189">
        <f>Actual!P159</f>
        <v>0</v>
      </c>
      <c r="N5" s="189">
        <f>Actual!Q159</f>
        <v>0</v>
      </c>
      <c r="O5" s="189">
        <f>Actual!R159</f>
        <v>0</v>
      </c>
      <c r="P5" s="189">
        <f>Actual!S159</f>
        <v>0</v>
      </c>
      <c r="Q5" s="189">
        <f>Actual!T159</f>
        <v>0</v>
      </c>
      <c r="R5" s="189">
        <f>Actual!U159</f>
        <v>0</v>
      </c>
      <c r="S5" s="189">
        <f>Actual!V159</f>
        <v>0</v>
      </c>
      <c r="T5" s="189">
        <f>Actual!W159</f>
        <v>0</v>
      </c>
      <c r="U5" s="189">
        <f>Actual!X159</f>
        <v>0</v>
      </c>
      <c r="V5" s="189">
        <f>Actual!Y159</f>
        <v>0</v>
      </c>
      <c r="W5" s="189">
        <f>Actual!Z159</f>
        <v>0</v>
      </c>
      <c r="X5" s="189">
        <f>Actual!AA159</f>
        <v>0</v>
      </c>
      <c r="Y5" s="189">
        <f>Actual!AB159</f>
        <v>0</v>
      </c>
      <c r="Z5" s="189">
        <f>Actual!AC159</f>
        <v>0</v>
      </c>
      <c r="AA5" s="189">
        <f>Actual!AD159</f>
        <v>0</v>
      </c>
      <c r="AB5" s="189">
        <f>Actual!AE159</f>
        <v>0</v>
      </c>
      <c r="AC5" s="189">
        <f>Actual!AF159</f>
        <v>0</v>
      </c>
      <c r="AD5" s="189">
        <f>Actual!AG159</f>
        <v>0</v>
      </c>
      <c r="AE5" s="189">
        <f>Actual!AH159</f>
        <v>0</v>
      </c>
      <c r="AF5" s="189">
        <f>Actual!AI159</f>
        <v>0</v>
      </c>
      <c r="AG5" s="189">
        <v>3000</v>
      </c>
      <c r="AH5" s="197">
        <f>SUM(C5:AG5)</f>
        <v>3000</v>
      </c>
      <c r="AI5" s="189">
        <v>1500</v>
      </c>
      <c r="AJ5" s="189">
        <v>3500</v>
      </c>
      <c r="AK5" s="189">
        <v>3500</v>
      </c>
      <c r="AL5" s="189">
        <v>3500</v>
      </c>
      <c r="AM5" s="189">
        <v>3500</v>
      </c>
      <c r="AN5" s="189">
        <v>3500</v>
      </c>
      <c r="AO5" s="189">
        <v>3500</v>
      </c>
      <c r="AP5" s="189">
        <v>3500</v>
      </c>
      <c r="AQ5" s="189">
        <v>3500</v>
      </c>
      <c r="AR5" s="189">
        <v>3500</v>
      </c>
      <c r="AS5" s="189">
        <v>3000</v>
      </c>
      <c r="AT5" s="189">
        <v>1500</v>
      </c>
      <c r="AU5" s="189">
        <v>3000</v>
      </c>
      <c r="AV5" s="189">
        <v>3000</v>
      </c>
      <c r="AW5" s="189">
        <v>3000</v>
      </c>
      <c r="AX5" s="189">
        <v>3000</v>
      </c>
      <c r="AY5" s="189">
        <v>3000</v>
      </c>
      <c r="AZ5" s="189">
        <v>3000</v>
      </c>
      <c r="BA5" s="189">
        <v>1500</v>
      </c>
      <c r="BB5" s="189">
        <v>4000</v>
      </c>
      <c r="BC5" s="189">
        <v>4000</v>
      </c>
      <c r="BD5" s="189">
        <v>4000</v>
      </c>
      <c r="BE5" s="189">
        <v>4000</v>
      </c>
      <c r="BF5" s="189">
        <v>4000</v>
      </c>
      <c r="BG5" s="189">
        <v>4000</v>
      </c>
      <c r="BH5" s="189">
        <v>1500</v>
      </c>
      <c r="BI5" s="189">
        <v>3500</v>
      </c>
      <c r="BJ5" s="189">
        <v>3000</v>
      </c>
      <c r="BK5" s="189">
        <v>3000</v>
      </c>
      <c r="BL5" s="189">
        <v>3000</v>
      </c>
      <c r="BM5" s="198">
        <f>SUM(AI5:BL5)</f>
        <v>95000</v>
      </c>
      <c r="BN5" s="189">
        <v>1500</v>
      </c>
      <c r="BO5" s="189">
        <v>3000</v>
      </c>
      <c r="BP5" s="189">
        <v>3000</v>
      </c>
      <c r="BQ5" s="189">
        <v>3000</v>
      </c>
      <c r="BR5" s="189">
        <v>3000</v>
      </c>
      <c r="BS5" s="189">
        <v>2500</v>
      </c>
      <c r="BT5" s="189">
        <v>3000</v>
      </c>
      <c r="BU5" s="189">
        <v>3000</v>
      </c>
      <c r="BV5" s="189">
        <v>3000</v>
      </c>
      <c r="BW5" s="189">
        <v>1500</v>
      </c>
      <c r="BX5" s="189">
        <v>3500</v>
      </c>
      <c r="BY5" s="189">
        <v>3500</v>
      </c>
      <c r="BZ5" s="189">
        <v>3000</v>
      </c>
      <c r="CA5" s="189">
        <v>3500</v>
      </c>
      <c r="CB5" s="189">
        <v>3500</v>
      </c>
      <c r="CC5" s="189">
        <v>3500</v>
      </c>
      <c r="CD5" s="189">
        <v>1500</v>
      </c>
      <c r="CE5" s="189">
        <v>3500</v>
      </c>
      <c r="CF5" s="189">
        <v>3500</v>
      </c>
      <c r="CG5" s="189">
        <v>3500</v>
      </c>
      <c r="CH5" s="189">
        <v>3500</v>
      </c>
      <c r="CI5" s="189">
        <v>3500</v>
      </c>
      <c r="CJ5" s="189">
        <v>3500</v>
      </c>
      <c r="CK5" s="189">
        <v>1500</v>
      </c>
      <c r="CL5" s="189">
        <v>3500</v>
      </c>
      <c r="CM5" s="189">
        <v>3500</v>
      </c>
      <c r="CN5" s="189">
        <v>3500</v>
      </c>
      <c r="CO5" s="189">
        <v>3500</v>
      </c>
      <c r="CP5" s="189">
        <v>3500</v>
      </c>
      <c r="CQ5" s="189">
        <v>3500</v>
      </c>
      <c r="CR5" s="199">
        <v>3000</v>
      </c>
      <c r="CS5" s="200">
        <f>SUM(BN5:CR5)</f>
        <v>95000</v>
      </c>
      <c r="CT5" s="189">
        <v>1500</v>
      </c>
      <c r="CU5" s="189">
        <v>3000</v>
      </c>
      <c r="CV5" s="189">
        <v>3000</v>
      </c>
      <c r="CW5" s="189">
        <v>3000</v>
      </c>
      <c r="CX5" s="189">
        <v>3000</v>
      </c>
      <c r="CY5" s="189">
        <v>3000</v>
      </c>
      <c r="CZ5" s="189">
        <v>1500</v>
      </c>
      <c r="DA5" s="189">
        <v>3000</v>
      </c>
      <c r="DB5" s="189">
        <v>3000</v>
      </c>
      <c r="DC5" s="189">
        <v>3000</v>
      </c>
      <c r="DD5" s="189">
        <v>3000</v>
      </c>
      <c r="DE5" s="189">
        <v>3000</v>
      </c>
      <c r="DF5" s="189">
        <v>3000</v>
      </c>
      <c r="DG5" s="189">
        <v>1500</v>
      </c>
      <c r="DH5" s="189">
        <v>3000</v>
      </c>
      <c r="DI5" s="189">
        <v>3000</v>
      </c>
      <c r="DJ5" s="189">
        <v>3000</v>
      </c>
      <c r="DK5" s="189">
        <v>3000</v>
      </c>
      <c r="DL5" s="189">
        <v>3000</v>
      </c>
      <c r="DM5" s="189">
        <v>3000</v>
      </c>
      <c r="DN5" s="189">
        <v>1500</v>
      </c>
      <c r="DO5" s="189">
        <v>3000</v>
      </c>
      <c r="DP5" s="189">
        <v>3000</v>
      </c>
      <c r="DQ5" s="189">
        <v>3000</v>
      </c>
      <c r="DR5" s="189">
        <v>3000</v>
      </c>
      <c r="DS5" s="189">
        <v>3000</v>
      </c>
      <c r="DT5" s="189">
        <v>3000</v>
      </c>
      <c r="DU5" s="189">
        <v>3000</v>
      </c>
      <c r="DV5" s="189">
        <v>3000</v>
      </c>
      <c r="DW5" s="189">
        <v>3000</v>
      </c>
      <c r="DX5" s="189"/>
      <c r="DY5" s="198">
        <f>SUM(CT5:DX5)</f>
        <v>84000</v>
      </c>
    </row>
    <row r="6" spans="2:129">
      <c r="B6" s="179" t="s">
        <v>357</v>
      </c>
      <c r="C6" s="189">
        <f>Actual!F151</f>
        <v>0</v>
      </c>
      <c r="D6" s="189">
        <f>Actual!G151</f>
        <v>0</v>
      </c>
      <c r="E6" s="189">
        <f>Actual!H151</f>
        <v>0</v>
      </c>
      <c r="F6" s="189">
        <f>Actual!I151</f>
        <v>0</v>
      </c>
      <c r="G6" s="189">
        <f>Actual!J151</f>
        <v>1312.8979999999999</v>
      </c>
      <c r="H6" s="189">
        <f>Actual!K151</f>
        <v>0</v>
      </c>
      <c r="I6" s="189">
        <f>Actual!L151</f>
        <v>0</v>
      </c>
      <c r="J6" s="189">
        <f>Actual!M151</f>
        <v>0</v>
      </c>
      <c r="K6" s="189">
        <f>Actual!N151</f>
        <v>0</v>
      </c>
      <c r="L6" s="189">
        <f>Actual!O151</f>
        <v>0</v>
      </c>
      <c r="M6" s="189">
        <f>Actual!P151</f>
        <v>0</v>
      </c>
      <c r="N6" s="189">
        <f>Actual!Q151</f>
        <v>0</v>
      </c>
      <c r="O6" s="189">
        <f>Actual!R151</f>
        <v>0</v>
      </c>
      <c r="P6" s="189">
        <f>Actual!S151</f>
        <v>0</v>
      </c>
      <c r="Q6" s="189">
        <f>Actual!T151</f>
        <v>0</v>
      </c>
      <c r="R6" s="189">
        <f>Actual!U151</f>
        <v>0</v>
      </c>
      <c r="S6" s="189">
        <f>Actual!V151</f>
        <v>0</v>
      </c>
      <c r="T6" s="189">
        <f>Actual!W151</f>
        <v>0</v>
      </c>
      <c r="U6" s="189">
        <f>Actual!X151</f>
        <v>0</v>
      </c>
      <c r="V6" s="189">
        <f>Actual!Y151</f>
        <v>0</v>
      </c>
      <c r="W6" s="189">
        <f>Actual!Z151</f>
        <v>0</v>
      </c>
      <c r="X6" s="189">
        <f>Actual!AA151</f>
        <v>0</v>
      </c>
      <c r="Y6" s="189">
        <f>Actual!AB151</f>
        <v>0</v>
      </c>
      <c r="Z6" s="189">
        <f>Actual!AC151</f>
        <v>0</v>
      </c>
      <c r="AA6" s="189">
        <f>Actual!AD151</f>
        <v>0</v>
      </c>
      <c r="AB6" s="189">
        <f>Actual!AE151</f>
        <v>0</v>
      </c>
      <c r="AC6" s="189">
        <f>Actual!AF151</f>
        <v>0</v>
      </c>
      <c r="AD6" s="189">
        <f>Actual!AG151</f>
        <v>0</v>
      </c>
      <c r="AE6" s="189">
        <f>Actual!AH151</f>
        <v>0</v>
      </c>
      <c r="AF6" s="189">
        <f>Actual!AI151</f>
        <v>0</v>
      </c>
      <c r="AG6" s="189">
        <f>Actual!AJ151</f>
        <v>0</v>
      </c>
      <c r="AH6" s="197">
        <f t="shared" ref="AH6:AH13" si="6">SUM(C6:AG6)</f>
        <v>1312.8979999999999</v>
      </c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89"/>
      <c r="BK6" s="189"/>
      <c r="BL6" s="189"/>
      <c r="BM6" s="198">
        <f t="shared" ref="BM6:BM13" si="7">SUM(AI6:BL6)</f>
        <v>0</v>
      </c>
      <c r="BN6" s="189"/>
      <c r="BO6" s="189"/>
      <c r="BP6" s="189"/>
      <c r="BQ6" s="189"/>
      <c r="BR6" s="189"/>
      <c r="BS6" s="189"/>
      <c r="BT6" s="189"/>
      <c r="BU6" s="189"/>
      <c r="BV6" s="189"/>
      <c r="BW6" s="189"/>
      <c r="BX6" s="189"/>
      <c r="BY6" s="189"/>
      <c r="BZ6" s="189"/>
      <c r="CA6" s="189"/>
      <c r="CB6" s="189"/>
      <c r="CC6" s="189"/>
      <c r="CD6" s="189"/>
      <c r="CE6" s="189"/>
      <c r="CF6" s="189"/>
      <c r="CG6" s="189"/>
      <c r="CH6" s="189"/>
      <c r="CI6" s="189"/>
      <c r="CJ6" s="189"/>
      <c r="CK6" s="189"/>
      <c r="CL6" s="189"/>
      <c r="CM6" s="189"/>
      <c r="CN6" s="189"/>
      <c r="CO6" s="189"/>
      <c r="CP6" s="189"/>
      <c r="CQ6" s="189"/>
      <c r="CR6" s="199"/>
      <c r="CS6" s="200">
        <f t="shared" ref="CS6:CS14" si="8">SUM(BN6:CR6)</f>
        <v>0</v>
      </c>
      <c r="CT6" s="189"/>
      <c r="CU6" s="189"/>
      <c r="CV6" s="189"/>
      <c r="CW6" s="189"/>
      <c r="CX6" s="189"/>
      <c r="CY6" s="189"/>
      <c r="CZ6" s="189"/>
      <c r="DA6" s="189"/>
      <c r="DB6" s="189"/>
      <c r="DC6" s="189"/>
      <c r="DD6" s="189"/>
      <c r="DE6" s="189"/>
      <c r="DF6" s="189"/>
      <c r="DG6" s="189"/>
      <c r="DH6" s="189"/>
      <c r="DI6" s="189"/>
      <c r="DJ6" s="189"/>
      <c r="DK6" s="189"/>
      <c r="DL6" s="189"/>
      <c r="DM6" s="189"/>
      <c r="DN6" s="189"/>
      <c r="DO6" s="189"/>
      <c r="DP6" s="189"/>
      <c r="DQ6" s="189"/>
      <c r="DR6" s="189"/>
      <c r="DS6" s="189"/>
      <c r="DT6" s="189"/>
      <c r="DU6" s="189"/>
      <c r="DV6" s="189"/>
      <c r="DW6" s="189"/>
      <c r="DX6" s="189"/>
      <c r="DY6" s="198">
        <f t="shared" ref="DY6:DY14" si="9">SUM(CT6:DX6)</f>
        <v>0</v>
      </c>
    </row>
    <row r="7" spans="2:129">
      <c r="B7" s="179" t="s">
        <v>358</v>
      </c>
      <c r="C7" s="189" t="e">
        <f>Actual!#REF!</f>
        <v>#REF!</v>
      </c>
      <c r="D7" s="189" t="e">
        <f>Actual!#REF!</f>
        <v>#REF!</v>
      </c>
      <c r="E7" s="189" t="e">
        <f>Actual!#REF!</f>
        <v>#REF!</v>
      </c>
      <c r="F7" s="189" t="e">
        <f>Actual!#REF!</f>
        <v>#REF!</v>
      </c>
      <c r="G7" s="189" t="e">
        <f>Actual!#REF!</f>
        <v>#REF!</v>
      </c>
      <c r="H7" s="189" t="e">
        <f>Actual!#REF!</f>
        <v>#REF!</v>
      </c>
      <c r="I7" s="189" t="e">
        <f>Actual!#REF!</f>
        <v>#REF!</v>
      </c>
      <c r="J7" s="189" t="e">
        <f>Actual!#REF!</f>
        <v>#REF!</v>
      </c>
      <c r="K7" s="189" t="e">
        <f>Actual!#REF!</f>
        <v>#REF!</v>
      </c>
      <c r="L7" s="189" t="e">
        <f>Actual!#REF!</f>
        <v>#REF!</v>
      </c>
      <c r="M7" s="189" t="e">
        <f>Actual!#REF!</f>
        <v>#REF!</v>
      </c>
      <c r="N7" s="189" t="e">
        <f>Actual!#REF!</f>
        <v>#REF!</v>
      </c>
      <c r="O7" s="189" t="e">
        <f>Actual!#REF!</f>
        <v>#REF!</v>
      </c>
      <c r="P7" s="189" t="e">
        <f>Actual!#REF!</f>
        <v>#REF!</v>
      </c>
      <c r="Q7" s="189" t="e">
        <f>Actual!#REF!</f>
        <v>#REF!</v>
      </c>
      <c r="R7" s="189" t="e">
        <f>Actual!#REF!</f>
        <v>#REF!</v>
      </c>
      <c r="S7" s="189" t="e">
        <f>Actual!#REF!</f>
        <v>#REF!</v>
      </c>
      <c r="T7" s="189" t="e">
        <f>Actual!#REF!</f>
        <v>#REF!</v>
      </c>
      <c r="U7" s="189" t="e">
        <f>Actual!#REF!</f>
        <v>#REF!</v>
      </c>
      <c r="V7" s="189" t="e">
        <f>Actual!#REF!</f>
        <v>#REF!</v>
      </c>
      <c r="W7" s="189" t="e">
        <f>Actual!#REF!</f>
        <v>#REF!</v>
      </c>
      <c r="X7" s="189" t="e">
        <f>Actual!#REF!</f>
        <v>#REF!</v>
      </c>
      <c r="Y7" s="189" t="e">
        <f>Actual!#REF!</f>
        <v>#REF!</v>
      </c>
      <c r="Z7" s="189" t="e">
        <f>Actual!#REF!</f>
        <v>#REF!</v>
      </c>
      <c r="AA7" s="189" t="e">
        <f>Actual!#REF!</f>
        <v>#REF!</v>
      </c>
      <c r="AB7" s="189" t="e">
        <f>Actual!#REF!</f>
        <v>#REF!</v>
      </c>
      <c r="AC7" s="189" t="e">
        <f>Actual!#REF!</f>
        <v>#REF!</v>
      </c>
      <c r="AD7" s="189" t="e">
        <f>Actual!#REF!</f>
        <v>#REF!</v>
      </c>
      <c r="AE7" s="189" t="e">
        <f>Actual!#REF!</f>
        <v>#REF!</v>
      </c>
      <c r="AF7" s="189" t="e">
        <f>Actual!#REF!</f>
        <v>#REF!</v>
      </c>
      <c r="AG7" s="189" t="e">
        <f>Actual!#REF!</f>
        <v>#REF!</v>
      </c>
      <c r="AH7" s="197" t="e">
        <f t="shared" si="6"/>
        <v>#REF!</v>
      </c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89"/>
      <c r="BG7" s="189"/>
      <c r="BH7" s="189"/>
      <c r="BI7" s="189"/>
      <c r="BJ7" s="189"/>
      <c r="BK7" s="189"/>
      <c r="BL7" s="189"/>
      <c r="BM7" s="198">
        <f t="shared" si="7"/>
        <v>0</v>
      </c>
      <c r="BN7" s="189"/>
      <c r="BO7" s="189"/>
      <c r="BP7" s="189"/>
      <c r="BQ7" s="189"/>
      <c r="BR7" s="189"/>
      <c r="BS7" s="189"/>
      <c r="BT7" s="189"/>
      <c r="BU7" s="189"/>
      <c r="BV7" s="189"/>
      <c r="BW7" s="189"/>
      <c r="BX7" s="189"/>
      <c r="BY7" s="189"/>
      <c r="BZ7" s="189"/>
      <c r="CA7" s="189"/>
      <c r="CB7" s="189"/>
      <c r="CC7" s="189"/>
      <c r="CD7" s="189"/>
      <c r="CE7" s="189"/>
      <c r="CF7" s="189"/>
      <c r="CG7" s="189"/>
      <c r="CH7" s="189"/>
      <c r="CI7" s="189"/>
      <c r="CJ7" s="189"/>
      <c r="CK7" s="189"/>
      <c r="CL7" s="189"/>
      <c r="CM7" s="189"/>
      <c r="CN7" s="189"/>
      <c r="CO7" s="189"/>
      <c r="CP7" s="189"/>
      <c r="CQ7" s="189"/>
      <c r="CR7" s="199"/>
      <c r="CS7" s="200">
        <f t="shared" si="8"/>
        <v>0</v>
      </c>
      <c r="CT7" s="189"/>
      <c r="CU7" s="189"/>
      <c r="CV7" s="189"/>
      <c r="CW7" s="189"/>
      <c r="CX7" s="189"/>
      <c r="CY7" s="189"/>
      <c r="CZ7" s="189"/>
      <c r="DA7" s="189"/>
      <c r="DB7" s="189"/>
      <c r="DC7" s="189"/>
      <c r="DD7" s="189"/>
      <c r="DE7" s="189"/>
      <c r="DF7" s="189"/>
      <c r="DG7" s="189"/>
      <c r="DH7" s="189"/>
      <c r="DI7" s="189"/>
      <c r="DJ7" s="189"/>
      <c r="DK7" s="189"/>
      <c r="DL7" s="189"/>
      <c r="DM7" s="189"/>
      <c r="DN7" s="189"/>
      <c r="DO7" s="189"/>
      <c r="DP7" s="189"/>
      <c r="DQ7" s="189"/>
      <c r="DR7" s="189"/>
      <c r="DS7" s="189"/>
      <c r="DT7" s="189"/>
      <c r="DU7" s="189"/>
      <c r="DV7" s="189"/>
      <c r="DW7" s="189"/>
      <c r="DX7" s="189"/>
      <c r="DY7" s="198">
        <f t="shared" si="9"/>
        <v>0</v>
      </c>
    </row>
    <row r="8" spans="2:129">
      <c r="B8" s="180" t="s">
        <v>605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3">
        <v>7300</v>
      </c>
      <c r="Q8" s="189"/>
      <c r="R8" s="189"/>
      <c r="S8" s="193">
        <v>7300</v>
      </c>
      <c r="T8" s="189"/>
      <c r="U8" s="189"/>
      <c r="V8" s="193">
        <v>7300</v>
      </c>
      <c r="W8" s="189"/>
      <c r="X8" s="189"/>
      <c r="Y8" s="193">
        <v>7300</v>
      </c>
      <c r="Z8" s="189"/>
      <c r="AA8" s="193">
        <v>7300</v>
      </c>
      <c r="AB8" s="189"/>
      <c r="AC8" s="189"/>
      <c r="AD8" s="193">
        <v>7300</v>
      </c>
      <c r="AE8" s="189"/>
      <c r="AF8" s="189"/>
      <c r="AG8" s="189"/>
      <c r="AH8" s="197">
        <f t="shared" si="6"/>
        <v>43800</v>
      </c>
      <c r="AI8" s="189"/>
      <c r="AJ8" s="189"/>
      <c r="AK8" s="189"/>
      <c r="AL8" s="189"/>
      <c r="AM8" s="189"/>
      <c r="AN8" s="189"/>
      <c r="AO8" s="189"/>
      <c r="AP8" s="189"/>
      <c r="AQ8" s="189"/>
      <c r="AR8" s="193">
        <v>7300</v>
      </c>
      <c r="AS8" s="189"/>
      <c r="AT8" s="189"/>
      <c r="AU8" s="193">
        <v>7300</v>
      </c>
      <c r="AV8" s="189"/>
      <c r="AW8" s="189"/>
      <c r="AX8" s="193">
        <v>7300</v>
      </c>
      <c r="AY8" s="189"/>
      <c r="AZ8" s="189"/>
      <c r="BA8" s="193">
        <v>7300</v>
      </c>
      <c r="BB8" s="189"/>
      <c r="BC8" s="189"/>
      <c r="BD8" s="193">
        <v>7300</v>
      </c>
      <c r="BE8" s="189"/>
      <c r="BF8" s="189"/>
      <c r="BG8" s="193">
        <v>7300</v>
      </c>
      <c r="BH8" s="189"/>
      <c r="BI8" s="189"/>
      <c r="BJ8" s="189"/>
      <c r="BK8" s="189"/>
      <c r="BL8" s="189"/>
      <c r="BM8" s="198">
        <f t="shared" si="7"/>
        <v>43800</v>
      </c>
      <c r="BN8" s="189"/>
      <c r="BO8" s="189"/>
      <c r="BP8" s="189"/>
      <c r="BQ8" s="189"/>
      <c r="BR8" s="189"/>
      <c r="BS8" s="189"/>
      <c r="BT8" s="189"/>
      <c r="BX8" s="189"/>
      <c r="BY8" s="193">
        <v>7300</v>
      </c>
      <c r="BZ8" s="189"/>
      <c r="CA8" s="193">
        <v>7300</v>
      </c>
      <c r="CB8" s="189"/>
      <c r="CC8" s="193">
        <v>7300</v>
      </c>
      <c r="CD8" s="189"/>
      <c r="CE8" s="193">
        <v>7300</v>
      </c>
      <c r="CF8" s="189"/>
      <c r="CG8" s="193">
        <v>7300</v>
      </c>
      <c r="CH8" s="189"/>
      <c r="CI8" s="193">
        <v>7300</v>
      </c>
      <c r="CJ8" s="189"/>
      <c r="CK8" s="189"/>
      <c r="CL8" s="189"/>
      <c r="CM8" s="189"/>
      <c r="CN8" s="189"/>
      <c r="CO8" s="189"/>
      <c r="CP8" s="189"/>
      <c r="CQ8" s="189"/>
      <c r="CR8" s="199"/>
      <c r="CS8" s="200">
        <f t="shared" si="8"/>
        <v>43800</v>
      </c>
      <c r="CT8" s="189"/>
      <c r="CU8" s="189"/>
      <c r="CV8" s="189"/>
      <c r="CW8" s="189"/>
      <c r="CX8" s="189"/>
      <c r="CY8" s="189"/>
      <c r="CZ8" s="189"/>
      <c r="DA8" s="193">
        <v>7300</v>
      </c>
      <c r="DB8" s="189"/>
      <c r="DC8" s="193">
        <v>7300</v>
      </c>
      <c r="DD8" s="189"/>
      <c r="DE8" s="193">
        <v>7300</v>
      </c>
      <c r="DF8" s="189"/>
      <c r="DG8" s="193">
        <v>7300</v>
      </c>
      <c r="DH8" s="189"/>
      <c r="DI8" s="193">
        <v>7300</v>
      </c>
      <c r="DJ8" s="189"/>
      <c r="DK8" s="193">
        <v>7300</v>
      </c>
      <c r="DL8" s="189"/>
      <c r="DM8" s="189"/>
      <c r="DN8" s="189"/>
      <c r="DO8" s="189"/>
      <c r="DP8" s="189"/>
      <c r="DQ8" s="189"/>
      <c r="DR8" s="189"/>
      <c r="DS8" s="189"/>
      <c r="DT8" s="189"/>
      <c r="DU8" s="189"/>
      <c r="DV8" s="189"/>
      <c r="DW8" s="189"/>
      <c r="DX8" s="189"/>
      <c r="DY8" s="198">
        <f t="shared" si="9"/>
        <v>43800</v>
      </c>
    </row>
    <row r="9" spans="2:129" s="182" customFormat="1">
      <c r="B9" s="181" t="s">
        <v>606</v>
      </c>
      <c r="C9" s="194"/>
      <c r="D9" s="194"/>
      <c r="E9" s="194"/>
      <c r="F9" s="194"/>
      <c r="G9" s="194"/>
      <c r="H9" s="194"/>
      <c r="I9" s="194"/>
      <c r="J9" s="194"/>
      <c r="K9" s="203">
        <f>Actual!N204</f>
        <v>0</v>
      </c>
      <c r="L9" s="203">
        <f>Actual!O204</f>
        <v>0</v>
      </c>
      <c r="M9" s="203">
        <f>Actual!P204</f>
        <v>0</v>
      </c>
      <c r="N9" s="194"/>
      <c r="O9" s="203" t="e">
        <f>Actual!#REF!</f>
        <v>#REF!</v>
      </c>
      <c r="P9" s="203">
        <f>Actual!S204</f>
        <v>0</v>
      </c>
      <c r="Q9" s="201"/>
      <c r="R9" s="203">
        <f>Actual!U204</f>
        <v>0</v>
      </c>
      <c r="S9" s="203">
        <f>Actual!V204</f>
        <v>0</v>
      </c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2" t="e">
        <f t="shared" si="6"/>
        <v>#REF!</v>
      </c>
      <c r="AI9" s="194"/>
      <c r="AJ9" s="194"/>
      <c r="AK9" s="194"/>
      <c r="AL9" s="194"/>
      <c r="AM9" s="194"/>
      <c r="AN9" s="194"/>
      <c r="AO9" s="194"/>
      <c r="AP9" s="194"/>
      <c r="AQ9" s="194"/>
      <c r="AR9" s="203">
        <v>7300</v>
      </c>
      <c r="AS9" s="194"/>
      <c r="AT9" s="194"/>
      <c r="AU9" s="203">
        <v>7300</v>
      </c>
      <c r="AV9" s="194"/>
      <c r="AW9" s="194"/>
      <c r="AX9" s="203">
        <v>7300</v>
      </c>
      <c r="AY9" s="194"/>
      <c r="AZ9" s="194"/>
      <c r="BA9" s="203">
        <v>7300</v>
      </c>
      <c r="BB9" s="194"/>
      <c r="BC9" s="194"/>
      <c r="BD9" s="203">
        <v>7300</v>
      </c>
      <c r="BE9" s="194"/>
      <c r="BF9" s="194"/>
      <c r="BG9" s="203">
        <v>7300</v>
      </c>
      <c r="BH9" s="194"/>
      <c r="BI9" s="194"/>
      <c r="BJ9" s="194"/>
      <c r="BK9" s="194"/>
      <c r="BL9" s="194"/>
      <c r="BM9" s="204">
        <f t="shared" si="7"/>
        <v>43800</v>
      </c>
      <c r="BN9" s="194"/>
      <c r="BO9" s="194"/>
      <c r="BP9" s="194"/>
      <c r="BQ9" s="194"/>
      <c r="BR9" s="194"/>
      <c r="BS9" s="194"/>
      <c r="BT9" s="194"/>
      <c r="BX9" s="194"/>
      <c r="BY9" s="203">
        <v>7300</v>
      </c>
      <c r="BZ9" s="194"/>
      <c r="CA9" s="203">
        <v>7300</v>
      </c>
      <c r="CB9" s="194"/>
      <c r="CC9" s="203">
        <v>7300</v>
      </c>
      <c r="CD9" s="194"/>
      <c r="CE9" s="203">
        <v>7300</v>
      </c>
      <c r="CF9" s="194"/>
      <c r="CG9" s="203">
        <v>7300</v>
      </c>
      <c r="CH9" s="194"/>
      <c r="CI9" s="203">
        <v>7300</v>
      </c>
      <c r="CJ9" s="194"/>
      <c r="CK9" s="194"/>
      <c r="CL9" s="194"/>
      <c r="CM9" s="194"/>
      <c r="CN9" s="194"/>
      <c r="CO9" s="194"/>
      <c r="CP9" s="194"/>
      <c r="CQ9" s="194"/>
      <c r="CR9" s="205"/>
      <c r="CS9" s="206">
        <f t="shared" si="8"/>
        <v>43800</v>
      </c>
      <c r="CT9" s="194"/>
      <c r="CU9" s="194"/>
      <c r="CV9" s="194"/>
      <c r="CW9" s="194"/>
      <c r="CX9" s="194"/>
      <c r="CY9" s="194"/>
      <c r="CZ9" s="194"/>
      <c r="DA9" s="203">
        <v>7300</v>
      </c>
      <c r="DB9" s="194"/>
      <c r="DC9" s="203">
        <v>7300</v>
      </c>
      <c r="DD9" s="194"/>
      <c r="DE9" s="203">
        <v>7300</v>
      </c>
      <c r="DF9" s="194"/>
      <c r="DG9" s="203">
        <v>7300</v>
      </c>
      <c r="DH9" s="194"/>
      <c r="DI9" s="203">
        <v>7300</v>
      </c>
      <c r="DJ9" s="194"/>
      <c r="DK9" s="203">
        <v>7300</v>
      </c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204">
        <f t="shared" si="9"/>
        <v>43800</v>
      </c>
    </row>
    <row r="10" spans="2:129">
      <c r="B10" s="180" t="s">
        <v>607</v>
      </c>
      <c r="C10" s="215">
        <v>7000</v>
      </c>
      <c r="D10" s="215">
        <v>7000</v>
      </c>
      <c r="E10" s="215">
        <v>7000</v>
      </c>
      <c r="F10" s="215">
        <v>5500</v>
      </c>
      <c r="G10" s="215">
        <v>6000</v>
      </c>
      <c r="H10" s="215">
        <v>6000</v>
      </c>
      <c r="I10" s="215">
        <v>6000</v>
      </c>
      <c r="J10" s="215">
        <v>5000</v>
      </c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97">
        <f t="shared" si="6"/>
        <v>49500</v>
      </c>
      <c r="AI10" s="207">
        <v>7000</v>
      </c>
      <c r="AJ10" s="207">
        <v>7000</v>
      </c>
      <c r="AK10" s="207">
        <v>7000</v>
      </c>
      <c r="AL10" s="207">
        <v>5500</v>
      </c>
      <c r="AM10" s="207">
        <v>6000</v>
      </c>
      <c r="AN10" s="207">
        <v>6000</v>
      </c>
      <c r="AO10" s="207">
        <v>6000</v>
      </c>
      <c r="AP10" s="207">
        <v>5000</v>
      </c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  <c r="BF10" s="189"/>
      <c r="BG10" s="189"/>
      <c r="BH10" s="189"/>
      <c r="BI10" s="189"/>
      <c r="BJ10" s="189"/>
      <c r="BK10" s="189"/>
      <c r="BL10" s="189"/>
      <c r="BM10" s="198">
        <f t="shared" si="7"/>
        <v>49500</v>
      </c>
      <c r="BN10" s="207">
        <v>7000</v>
      </c>
      <c r="BO10" s="207">
        <v>7000</v>
      </c>
      <c r="BP10" s="207">
        <v>7000</v>
      </c>
      <c r="BQ10" s="207">
        <v>5500</v>
      </c>
      <c r="BR10" s="207">
        <v>6000</v>
      </c>
      <c r="BS10" s="207">
        <v>6000</v>
      </c>
      <c r="BT10" s="207">
        <v>6000</v>
      </c>
      <c r="BU10" s="207">
        <v>5000</v>
      </c>
      <c r="BV10" s="189"/>
      <c r="BW10" s="189"/>
      <c r="BX10" s="189"/>
      <c r="BY10" s="189"/>
      <c r="BZ10" s="189"/>
      <c r="CA10" s="189"/>
      <c r="CB10" s="189"/>
      <c r="CC10" s="189"/>
      <c r="CD10" s="189"/>
      <c r="CE10" s="189"/>
      <c r="CF10" s="189"/>
      <c r="CG10" s="189"/>
      <c r="CH10" s="189"/>
      <c r="CI10" s="189"/>
      <c r="CJ10" s="189"/>
      <c r="CK10" s="189"/>
      <c r="CL10" s="189"/>
      <c r="CM10" s="189"/>
      <c r="CN10" s="189"/>
      <c r="CO10" s="189"/>
      <c r="CP10" s="189"/>
      <c r="CQ10" s="189"/>
      <c r="CR10" s="199"/>
      <c r="CS10" s="200">
        <f t="shared" si="8"/>
        <v>49500</v>
      </c>
      <c r="DB10" s="189"/>
      <c r="DC10" s="189"/>
      <c r="DD10" s="189"/>
      <c r="DE10" s="189"/>
      <c r="DF10" s="189"/>
      <c r="DG10" s="189"/>
      <c r="DH10" s="189"/>
      <c r="DI10" s="189"/>
      <c r="DJ10" s="189"/>
      <c r="DK10" s="189"/>
      <c r="DL10" s="189"/>
      <c r="DM10" s="189"/>
      <c r="DN10" s="189"/>
      <c r="DO10" s="189"/>
      <c r="DP10" s="207">
        <v>7000</v>
      </c>
      <c r="DQ10" s="207">
        <v>7000</v>
      </c>
      <c r="DR10" s="207">
        <v>7000</v>
      </c>
      <c r="DS10" s="207">
        <v>5500</v>
      </c>
      <c r="DT10" s="207">
        <v>6000</v>
      </c>
      <c r="DU10" s="207">
        <v>6000</v>
      </c>
      <c r="DV10" s="207">
        <v>6000</v>
      </c>
      <c r="DW10" s="207">
        <v>5000</v>
      </c>
      <c r="DX10" s="220"/>
      <c r="DY10" s="198">
        <f>SUM(DB10:DX10)</f>
        <v>49500</v>
      </c>
    </row>
    <row r="11" spans="2:129" s="182" customFormat="1">
      <c r="B11" s="181" t="s">
        <v>608</v>
      </c>
      <c r="C11" s="194"/>
      <c r="D11" s="216">
        <v>13941.855</v>
      </c>
      <c r="E11" s="216">
        <v>6803.1569999999992</v>
      </c>
      <c r="F11" s="216">
        <v>4907.6450000000004</v>
      </c>
      <c r="G11" s="216">
        <v>13039.826999999999</v>
      </c>
      <c r="H11" s="216">
        <v>10804.8</v>
      </c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202">
        <f t="shared" si="6"/>
        <v>49497.284</v>
      </c>
      <c r="AI11" s="208">
        <v>7000</v>
      </c>
      <c r="AJ11" s="208">
        <v>7000</v>
      </c>
      <c r="AK11" s="208">
        <v>7000</v>
      </c>
      <c r="AL11" s="208">
        <v>5500</v>
      </c>
      <c r="AM11" s="208">
        <v>6000</v>
      </c>
      <c r="AN11" s="208">
        <v>6000</v>
      </c>
      <c r="AO11" s="208">
        <v>6000</v>
      </c>
      <c r="AP11" s="208">
        <v>5000</v>
      </c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204">
        <f t="shared" si="7"/>
        <v>49500</v>
      </c>
      <c r="BN11" s="208">
        <v>7000</v>
      </c>
      <c r="BO11" s="208">
        <v>7000</v>
      </c>
      <c r="BP11" s="208">
        <v>7000</v>
      </c>
      <c r="BQ11" s="208">
        <v>5500</v>
      </c>
      <c r="BR11" s="208">
        <v>6000</v>
      </c>
      <c r="BS11" s="208">
        <v>6000</v>
      </c>
      <c r="BT11" s="208">
        <v>6000</v>
      </c>
      <c r="BU11" s="208">
        <v>5000</v>
      </c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4"/>
      <c r="CO11" s="194"/>
      <c r="CP11" s="194"/>
      <c r="CQ11" s="194"/>
      <c r="CR11" s="205"/>
      <c r="CS11" s="206">
        <f t="shared" si="8"/>
        <v>49500</v>
      </c>
      <c r="DB11" s="194"/>
      <c r="DC11" s="194"/>
      <c r="DD11" s="194"/>
      <c r="DE11" s="194"/>
      <c r="DF11" s="194"/>
      <c r="DG11" s="194"/>
      <c r="DH11" s="194"/>
      <c r="DI11" s="194"/>
      <c r="DJ11" s="194"/>
      <c r="DK11" s="194"/>
      <c r="DL11" s="194"/>
      <c r="DM11" s="194"/>
      <c r="DN11" s="194"/>
      <c r="DO11" s="194"/>
      <c r="DP11" s="208">
        <v>7000</v>
      </c>
      <c r="DQ11" s="208">
        <v>7000</v>
      </c>
      <c r="DR11" s="208">
        <v>7000</v>
      </c>
      <c r="DS11" s="208">
        <v>5500</v>
      </c>
      <c r="DT11" s="208">
        <v>6000</v>
      </c>
      <c r="DU11" s="208">
        <v>6000</v>
      </c>
      <c r="DV11" s="208">
        <v>6000</v>
      </c>
      <c r="DW11" s="208">
        <v>5000</v>
      </c>
      <c r="DX11" s="201"/>
      <c r="DY11" s="204">
        <f>SUM(DB11:DX11)</f>
        <v>49500</v>
      </c>
    </row>
    <row r="12" spans="2:129">
      <c r="B12" s="180" t="s">
        <v>609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AC12" s="222">
        <v>5500</v>
      </c>
      <c r="AD12" s="222">
        <v>7000</v>
      </c>
      <c r="AE12" s="221"/>
      <c r="AF12" s="222">
        <v>7000</v>
      </c>
      <c r="AG12" s="222">
        <v>6000</v>
      </c>
      <c r="AH12" s="197">
        <f>SUM(C12:AG12)</f>
        <v>25500</v>
      </c>
      <c r="AI12" s="222">
        <v>6000</v>
      </c>
      <c r="AJ12" s="222">
        <v>5500</v>
      </c>
      <c r="AK12" s="220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89"/>
      <c r="BG12" s="189"/>
      <c r="BH12" s="189"/>
      <c r="BI12" s="189"/>
      <c r="BJ12" s="189"/>
      <c r="BK12" s="189"/>
      <c r="BL12" s="189"/>
      <c r="BM12" s="198">
        <f>SUM(AI12:BL12)</f>
        <v>11500</v>
      </c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220"/>
      <c r="CG12" s="220"/>
      <c r="CH12" s="224">
        <v>7000</v>
      </c>
      <c r="CJ12" s="224">
        <v>7000</v>
      </c>
      <c r="CL12" s="224">
        <v>5500</v>
      </c>
      <c r="CN12" s="224">
        <v>6000</v>
      </c>
      <c r="CP12" s="224">
        <v>6000</v>
      </c>
      <c r="CR12" s="224">
        <v>5500</v>
      </c>
      <c r="CS12" s="200">
        <f t="shared" si="8"/>
        <v>37000</v>
      </c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214">
        <v>7000</v>
      </c>
      <c r="DM12" s="214">
        <v>7000</v>
      </c>
      <c r="DN12" s="214">
        <v>5500</v>
      </c>
      <c r="DO12" s="214">
        <v>6000</v>
      </c>
      <c r="DP12" s="214">
        <v>6000</v>
      </c>
      <c r="DQ12" s="214">
        <v>5500</v>
      </c>
      <c r="DR12" s="189"/>
      <c r="DS12" s="189"/>
      <c r="DT12" s="189"/>
      <c r="DU12" s="189"/>
      <c r="DV12" s="189"/>
      <c r="DW12" s="189"/>
      <c r="DX12" s="189"/>
      <c r="DY12" s="198">
        <f t="shared" si="9"/>
        <v>37000</v>
      </c>
    </row>
    <row r="13" spans="2:129" s="182" customFormat="1" ht="15.6">
      <c r="B13" s="181" t="s">
        <v>610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20"/>
      <c r="AA13" s="220"/>
      <c r="AB13" s="220"/>
      <c r="AC13" s="214">
        <f>Actual!AF206</f>
        <v>0</v>
      </c>
      <c r="AD13" s="214">
        <f>Actual!AG206</f>
        <v>0</v>
      </c>
      <c r="AF13" s="214">
        <v>10049.921</v>
      </c>
      <c r="AG13" s="214">
        <v>7000</v>
      </c>
      <c r="AH13" s="202">
        <f t="shared" si="6"/>
        <v>17049.921000000002</v>
      </c>
      <c r="AI13" s="214">
        <v>7000</v>
      </c>
      <c r="AJ13" s="194"/>
      <c r="AK13" s="220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204">
        <f t="shared" si="7"/>
        <v>7000</v>
      </c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225"/>
      <c r="CG13" s="225"/>
      <c r="CH13" s="224">
        <v>7000</v>
      </c>
      <c r="CI13"/>
      <c r="CJ13" s="224">
        <v>7000</v>
      </c>
      <c r="CK13"/>
      <c r="CL13" s="224">
        <v>5500</v>
      </c>
      <c r="CM13"/>
      <c r="CN13" s="224">
        <v>6000</v>
      </c>
      <c r="CO13"/>
      <c r="CP13" s="224">
        <v>6000</v>
      </c>
      <c r="CQ13"/>
      <c r="CR13" s="224">
        <v>5500</v>
      </c>
      <c r="CS13" s="206">
        <f t="shared" si="8"/>
        <v>37000</v>
      </c>
      <c r="CT13" s="194"/>
      <c r="CU13" s="194"/>
      <c r="CV13" s="194"/>
      <c r="CW13" s="194"/>
      <c r="CX13" s="194"/>
      <c r="CY13" s="194"/>
      <c r="CZ13" s="194"/>
      <c r="DA13" s="194"/>
      <c r="DB13" s="194"/>
      <c r="DC13" s="194"/>
      <c r="DD13" s="194"/>
      <c r="DE13" s="194"/>
      <c r="DF13" s="194"/>
      <c r="DG13" s="194"/>
      <c r="DH13" s="194"/>
      <c r="DI13" s="194"/>
      <c r="DJ13" s="194"/>
      <c r="DK13" s="194"/>
      <c r="DL13" s="217">
        <v>7000</v>
      </c>
      <c r="DM13" s="217">
        <v>7000</v>
      </c>
      <c r="DN13" s="217">
        <v>5500</v>
      </c>
      <c r="DO13" s="217">
        <v>6000</v>
      </c>
      <c r="DP13" s="217">
        <v>6000</v>
      </c>
      <c r="DQ13" s="217">
        <v>5500</v>
      </c>
      <c r="DR13" s="194"/>
      <c r="DS13" s="194"/>
      <c r="DT13" s="194"/>
      <c r="DU13" s="194"/>
      <c r="DV13" s="194"/>
      <c r="DW13" s="194"/>
      <c r="DX13" s="194"/>
      <c r="DY13" s="204">
        <f t="shared" si="9"/>
        <v>37000</v>
      </c>
    </row>
    <row r="14" spans="2:129">
      <c r="B14" s="183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1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1"/>
      <c r="BN14" s="210"/>
      <c r="BO14" s="210"/>
      <c r="BP14" s="210"/>
      <c r="BQ14" s="210"/>
      <c r="BR14" s="210"/>
      <c r="BS14" s="210"/>
      <c r="BT14" s="210"/>
      <c r="BU14" s="210"/>
      <c r="BV14" s="210"/>
      <c r="BW14" s="210"/>
      <c r="BX14" s="210"/>
      <c r="BY14" s="210"/>
      <c r="BZ14" s="210"/>
      <c r="CA14" s="210"/>
      <c r="CB14" s="210"/>
      <c r="CC14" s="210"/>
      <c r="CD14" s="210"/>
      <c r="CE14" s="210"/>
      <c r="CF14" s="210"/>
      <c r="CG14" s="210"/>
      <c r="CH14" s="210"/>
      <c r="CI14" s="210"/>
      <c r="CJ14" s="210"/>
      <c r="CK14" s="210"/>
      <c r="CL14" s="210"/>
      <c r="CM14" s="210"/>
      <c r="CN14" s="210"/>
      <c r="CO14" s="210"/>
      <c r="CP14" s="210"/>
      <c r="CQ14" s="210"/>
      <c r="CR14" s="212"/>
      <c r="CS14" s="213">
        <f t="shared" si="8"/>
        <v>0</v>
      </c>
      <c r="CT14" s="210"/>
      <c r="CU14" s="210"/>
      <c r="CV14" s="210"/>
      <c r="CW14" s="210"/>
      <c r="CX14" s="210"/>
      <c r="CY14" s="210"/>
      <c r="CZ14" s="210"/>
      <c r="DA14" s="210"/>
      <c r="DB14" s="210"/>
      <c r="DC14" s="210"/>
      <c r="DD14" s="210"/>
      <c r="DE14" s="210"/>
      <c r="DF14" s="210"/>
      <c r="DG14" s="210"/>
      <c r="DH14" s="210"/>
      <c r="DI14" s="210"/>
      <c r="DJ14" s="210"/>
      <c r="DK14" s="210"/>
      <c r="DL14" s="210"/>
      <c r="DM14" s="210"/>
      <c r="DN14" s="210"/>
      <c r="DO14" s="210"/>
      <c r="DP14" s="210"/>
      <c r="DQ14" s="210"/>
      <c r="DR14" s="210"/>
      <c r="DS14" s="210"/>
      <c r="DT14" s="210"/>
      <c r="DU14" s="210"/>
      <c r="DV14" s="210"/>
      <c r="DW14" s="210"/>
      <c r="DX14" s="210"/>
      <c r="DY14" s="213">
        <f t="shared" si="9"/>
        <v>0</v>
      </c>
    </row>
    <row r="15" spans="2:129"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  <c r="CO15" s="178"/>
      <c r="CP15" s="178"/>
      <c r="CQ15" s="178"/>
      <c r="CR15" s="178"/>
      <c r="CS15" s="178"/>
      <c r="CT15" s="178"/>
      <c r="CU15" s="178"/>
      <c r="CV15" s="178"/>
      <c r="CW15" s="178"/>
      <c r="CX15" s="178"/>
      <c r="CY15" s="178"/>
    </row>
    <row r="16" spans="2:129">
      <c r="C16" t="s">
        <v>12</v>
      </c>
      <c r="D16" t="s">
        <v>2</v>
      </c>
    </row>
    <row r="17" spans="2:16">
      <c r="B17" t="s">
        <v>511</v>
      </c>
      <c r="C17" s="184"/>
      <c r="D17" s="184"/>
    </row>
    <row r="18" spans="2:16">
      <c r="B18" t="s">
        <v>611</v>
      </c>
      <c r="C18" s="185"/>
      <c r="D18" s="185"/>
    </row>
    <row r="19" spans="2:16">
      <c r="B19" t="s">
        <v>612</v>
      </c>
      <c r="C19" s="218"/>
      <c r="D19" s="218"/>
      <c r="P19" s="186"/>
    </row>
  </sheetData>
  <mergeCells count="7">
    <mergeCell ref="CT2:DW2"/>
    <mergeCell ref="DY2:DY3"/>
    <mergeCell ref="B2:B3"/>
    <mergeCell ref="C2:AG2"/>
    <mergeCell ref="AI2:BL2"/>
    <mergeCell ref="BN2:CQ2"/>
    <mergeCell ref="CS2:CS3"/>
  </mergeCells>
  <conditionalFormatting sqref="C4:CR4">
    <cfRule type="cellIs" dxfId="1" priority="1" operator="lessThan">
      <formula>50000</formula>
    </cfRule>
  </conditionalFormatting>
  <conditionalFormatting sqref="CT4:DX4">
    <cfRule type="cellIs" dxfId="0" priority="2" operator="lessThan">
      <formula>50000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FF3399"/>
  </sheetPr>
  <dimension ref="B2:N36"/>
  <sheetViews>
    <sheetView showGridLines="0" zoomScaleNormal="100" workbookViewId="0">
      <pane xSplit="2" ySplit="5" topLeftCell="C6" activePane="bottomRight" state="frozen"/>
      <selection pane="bottomRight" activeCell="C1" sqref="C1"/>
      <selection pane="bottomLeft" activeCell="A6" sqref="A6"/>
      <selection pane="topRight" activeCell="C1" sqref="C1"/>
    </sheetView>
  </sheetViews>
  <sheetFormatPr defaultRowHeight="14.45"/>
  <cols>
    <col min="5" max="5" width="0" hidden="1" customWidth="1"/>
    <col min="9" max="9" width="0" hidden="1" customWidth="1"/>
    <col min="11" max="11" width="11.28515625" customWidth="1"/>
    <col min="12" max="12" width="10.7109375" customWidth="1"/>
    <col min="13" max="13" width="0" hidden="1" customWidth="1"/>
    <col min="14" max="14" width="11.28515625" customWidth="1"/>
  </cols>
  <sheetData>
    <row r="2" spans="2:14">
      <c r="B2" s="1429" t="s">
        <v>5</v>
      </c>
      <c r="C2" s="1417" t="s">
        <v>613</v>
      </c>
      <c r="D2" s="1418"/>
      <c r="E2" s="1418"/>
      <c r="F2" s="1419"/>
      <c r="G2" s="1423" t="s">
        <v>614</v>
      </c>
      <c r="H2" s="1424"/>
      <c r="I2" s="1424"/>
      <c r="J2" s="1425"/>
      <c r="K2" s="1423" t="s">
        <v>615</v>
      </c>
      <c r="L2" s="1424"/>
      <c r="M2" s="1424"/>
      <c r="N2" s="1425"/>
    </row>
    <row r="3" spans="2:14" ht="18.75" customHeight="1">
      <c r="B3" s="1429"/>
      <c r="C3" s="1420"/>
      <c r="D3" s="1421"/>
      <c r="E3" s="1421"/>
      <c r="F3" s="1422"/>
      <c r="G3" s="1426"/>
      <c r="H3" s="1427"/>
      <c r="I3" s="1427"/>
      <c r="J3" s="1428"/>
      <c r="K3" s="1426"/>
      <c r="L3" s="1427"/>
      <c r="M3" s="1427"/>
      <c r="N3" s="1428"/>
    </row>
    <row r="4" spans="2:14" ht="26.45">
      <c r="B4" s="1430"/>
      <c r="C4" s="318" t="s">
        <v>616</v>
      </c>
      <c r="D4" s="318" t="s">
        <v>617</v>
      </c>
      <c r="E4" s="318"/>
      <c r="F4" s="318" t="s">
        <v>618</v>
      </c>
      <c r="G4" s="318" t="s">
        <v>616</v>
      </c>
      <c r="H4" s="318" t="s">
        <v>617</v>
      </c>
      <c r="I4" s="318"/>
      <c r="J4" s="318" t="s">
        <v>618</v>
      </c>
      <c r="K4" s="318" t="s">
        <v>616</v>
      </c>
      <c r="L4" s="318" t="s">
        <v>617</v>
      </c>
      <c r="M4" s="318"/>
      <c r="N4" s="318" t="s">
        <v>618</v>
      </c>
    </row>
    <row r="5" spans="2:14">
      <c r="B5" s="334"/>
      <c r="C5" s="335"/>
      <c r="D5" s="335"/>
      <c r="E5" s="335"/>
      <c r="F5" s="335"/>
      <c r="G5" s="336"/>
      <c r="H5" s="336"/>
      <c r="I5" s="336"/>
      <c r="J5" s="336"/>
      <c r="K5" s="341">
        <v>0</v>
      </c>
      <c r="L5" s="337">
        <v>0</v>
      </c>
      <c r="M5" s="336"/>
      <c r="N5" s="336"/>
    </row>
    <row r="6" spans="2:14">
      <c r="B6" s="331">
        <v>1</v>
      </c>
      <c r="C6" s="332">
        <v>0</v>
      </c>
      <c r="D6" s="332">
        <v>0</v>
      </c>
      <c r="E6" s="332"/>
      <c r="F6" s="332">
        <f>D6+C6</f>
        <v>0</v>
      </c>
      <c r="G6" s="338">
        <v>0</v>
      </c>
      <c r="H6" s="338">
        <v>0</v>
      </c>
      <c r="I6" s="333"/>
      <c r="J6" s="333">
        <f>H6+G6</f>
        <v>0</v>
      </c>
      <c r="K6" s="333">
        <f>K5-G6</f>
        <v>0</v>
      </c>
      <c r="L6" s="333">
        <f>L5-H6</f>
        <v>0</v>
      </c>
      <c r="M6" s="333"/>
      <c r="N6" s="339">
        <f>L6+K6</f>
        <v>0</v>
      </c>
    </row>
    <row r="7" spans="2:14">
      <c r="B7" s="328">
        <v>2</v>
      </c>
      <c r="C7" s="332">
        <v>0</v>
      </c>
      <c r="D7" s="332">
        <v>0</v>
      </c>
      <c r="E7" s="319"/>
      <c r="F7" s="332">
        <f t="shared" ref="F7:F35" si="0">D7+C7</f>
        <v>0</v>
      </c>
      <c r="G7" s="338">
        <v>0</v>
      </c>
      <c r="H7" s="338">
        <v>0</v>
      </c>
      <c r="I7" s="321"/>
      <c r="J7" s="333">
        <f t="shared" ref="J7:J36" si="1">H7+G7</f>
        <v>0</v>
      </c>
      <c r="K7" s="333">
        <f>K6-G7</f>
        <v>0</v>
      </c>
      <c r="L7" s="333">
        <f>L6-H7</f>
        <v>0</v>
      </c>
      <c r="M7" s="321"/>
      <c r="N7" s="339">
        <f t="shared" ref="N7:N29" si="2">L7+K7</f>
        <v>0</v>
      </c>
    </row>
    <row r="8" spans="2:14">
      <c r="B8" s="328">
        <v>3</v>
      </c>
      <c r="C8" s="332">
        <v>0</v>
      </c>
      <c r="D8" s="332">
        <v>0</v>
      </c>
      <c r="E8" s="322"/>
      <c r="F8" s="332">
        <f t="shared" si="0"/>
        <v>0</v>
      </c>
      <c r="G8" s="338">
        <v>0</v>
      </c>
      <c r="H8" s="338">
        <v>0</v>
      </c>
      <c r="I8" s="323"/>
      <c r="J8" s="333">
        <f t="shared" si="1"/>
        <v>0</v>
      </c>
      <c r="K8" s="333">
        <f t="shared" ref="K8:K36" si="3">K7-G8</f>
        <v>0</v>
      </c>
      <c r="L8" s="333">
        <f>L7-H8</f>
        <v>0</v>
      </c>
      <c r="M8" s="323"/>
      <c r="N8" s="339">
        <f t="shared" si="2"/>
        <v>0</v>
      </c>
    </row>
    <row r="9" spans="2:14">
      <c r="B9" s="328">
        <v>4</v>
      </c>
      <c r="C9" s="332">
        <v>0</v>
      </c>
      <c r="D9" s="332">
        <v>0</v>
      </c>
      <c r="E9" s="322"/>
      <c r="F9" s="332">
        <f t="shared" si="0"/>
        <v>0</v>
      </c>
      <c r="G9" s="338">
        <v>0</v>
      </c>
      <c r="H9" s="338">
        <v>0</v>
      </c>
      <c r="I9" s="323"/>
      <c r="J9" s="333">
        <f t="shared" si="1"/>
        <v>0</v>
      </c>
      <c r="K9" s="333">
        <f t="shared" si="3"/>
        <v>0</v>
      </c>
      <c r="L9" s="333">
        <f t="shared" ref="L9:L36" si="4">L8-H9</f>
        <v>0</v>
      </c>
      <c r="M9" s="323"/>
      <c r="N9" s="339">
        <f t="shared" si="2"/>
        <v>0</v>
      </c>
    </row>
    <row r="10" spans="2:14">
      <c r="B10" s="328">
        <v>5</v>
      </c>
      <c r="C10" s="332">
        <v>0</v>
      </c>
      <c r="D10" s="332">
        <v>0</v>
      </c>
      <c r="E10" s="319"/>
      <c r="F10" s="332">
        <f t="shared" si="0"/>
        <v>0</v>
      </c>
      <c r="G10" s="338">
        <v>0</v>
      </c>
      <c r="H10" s="338">
        <v>0</v>
      </c>
      <c r="I10" s="321"/>
      <c r="J10" s="333">
        <f t="shared" si="1"/>
        <v>0</v>
      </c>
      <c r="K10" s="333">
        <f t="shared" si="3"/>
        <v>0</v>
      </c>
      <c r="L10" s="333">
        <f t="shared" si="4"/>
        <v>0</v>
      </c>
      <c r="M10" s="321"/>
      <c r="N10" s="339">
        <f t="shared" si="2"/>
        <v>0</v>
      </c>
    </row>
    <row r="11" spans="2:14">
      <c r="B11" s="328">
        <v>6</v>
      </c>
      <c r="C11" s="332">
        <v>0</v>
      </c>
      <c r="D11" s="332">
        <v>0</v>
      </c>
      <c r="E11" s="324"/>
      <c r="F11" s="332">
        <f t="shared" si="0"/>
        <v>0</v>
      </c>
      <c r="G11" s="338">
        <v>0</v>
      </c>
      <c r="H11" s="338">
        <v>0</v>
      </c>
      <c r="I11" s="325"/>
      <c r="J11" s="333">
        <f t="shared" si="1"/>
        <v>0</v>
      </c>
      <c r="K11" s="333">
        <f t="shared" si="3"/>
        <v>0</v>
      </c>
      <c r="L11" s="333">
        <f t="shared" si="4"/>
        <v>0</v>
      </c>
      <c r="M11" s="325"/>
      <c r="N11" s="339">
        <f t="shared" si="2"/>
        <v>0</v>
      </c>
    </row>
    <row r="12" spans="2:14">
      <c r="B12" s="328">
        <v>7</v>
      </c>
      <c r="C12" s="332">
        <v>0</v>
      </c>
      <c r="D12" s="332">
        <v>0</v>
      </c>
      <c r="E12" s="324"/>
      <c r="F12" s="332">
        <f t="shared" si="0"/>
        <v>0</v>
      </c>
      <c r="G12" s="338">
        <v>0</v>
      </c>
      <c r="H12" s="338">
        <v>0</v>
      </c>
      <c r="I12" s="325"/>
      <c r="J12" s="333">
        <f t="shared" si="1"/>
        <v>0</v>
      </c>
      <c r="K12" s="333">
        <f t="shared" si="3"/>
        <v>0</v>
      </c>
      <c r="L12" s="333">
        <f t="shared" si="4"/>
        <v>0</v>
      </c>
      <c r="M12" s="325"/>
      <c r="N12" s="339">
        <f t="shared" si="2"/>
        <v>0</v>
      </c>
    </row>
    <row r="13" spans="2:14">
      <c r="B13" s="328">
        <v>8</v>
      </c>
      <c r="C13" s="332">
        <v>0</v>
      </c>
      <c r="D13" s="332">
        <v>0</v>
      </c>
      <c r="E13" s="319"/>
      <c r="F13" s="332">
        <f t="shared" si="0"/>
        <v>0</v>
      </c>
      <c r="G13" s="338">
        <v>0</v>
      </c>
      <c r="H13" s="338">
        <v>0</v>
      </c>
      <c r="I13" s="321"/>
      <c r="J13" s="333">
        <f t="shared" si="1"/>
        <v>0</v>
      </c>
      <c r="K13" s="333">
        <f t="shared" si="3"/>
        <v>0</v>
      </c>
      <c r="L13" s="333">
        <f t="shared" si="4"/>
        <v>0</v>
      </c>
      <c r="M13" s="321"/>
      <c r="N13" s="339">
        <f t="shared" si="2"/>
        <v>0</v>
      </c>
    </row>
    <row r="14" spans="2:14">
      <c r="B14" s="328">
        <v>9</v>
      </c>
      <c r="C14" s="332">
        <v>0</v>
      </c>
      <c r="D14" s="332">
        <v>0</v>
      </c>
      <c r="E14" s="319"/>
      <c r="F14" s="332">
        <f t="shared" si="0"/>
        <v>0</v>
      </c>
      <c r="G14" s="338">
        <v>0</v>
      </c>
      <c r="H14" s="338">
        <v>0</v>
      </c>
      <c r="I14" s="321"/>
      <c r="J14" s="333">
        <f t="shared" si="1"/>
        <v>0</v>
      </c>
      <c r="K14" s="333">
        <f t="shared" si="3"/>
        <v>0</v>
      </c>
      <c r="L14" s="333">
        <f t="shared" si="4"/>
        <v>0</v>
      </c>
      <c r="M14" s="321"/>
      <c r="N14" s="339">
        <f t="shared" si="2"/>
        <v>0</v>
      </c>
    </row>
    <row r="15" spans="2:14">
      <c r="B15" s="328">
        <v>10</v>
      </c>
      <c r="C15" s="332">
        <v>0</v>
      </c>
      <c r="D15" s="332">
        <v>0</v>
      </c>
      <c r="E15" s="319"/>
      <c r="F15" s="332">
        <f t="shared" si="0"/>
        <v>0</v>
      </c>
      <c r="G15" s="338">
        <v>0</v>
      </c>
      <c r="H15" s="338">
        <v>0</v>
      </c>
      <c r="I15" s="321"/>
      <c r="J15" s="333">
        <f t="shared" si="1"/>
        <v>0</v>
      </c>
      <c r="K15" s="333">
        <f t="shared" si="3"/>
        <v>0</v>
      </c>
      <c r="L15" s="333">
        <f t="shared" si="4"/>
        <v>0</v>
      </c>
      <c r="M15" s="321"/>
      <c r="N15" s="339">
        <f t="shared" si="2"/>
        <v>0</v>
      </c>
    </row>
    <row r="16" spans="2:14">
      <c r="B16" s="328">
        <v>11</v>
      </c>
      <c r="C16" s="332">
        <v>0</v>
      </c>
      <c r="D16" s="332">
        <v>0</v>
      </c>
      <c r="E16" s="322"/>
      <c r="F16" s="332">
        <f t="shared" si="0"/>
        <v>0</v>
      </c>
      <c r="G16" s="338">
        <v>0</v>
      </c>
      <c r="H16" s="338">
        <v>0</v>
      </c>
      <c r="I16" s="323"/>
      <c r="J16" s="333">
        <f t="shared" si="1"/>
        <v>0</v>
      </c>
      <c r="K16" s="333">
        <f t="shared" si="3"/>
        <v>0</v>
      </c>
      <c r="L16" s="333">
        <f t="shared" si="4"/>
        <v>0</v>
      </c>
      <c r="M16" s="323"/>
      <c r="N16" s="339">
        <f t="shared" si="2"/>
        <v>0</v>
      </c>
    </row>
    <row r="17" spans="2:14">
      <c r="B17" s="328">
        <v>12</v>
      </c>
      <c r="C17" s="332">
        <v>0</v>
      </c>
      <c r="D17" s="332">
        <v>0</v>
      </c>
      <c r="E17" s="319"/>
      <c r="F17" s="332">
        <f t="shared" si="0"/>
        <v>0</v>
      </c>
      <c r="G17" s="338">
        <v>0</v>
      </c>
      <c r="H17" s="338">
        <v>0</v>
      </c>
      <c r="I17" s="321"/>
      <c r="J17" s="333">
        <f t="shared" si="1"/>
        <v>0</v>
      </c>
      <c r="K17" s="333">
        <f t="shared" si="3"/>
        <v>0</v>
      </c>
      <c r="L17" s="333">
        <f t="shared" si="4"/>
        <v>0</v>
      </c>
      <c r="M17" s="321"/>
      <c r="N17" s="339">
        <f t="shared" si="2"/>
        <v>0</v>
      </c>
    </row>
    <row r="18" spans="2:14">
      <c r="B18" s="328">
        <v>13</v>
      </c>
      <c r="C18" s="332">
        <v>0</v>
      </c>
      <c r="D18" s="332">
        <v>0</v>
      </c>
      <c r="E18" s="324"/>
      <c r="F18" s="332">
        <f t="shared" si="0"/>
        <v>0</v>
      </c>
      <c r="G18" s="338">
        <v>0</v>
      </c>
      <c r="H18" s="338">
        <v>0</v>
      </c>
      <c r="I18" s="325"/>
      <c r="J18" s="333">
        <f t="shared" si="1"/>
        <v>0</v>
      </c>
      <c r="K18" s="333">
        <f t="shared" si="3"/>
        <v>0</v>
      </c>
      <c r="L18" s="333">
        <f t="shared" si="4"/>
        <v>0</v>
      </c>
      <c r="M18" s="321"/>
      <c r="N18" s="339">
        <f t="shared" si="2"/>
        <v>0</v>
      </c>
    </row>
    <row r="19" spans="2:14">
      <c r="B19" s="328">
        <v>14</v>
      </c>
      <c r="C19" s="332">
        <v>0</v>
      </c>
      <c r="D19" s="332">
        <v>0</v>
      </c>
      <c r="E19" s="324"/>
      <c r="F19" s="332">
        <f t="shared" si="0"/>
        <v>0</v>
      </c>
      <c r="G19" s="338">
        <v>0</v>
      </c>
      <c r="H19" s="338">
        <v>0</v>
      </c>
      <c r="I19" s="325"/>
      <c r="J19" s="333">
        <f t="shared" si="1"/>
        <v>0</v>
      </c>
      <c r="K19" s="333">
        <f t="shared" si="3"/>
        <v>0</v>
      </c>
      <c r="L19" s="333">
        <f t="shared" si="4"/>
        <v>0</v>
      </c>
      <c r="M19" s="321"/>
      <c r="N19" s="339">
        <f t="shared" si="2"/>
        <v>0</v>
      </c>
    </row>
    <row r="20" spans="2:14">
      <c r="B20" s="328">
        <v>15</v>
      </c>
      <c r="C20" s="332">
        <v>0</v>
      </c>
      <c r="D20" s="332">
        <v>0</v>
      </c>
      <c r="E20" s="319"/>
      <c r="F20" s="332">
        <f t="shared" si="0"/>
        <v>0</v>
      </c>
      <c r="G20" s="338">
        <v>0</v>
      </c>
      <c r="H20" s="338">
        <v>0</v>
      </c>
      <c r="I20" s="321"/>
      <c r="J20" s="333">
        <f t="shared" si="1"/>
        <v>0</v>
      </c>
      <c r="K20" s="333">
        <f t="shared" si="3"/>
        <v>0</v>
      </c>
      <c r="L20" s="333">
        <f t="shared" si="4"/>
        <v>0</v>
      </c>
      <c r="M20" s="321"/>
      <c r="N20" s="339">
        <f t="shared" si="2"/>
        <v>0</v>
      </c>
    </row>
    <row r="21" spans="2:14">
      <c r="B21" s="328">
        <v>16</v>
      </c>
      <c r="C21" s="332">
        <v>0</v>
      </c>
      <c r="D21" s="332">
        <v>0</v>
      </c>
      <c r="E21" s="319"/>
      <c r="F21" s="332">
        <f t="shared" si="0"/>
        <v>0</v>
      </c>
      <c r="G21" s="338">
        <v>0</v>
      </c>
      <c r="H21" s="338">
        <v>0</v>
      </c>
      <c r="I21" s="321"/>
      <c r="J21" s="333">
        <f t="shared" si="1"/>
        <v>0</v>
      </c>
      <c r="K21" s="333">
        <f t="shared" si="3"/>
        <v>0</v>
      </c>
      <c r="L21" s="333">
        <f t="shared" si="4"/>
        <v>0</v>
      </c>
      <c r="M21" s="321"/>
      <c r="N21" s="339">
        <f t="shared" si="2"/>
        <v>0</v>
      </c>
    </row>
    <row r="22" spans="2:14">
      <c r="B22" s="328">
        <v>17</v>
      </c>
      <c r="C22" s="332">
        <v>0</v>
      </c>
      <c r="D22" s="332">
        <v>0</v>
      </c>
      <c r="E22" s="322"/>
      <c r="F22" s="332">
        <f t="shared" si="0"/>
        <v>0</v>
      </c>
      <c r="G22" s="338">
        <v>0</v>
      </c>
      <c r="H22" s="338">
        <v>0</v>
      </c>
      <c r="I22" s="323"/>
      <c r="J22" s="333">
        <f t="shared" si="1"/>
        <v>0</v>
      </c>
      <c r="K22" s="333">
        <f t="shared" si="3"/>
        <v>0</v>
      </c>
      <c r="L22" s="333">
        <f t="shared" si="4"/>
        <v>0</v>
      </c>
      <c r="M22" s="323"/>
      <c r="N22" s="339">
        <f t="shared" si="2"/>
        <v>0</v>
      </c>
    </row>
    <row r="23" spans="2:14">
      <c r="B23" s="328">
        <v>18</v>
      </c>
      <c r="C23" s="332">
        <v>0</v>
      </c>
      <c r="D23" s="332">
        <v>0</v>
      </c>
      <c r="E23" s="322"/>
      <c r="F23" s="332">
        <f t="shared" si="0"/>
        <v>0</v>
      </c>
      <c r="G23" s="338">
        <v>0</v>
      </c>
      <c r="H23" s="338">
        <v>0</v>
      </c>
      <c r="I23" s="323"/>
      <c r="J23" s="333">
        <f t="shared" si="1"/>
        <v>0</v>
      </c>
      <c r="K23" s="333">
        <f t="shared" si="3"/>
        <v>0</v>
      </c>
      <c r="L23" s="333">
        <f t="shared" si="4"/>
        <v>0</v>
      </c>
      <c r="M23" s="323"/>
      <c r="N23" s="339">
        <f t="shared" si="2"/>
        <v>0</v>
      </c>
    </row>
    <row r="24" spans="2:14">
      <c r="B24" s="328">
        <v>19</v>
      </c>
      <c r="C24" s="332">
        <v>0</v>
      </c>
      <c r="D24" s="332">
        <v>0</v>
      </c>
      <c r="E24" s="322"/>
      <c r="F24" s="332">
        <f t="shared" si="0"/>
        <v>0</v>
      </c>
      <c r="G24" s="338">
        <v>0</v>
      </c>
      <c r="H24" s="338">
        <v>0</v>
      </c>
      <c r="I24" s="323"/>
      <c r="J24" s="333">
        <f t="shared" si="1"/>
        <v>0</v>
      </c>
      <c r="K24" s="333">
        <f t="shared" si="3"/>
        <v>0</v>
      </c>
      <c r="L24" s="333">
        <f t="shared" si="4"/>
        <v>0</v>
      </c>
      <c r="M24" s="323"/>
      <c r="N24" s="339">
        <f t="shared" si="2"/>
        <v>0</v>
      </c>
    </row>
    <row r="25" spans="2:14">
      <c r="B25" s="328">
        <v>20</v>
      </c>
      <c r="C25" s="332">
        <v>0</v>
      </c>
      <c r="D25" s="332">
        <v>0</v>
      </c>
      <c r="E25" s="326"/>
      <c r="F25" s="332">
        <f t="shared" si="0"/>
        <v>0</v>
      </c>
      <c r="G25" s="338">
        <v>0</v>
      </c>
      <c r="H25" s="338">
        <v>0</v>
      </c>
      <c r="I25" s="327"/>
      <c r="J25" s="333">
        <f t="shared" si="1"/>
        <v>0</v>
      </c>
      <c r="K25" s="333">
        <f t="shared" si="3"/>
        <v>0</v>
      </c>
      <c r="L25" s="333">
        <f t="shared" si="4"/>
        <v>0</v>
      </c>
      <c r="M25" s="323"/>
      <c r="N25" s="339">
        <f t="shared" si="2"/>
        <v>0</v>
      </c>
    </row>
    <row r="26" spans="2:14">
      <c r="B26" s="328">
        <v>21</v>
      </c>
      <c r="C26" s="332">
        <v>0</v>
      </c>
      <c r="D26" s="332">
        <v>0</v>
      </c>
      <c r="E26" s="319"/>
      <c r="F26" s="332">
        <f t="shared" si="0"/>
        <v>0</v>
      </c>
      <c r="G26" s="338">
        <v>0</v>
      </c>
      <c r="H26" s="338">
        <v>0</v>
      </c>
      <c r="I26" s="325"/>
      <c r="J26" s="333">
        <f t="shared" si="1"/>
        <v>0</v>
      </c>
      <c r="K26" s="333">
        <f t="shared" si="3"/>
        <v>0</v>
      </c>
      <c r="L26" s="333">
        <f t="shared" si="4"/>
        <v>0</v>
      </c>
      <c r="M26" s="321"/>
      <c r="N26" s="339">
        <f t="shared" si="2"/>
        <v>0</v>
      </c>
    </row>
    <row r="27" spans="2:14">
      <c r="B27" s="328">
        <v>22</v>
      </c>
      <c r="C27" s="332">
        <v>0</v>
      </c>
      <c r="D27" s="332">
        <v>0</v>
      </c>
      <c r="E27" s="319"/>
      <c r="F27" s="332">
        <f t="shared" si="0"/>
        <v>0</v>
      </c>
      <c r="G27" s="338">
        <v>0</v>
      </c>
      <c r="H27" s="338">
        <v>0</v>
      </c>
      <c r="I27" s="321"/>
      <c r="J27" s="333">
        <f t="shared" si="1"/>
        <v>0</v>
      </c>
      <c r="K27" s="333">
        <f t="shared" si="3"/>
        <v>0</v>
      </c>
      <c r="L27" s="333">
        <f t="shared" si="4"/>
        <v>0</v>
      </c>
      <c r="M27" s="321"/>
      <c r="N27" s="339">
        <f t="shared" si="2"/>
        <v>0</v>
      </c>
    </row>
    <row r="28" spans="2:14">
      <c r="B28" s="328">
        <v>23</v>
      </c>
      <c r="C28" s="332">
        <v>0</v>
      </c>
      <c r="D28" s="332">
        <v>0</v>
      </c>
      <c r="E28" s="319"/>
      <c r="F28" s="332">
        <f t="shared" si="0"/>
        <v>0</v>
      </c>
      <c r="G28" s="338">
        <v>0</v>
      </c>
      <c r="H28" s="338">
        <v>0</v>
      </c>
      <c r="I28" s="321"/>
      <c r="J28" s="333">
        <f t="shared" si="1"/>
        <v>0</v>
      </c>
      <c r="K28" s="333">
        <f t="shared" si="3"/>
        <v>0</v>
      </c>
      <c r="L28" s="333">
        <f t="shared" si="4"/>
        <v>0</v>
      </c>
      <c r="M28" s="321"/>
      <c r="N28" s="339">
        <f t="shared" si="2"/>
        <v>0</v>
      </c>
    </row>
    <row r="29" spans="2:14">
      <c r="B29" s="328">
        <v>24</v>
      </c>
      <c r="C29" s="332">
        <v>0</v>
      </c>
      <c r="D29" s="332">
        <v>0</v>
      </c>
      <c r="E29" s="319"/>
      <c r="F29" s="332">
        <f t="shared" si="0"/>
        <v>0</v>
      </c>
      <c r="G29" s="338">
        <v>0</v>
      </c>
      <c r="H29" s="338">
        <v>0</v>
      </c>
      <c r="I29" s="321"/>
      <c r="J29" s="333">
        <f t="shared" si="1"/>
        <v>0</v>
      </c>
      <c r="K29" s="333">
        <f t="shared" si="3"/>
        <v>0</v>
      </c>
      <c r="L29" s="333">
        <f t="shared" si="4"/>
        <v>0</v>
      </c>
      <c r="M29" s="321"/>
      <c r="N29" s="339">
        <f t="shared" si="2"/>
        <v>0</v>
      </c>
    </row>
    <row r="30" spans="2:14">
      <c r="B30" s="328">
        <v>25</v>
      </c>
      <c r="C30" s="332">
        <v>0</v>
      </c>
      <c r="D30" s="332">
        <v>0</v>
      </c>
      <c r="E30" s="179"/>
      <c r="F30" s="332">
        <f t="shared" si="0"/>
        <v>0</v>
      </c>
      <c r="G30" s="338">
        <v>0</v>
      </c>
      <c r="H30" s="338">
        <v>0</v>
      </c>
      <c r="I30" s="179"/>
      <c r="J30" s="333">
        <f t="shared" si="1"/>
        <v>0</v>
      </c>
      <c r="K30" s="333">
        <f t="shared" si="3"/>
        <v>0</v>
      </c>
      <c r="L30" s="333">
        <f t="shared" si="4"/>
        <v>0</v>
      </c>
      <c r="M30" s="179"/>
      <c r="N30" s="340">
        <f t="shared" ref="N30:N36" si="5">K30+L30</f>
        <v>0</v>
      </c>
    </row>
    <row r="31" spans="2:14">
      <c r="B31" s="328">
        <v>26</v>
      </c>
      <c r="C31" s="332">
        <v>0</v>
      </c>
      <c r="D31" s="332">
        <v>0</v>
      </c>
      <c r="E31" s="179"/>
      <c r="F31" s="332">
        <f t="shared" si="0"/>
        <v>0</v>
      </c>
      <c r="G31" s="338">
        <v>0</v>
      </c>
      <c r="H31" s="338">
        <v>0</v>
      </c>
      <c r="I31" s="179"/>
      <c r="J31" s="333">
        <f t="shared" si="1"/>
        <v>0</v>
      </c>
      <c r="K31" s="333">
        <f t="shared" si="3"/>
        <v>0</v>
      </c>
      <c r="L31" s="333">
        <f t="shared" si="4"/>
        <v>0</v>
      </c>
      <c r="M31" s="179"/>
      <c r="N31" s="340">
        <f t="shared" si="5"/>
        <v>0</v>
      </c>
    </row>
    <row r="32" spans="2:14">
      <c r="B32" s="328">
        <v>27</v>
      </c>
      <c r="C32" s="332">
        <v>0</v>
      </c>
      <c r="D32" s="332">
        <v>0</v>
      </c>
      <c r="E32" s="179"/>
      <c r="F32" s="332">
        <f t="shared" si="0"/>
        <v>0</v>
      </c>
      <c r="G32" s="338">
        <v>0</v>
      </c>
      <c r="H32" s="338">
        <v>0</v>
      </c>
      <c r="I32" s="179"/>
      <c r="J32" s="333">
        <f t="shared" si="1"/>
        <v>0</v>
      </c>
      <c r="K32" s="333">
        <f t="shared" si="3"/>
        <v>0</v>
      </c>
      <c r="L32" s="333">
        <f t="shared" si="4"/>
        <v>0</v>
      </c>
      <c r="M32" s="179"/>
      <c r="N32" s="340">
        <f t="shared" si="5"/>
        <v>0</v>
      </c>
    </row>
    <row r="33" spans="2:14">
      <c r="B33" s="328">
        <v>28</v>
      </c>
      <c r="C33" s="332">
        <v>0</v>
      </c>
      <c r="D33" s="332">
        <v>0</v>
      </c>
      <c r="E33" s="179"/>
      <c r="F33" s="332">
        <f t="shared" si="0"/>
        <v>0</v>
      </c>
      <c r="G33" s="338">
        <v>0</v>
      </c>
      <c r="H33" s="338">
        <v>0</v>
      </c>
      <c r="I33" s="179"/>
      <c r="J33" s="333">
        <f t="shared" si="1"/>
        <v>0</v>
      </c>
      <c r="K33" s="333">
        <f t="shared" si="3"/>
        <v>0</v>
      </c>
      <c r="L33" s="333">
        <f t="shared" si="4"/>
        <v>0</v>
      </c>
      <c r="M33" s="179"/>
      <c r="N33" s="340">
        <f t="shared" si="5"/>
        <v>0</v>
      </c>
    </row>
    <row r="34" spans="2:14">
      <c r="B34" s="328">
        <v>29</v>
      </c>
      <c r="C34" s="332">
        <v>0</v>
      </c>
      <c r="D34" s="332">
        <v>0</v>
      </c>
      <c r="E34" s="179"/>
      <c r="F34" s="332">
        <f t="shared" si="0"/>
        <v>0</v>
      </c>
      <c r="G34" s="338">
        <v>0</v>
      </c>
      <c r="H34" s="338">
        <v>0</v>
      </c>
      <c r="I34" s="179"/>
      <c r="J34" s="333">
        <f t="shared" si="1"/>
        <v>0</v>
      </c>
      <c r="K34" s="333">
        <f t="shared" si="3"/>
        <v>0</v>
      </c>
      <c r="L34" s="333">
        <f t="shared" si="4"/>
        <v>0</v>
      </c>
      <c r="M34" s="179"/>
      <c r="N34" s="340">
        <f t="shared" si="5"/>
        <v>0</v>
      </c>
    </row>
    <row r="35" spans="2:14">
      <c r="B35" s="328">
        <v>30</v>
      </c>
      <c r="C35" s="332">
        <v>0</v>
      </c>
      <c r="D35" s="332">
        <v>0</v>
      </c>
      <c r="E35" s="330"/>
      <c r="F35" s="332">
        <f t="shared" si="0"/>
        <v>0</v>
      </c>
      <c r="G35" s="338">
        <v>0</v>
      </c>
      <c r="H35" s="338">
        <v>0</v>
      </c>
      <c r="I35" s="330"/>
      <c r="J35" s="333">
        <f t="shared" si="1"/>
        <v>0</v>
      </c>
      <c r="K35" s="333">
        <f t="shared" si="3"/>
        <v>0</v>
      </c>
      <c r="L35" s="333">
        <f t="shared" si="4"/>
        <v>0</v>
      </c>
      <c r="M35" s="330"/>
      <c r="N35" s="340">
        <f t="shared" si="5"/>
        <v>0</v>
      </c>
    </row>
    <row r="36" spans="2:14" hidden="1">
      <c r="B36" s="329">
        <v>31</v>
      </c>
      <c r="C36" s="332">
        <v>0</v>
      </c>
      <c r="D36" s="332">
        <v>0</v>
      </c>
      <c r="E36" s="183"/>
      <c r="F36" s="320">
        <f>C36+D36</f>
        <v>0</v>
      </c>
      <c r="G36" s="338">
        <v>0</v>
      </c>
      <c r="H36" s="338">
        <v>0</v>
      </c>
      <c r="I36" s="183"/>
      <c r="J36" s="342">
        <f t="shared" si="1"/>
        <v>0</v>
      </c>
      <c r="K36" s="333">
        <f t="shared" si="3"/>
        <v>0</v>
      </c>
      <c r="L36" s="333">
        <f t="shared" si="4"/>
        <v>0</v>
      </c>
      <c r="M36" s="183"/>
      <c r="N36" s="340">
        <f t="shared" si="5"/>
        <v>0</v>
      </c>
    </row>
  </sheetData>
  <mergeCells count="4">
    <mergeCell ref="C2:F3"/>
    <mergeCell ref="G2:J3"/>
    <mergeCell ref="K2:N3"/>
    <mergeCell ref="B2:B4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BANPU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Report</dc:title>
  <dc:subject/>
  <dc:creator>Yonan Ismail</dc:creator>
  <cp:keywords/>
  <dc:description/>
  <cp:lastModifiedBy>Landung Yudanto</cp:lastModifiedBy>
  <cp:revision/>
  <dcterms:created xsi:type="dcterms:W3CDTF">2010-03-02T01:47:29Z</dcterms:created>
  <dcterms:modified xsi:type="dcterms:W3CDTF">2026-09-08T06:25:07Z</dcterms:modified>
  <cp:category/>
  <cp:contentStatus/>
</cp:coreProperties>
</file>